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FDC" lockStructure="1"/>
  <bookViews>
    <workbookView xWindow="0" yWindow="120" windowWidth="20700" windowHeight="11760"/>
  </bookViews>
  <sheets>
    <sheet name="RC" sheetId="1" r:id="rId1"/>
    <sheet name="RI" sheetId="3" r:id="rId2"/>
    <sheet name="RC-O" sheetId="2" r:id="rId3"/>
    <sheet name="ratio" sheetId="4" r:id="rId4"/>
    <sheet name="info" sheetId="5" r:id="rId5"/>
    <sheet name="A-CAn" sheetId="6" state="veryHidden" r:id="rId6"/>
    <sheet name="RI-C" sheetId="7" state="veryHidden" r:id="rId7"/>
    <sheet name="RC-I" sheetId="8" state="veryHidden" r:id="rId8"/>
    <sheet name="A-CAn-Old" sheetId="9" state="veryHidden" r:id="rId9"/>
    <sheet name="RI-C-Old" sheetId="10" state="veryHidden" r:id="rId10"/>
  </sheets>
  <externalReferences>
    <externalReference r:id="rId11"/>
  </externalReference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37" i="10" l="1"/>
  <c r="B35" i="10"/>
  <c r="E32" i="10"/>
  <c r="E30" i="10"/>
  <c r="I17" i="9" s="1"/>
  <c r="C29" i="10"/>
  <c r="E28" i="10"/>
  <c r="E27" i="10"/>
  <c r="D26" i="10"/>
  <c r="C26" i="10"/>
  <c r="C33" i="10" s="1"/>
  <c r="E25" i="10"/>
  <c r="E24" i="10"/>
  <c r="E23" i="10"/>
  <c r="E22" i="10"/>
  <c r="E21" i="10"/>
  <c r="E20" i="10"/>
  <c r="I13" i="9" s="1"/>
  <c r="D15" i="10"/>
  <c r="D14" i="10"/>
  <c r="E12" i="10"/>
  <c r="E11" i="10"/>
  <c r="E10" i="10" s="1"/>
  <c r="D10" i="10"/>
  <c r="E9" i="10"/>
  <c r="E15" i="10" s="1"/>
  <c r="E8" i="10"/>
  <c r="D7" i="10"/>
  <c r="B2" i="10"/>
  <c r="B1" i="10"/>
  <c r="B115" i="9"/>
  <c r="B113" i="9"/>
  <c r="F110" i="9"/>
  <c r="C110" i="9"/>
  <c r="I109" i="9"/>
  <c r="H109" i="9"/>
  <c r="J109" i="9" s="1"/>
  <c r="E109" i="9"/>
  <c r="I108" i="9"/>
  <c r="H108" i="9"/>
  <c r="E108" i="9"/>
  <c r="I107" i="9"/>
  <c r="H107" i="9"/>
  <c r="E107" i="9"/>
  <c r="I106" i="9"/>
  <c r="H106" i="9"/>
  <c r="J106" i="9" s="1"/>
  <c r="E106" i="9"/>
  <c r="I105" i="9"/>
  <c r="H105" i="9"/>
  <c r="J105" i="9" s="1"/>
  <c r="E105" i="9"/>
  <c r="I104" i="9"/>
  <c r="H104" i="9"/>
  <c r="E104" i="9"/>
  <c r="E110" i="9" s="1"/>
  <c r="J97" i="9"/>
  <c r="J96" i="9" s="1"/>
  <c r="F57" i="9" s="1"/>
  <c r="H96" i="9"/>
  <c r="D57" i="9" s="1"/>
  <c r="J95" i="9"/>
  <c r="J94" i="9"/>
  <c r="F56" i="9" s="1"/>
  <c r="H94" i="9"/>
  <c r="J93" i="9"/>
  <c r="J92" i="9"/>
  <c r="J91" i="9"/>
  <c r="J90" i="9"/>
  <c r="J89" i="9"/>
  <c r="H88" i="9"/>
  <c r="D55" i="9" s="1"/>
  <c r="J87" i="9"/>
  <c r="J86" i="9"/>
  <c r="J85" i="9"/>
  <c r="J84" i="9"/>
  <c r="J83" i="9"/>
  <c r="J82" i="9" s="1"/>
  <c r="F54" i="9" s="1"/>
  <c r="H82" i="9"/>
  <c r="E72" i="9"/>
  <c r="D72" i="9"/>
  <c r="F71" i="9"/>
  <c r="J71" i="9" s="1"/>
  <c r="J70" i="9"/>
  <c r="F70" i="9"/>
  <c r="F69" i="9"/>
  <c r="F72" i="9" s="1"/>
  <c r="J59" i="9"/>
  <c r="I59" i="9"/>
  <c r="H59" i="9"/>
  <c r="G59" i="9"/>
  <c r="D56" i="9"/>
  <c r="D54" i="9"/>
  <c r="J50" i="9"/>
  <c r="J61" i="9" s="1"/>
  <c r="J63" i="9" s="1"/>
  <c r="I50" i="9"/>
  <c r="I61" i="9" s="1"/>
  <c r="I63" i="9" s="1"/>
  <c r="H50" i="9"/>
  <c r="H61" i="9" s="1"/>
  <c r="H63" i="9" s="1"/>
  <c r="G50" i="9"/>
  <c r="G61" i="9" s="1"/>
  <c r="G63" i="9" s="1"/>
  <c r="E50" i="9"/>
  <c r="D50" i="9"/>
  <c r="F49" i="9"/>
  <c r="F48" i="9"/>
  <c r="F47" i="9"/>
  <c r="F46" i="9"/>
  <c r="F45" i="9"/>
  <c r="F44" i="9"/>
  <c r="F43" i="9"/>
  <c r="F42" i="9"/>
  <c r="F41" i="9"/>
  <c r="F40" i="9"/>
  <c r="F39" i="9"/>
  <c r="F50" i="9" s="1"/>
  <c r="I22" i="9"/>
  <c r="I16" i="9"/>
  <c r="I15" i="9"/>
  <c r="B2" i="9"/>
  <c r="B1" i="9"/>
  <c r="B43" i="8"/>
  <c r="B41" i="8"/>
  <c r="K36" i="8"/>
  <c r="F36" i="8"/>
  <c r="K35" i="8"/>
  <c r="F35" i="8"/>
  <c r="K34" i="8"/>
  <c r="F34" i="8"/>
  <c r="K33" i="8"/>
  <c r="F33" i="8"/>
  <c r="K32" i="8"/>
  <c r="F32" i="8"/>
  <c r="K31" i="8"/>
  <c r="F31" i="8"/>
  <c r="K30" i="8"/>
  <c r="F30" i="8"/>
  <c r="L29" i="8"/>
  <c r="J29" i="8"/>
  <c r="I29" i="8"/>
  <c r="E29" i="8"/>
  <c r="D29" i="8"/>
  <c r="K28" i="8"/>
  <c r="F28" i="8"/>
  <c r="M28" i="8" s="1"/>
  <c r="K27" i="8"/>
  <c r="F27" i="8"/>
  <c r="M27" i="8" s="1"/>
  <c r="K26" i="8"/>
  <c r="F26" i="8"/>
  <c r="M26" i="8" s="1"/>
  <c r="K25" i="8"/>
  <c r="F25" i="8"/>
  <c r="M25" i="8" s="1"/>
  <c r="K24" i="8"/>
  <c r="F24" i="8"/>
  <c r="M24" i="8" s="1"/>
  <c r="K23" i="8"/>
  <c r="F23" i="8"/>
  <c r="M23" i="8" s="1"/>
  <c r="K22" i="8"/>
  <c r="F22" i="8"/>
  <c r="M22" i="8" s="1"/>
  <c r="I21" i="8"/>
  <c r="K21" i="8" s="1"/>
  <c r="D21" i="8"/>
  <c r="F21" i="8" s="1"/>
  <c r="H21" i="8" s="1"/>
  <c r="M20" i="8"/>
  <c r="K20" i="8"/>
  <c r="F20" i="8"/>
  <c r="H20" i="8" s="1"/>
  <c r="M19" i="8"/>
  <c r="K19" i="8"/>
  <c r="F19" i="8"/>
  <c r="H19" i="8" s="1"/>
  <c r="M18" i="8"/>
  <c r="K18" i="8"/>
  <c r="F18" i="8"/>
  <c r="H18" i="8" s="1"/>
  <c r="M17" i="8"/>
  <c r="K17" i="8"/>
  <c r="F17" i="8"/>
  <c r="H17" i="8" s="1"/>
  <c r="M16" i="8"/>
  <c r="K16" i="8"/>
  <c r="F16" i="8"/>
  <c r="H16" i="8" s="1"/>
  <c r="M15" i="8"/>
  <c r="K15" i="8"/>
  <c r="F15" i="8"/>
  <c r="H15" i="8" s="1"/>
  <c r="M14" i="8"/>
  <c r="K14" i="8"/>
  <c r="F14" i="8"/>
  <c r="H14" i="8" s="1"/>
  <c r="M13" i="8"/>
  <c r="K13" i="8"/>
  <c r="F13" i="8"/>
  <c r="H13" i="8" s="1"/>
  <c r="M12" i="8"/>
  <c r="K12" i="8"/>
  <c r="F12" i="8"/>
  <c r="H12" i="8" s="1"/>
  <c r="M11" i="8"/>
  <c r="K11" i="8"/>
  <c r="F11" i="8"/>
  <c r="H11" i="8" s="1"/>
  <c r="M10" i="8"/>
  <c r="K10" i="8"/>
  <c r="F10" i="8"/>
  <c r="H10" i="8" s="1"/>
  <c r="M9" i="8"/>
  <c r="K9" i="8"/>
  <c r="F9" i="8"/>
  <c r="H9" i="8" s="1"/>
  <c r="L8" i="8"/>
  <c r="J8" i="8"/>
  <c r="I8" i="8"/>
  <c r="E8" i="8"/>
  <c r="D8" i="8"/>
  <c r="D37" i="8" s="1"/>
  <c r="B2" i="8"/>
  <c r="B1" i="8"/>
  <c r="B37" i="7"/>
  <c r="B35" i="7"/>
  <c r="E32" i="7"/>
  <c r="E30" i="7"/>
  <c r="C29" i="7"/>
  <c r="E28" i="7"/>
  <c r="I22" i="6" s="1"/>
  <c r="E27" i="7"/>
  <c r="I16" i="6" s="1"/>
  <c r="D26" i="7"/>
  <c r="C26" i="7"/>
  <c r="C33" i="7" s="1"/>
  <c r="E25" i="7"/>
  <c r="I15" i="6" s="1"/>
  <c r="E24" i="7"/>
  <c r="E23" i="7"/>
  <c r="E22" i="7"/>
  <c r="E21" i="7"/>
  <c r="E20" i="7"/>
  <c r="D15" i="7"/>
  <c r="D14" i="7"/>
  <c r="E12" i="7"/>
  <c r="E11" i="7"/>
  <c r="E10" i="7" s="1"/>
  <c r="D10" i="7"/>
  <c r="E9" i="7"/>
  <c r="E15" i="7" s="1"/>
  <c r="E8" i="7"/>
  <c r="E7" i="7" s="1"/>
  <c r="E13" i="7" s="1"/>
  <c r="D7" i="7"/>
  <c r="D13" i="7" s="1"/>
  <c r="B2" i="7"/>
  <c r="B1" i="7"/>
  <c r="B115" i="6"/>
  <c r="B113" i="6"/>
  <c r="F110" i="6"/>
  <c r="C110" i="6"/>
  <c r="I109" i="6"/>
  <c r="H109" i="6"/>
  <c r="E109" i="6"/>
  <c r="I108" i="6"/>
  <c r="H108" i="6"/>
  <c r="E108" i="6"/>
  <c r="I107" i="6"/>
  <c r="H107" i="6"/>
  <c r="J107" i="6" s="1"/>
  <c r="E107" i="6"/>
  <c r="I106" i="6"/>
  <c r="H106" i="6"/>
  <c r="J106" i="6" s="1"/>
  <c r="E106" i="6"/>
  <c r="I105" i="6"/>
  <c r="H105" i="6"/>
  <c r="E105" i="6"/>
  <c r="E110" i="6" s="1"/>
  <c r="I104" i="6"/>
  <c r="H104" i="6"/>
  <c r="E104" i="6"/>
  <c r="J97" i="6"/>
  <c r="J96" i="6" s="1"/>
  <c r="F57" i="6" s="1"/>
  <c r="H96" i="6"/>
  <c r="J95" i="6"/>
  <c r="J94" i="6"/>
  <c r="F56" i="6" s="1"/>
  <c r="H94" i="6"/>
  <c r="D56" i="6" s="1"/>
  <c r="J93" i="6"/>
  <c r="J92" i="6"/>
  <c r="J91" i="6"/>
  <c r="J90" i="6"/>
  <c r="J89" i="6"/>
  <c r="H88" i="6"/>
  <c r="J87" i="6"/>
  <c r="J86" i="6"/>
  <c r="J85" i="6"/>
  <c r="J84" i="6"/>
  <c r="J83" i="6"/>
  <c r="J82" i="6"/>
  <c r="F54" i="6" s="1"/>
  <c r="H82" i="6"/>
  <c r="E72" i="6"/>
  <c r="D72" i="6"/>
  <c r="J71" i="6"/>
  <c r="F71" i="6"/>
  <c r="F70" i="6"/>
  <c r="J70" i="6" s="1"/>
  <c r="J69" i="6"/>
  <c r="F69" i="6"/>
  <c r="J59" i="6"/>
  <c r="I59" i="6"/>
  <c r="H59" i="6"/>
  <c r="G59" i="6"/>
  <c r="D57" i="6"/>
  <c r="D55" i="6"/>
  <c r="D54" i="6"/>
  <c r="J50" i="6"/>
  <c r="J61" i="6" s="1"/>
  <c r="J63" i="6" s="1"/>
  <c r="I50" i="6"/>
  <c r="H50" i="6"/>
  <c r="H61" i="6" s="1"/>
  <c r="H63" i="6" s="1"/>
  <c r="G50" i="6"/>
  <c r="G61" i="6" s="1"/>
  <c r="G63" i="6" s="1"/>
  <c r="E50" i="6"/>
  <c r="D50" i="6"/>
  <c r="F49" i="6"/>
  <c r="F48" i="6"/>
  <c r="F47" i="6"/>
  <c r="F46" i="6"/>
  <c r="F45" i="6"/>
  <c r="F44" i="6"/>
  <c r="F43" i="6"/>
  <c r="F42" i="6"/>
  <c r="F41" i="6"/>
  <c r="F40" i="6"/>
  <c r="F39" i="6"/>
  <c r="F50" i="6" s="1"/>
  <c r="I17" i="6"/>
  <c r="I13" i="6"/>
  <c r="B2" i="6"/>
  <c r="B1" i="6"/>
  <c r="A29" i="4"/>
  <c r="B3" i="4"/>
  <c r="C2" i="5" s="1"/>
  <c r="B70" i="2"/>
  <c r="A70" i="2"/>
  <c r="H67" i="2"/>
  <c r="E67" i="2"/>
  <c r="H66" i="2"/>
  <c r="E66" i="2"/>
  <c r="H65" i="2"/>
  <c r="E65" i="2"/>
  <c r="H64" i="2"/>
  <c r="E64" i="2"/>
  <c r="G63" i="2"/>
  <c r="F63" i="2"/>
  <c r="H63" i="2" s="1"/>
  <c r="D63" i="2"/>
  <c r="C63" i="2"/>
  <c r="E63" i="2" s="1"/>
  <c r="H62" i="2"/>
  <c r="E62" i="2"/>
  <c r="H61" i="2"/>
  <c r="E61" i="2"/>
  <c r="H60" i="2"/>
  <c r="E60" i="2"/>
  <c r="H59" i="2"/>
  <c r="E59" i="2"/>
  <c r="H58" i="2"/>
  <c r="E58" i="2"/>
  <c r="G57" i="2"/>
  <c r="F57" i="2"/>
  <c r="H57" i="2" s="1"/>
  <c r="D57" i="2"/>
  <c r="C57" i="2"/>
  <c r="E57" i="2" s="1"/>
  <c r="H56" i="2"/>
  <c r="E56" i="2"/>
  <c r="H55" i="2"/>
  <c r="E55" i="2"/>
  <c r="H54" i="2"/>
  <c r="E54" i="2"/>
  <c r="G53" i="2"/>
  <c r="F53" i="2"/>
  <c r="H53" i="2" s="1"/>
  <c r="D53" i="2"/>
  <c r="C53" i="2"/>
  <c r="E53" i="2" s="1"/>
  <c r="H52" i="2"/>
  <c r="E52" i="2"/>
  <c r="H51" i="2"/>
  <c r="E51" i="2"/>
  <c r="H50" i="2"/>
  <c r="E50" i="2"/>
  <c r="H49" i="2"/>
  <c r="E49" i="2"/>
  <c r="G48" i="2"/>
  <c r="F48" i="2"/>
  <c r="H48" i="2" s="1"/>
  <c r="D48" i="2"/>
  <c r="C48" i="2"/>
  <c r="E48" i="2" s="1"/>
  <c r="H47" i="2"/>
  <c r="E47" i="2"/>
  <c r="H46" i="2"/>
  <c r="E46" i="2"/>
  <c r="H45" i="2"/>
  <c r="E45" i="2"/>
  <c r="H44" i="2"/>
  <c r="E44" i="2"/>
  <c r="G43" i="2"/>
  <c r="F43" i="2"/>
  <c r="H43" i="2" s="1"/>
  <c r="D43" i="2"/>
  <c r="C43" i="2"/>
  <c r="E43" i="2" s="1"/>
  <c r="H42" i="2"/>
  <c r="E42" i="2"/>
  <c r="H41" i="2"/>
  <c r="E41" i="2"/>
  <c r="H40" i="2"/>
  <c r="E40" i="2"/>
  <c r="G39" i="2"/>
  <c r="F39" i="2"/>
  <c r="H39" i="2" s="1"/>
  <c r="D39" i="2"/>
  <c r="C39" i="2"/>
  <c r="E39" i="2" s="1"/>
  <c r="H38" i="2"/>
  <c r="E38" i="2"/>
  <c r="H37" i="2"/>
  <c r="E37" i="2"/>
  <c r="H36" i="2"/>
  <c r="E36" i="2"/>
  <c r="G35" i="2"/>
  <c r="F35" i="2"/>
  <c r="H35" i="2" s="1"/>
  <c r="D35" i="2"/>
  <c r="C35" i="2"/>
  <c r="E35" i="2" s="1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G27" i="2"/>
  <c r="F27" i="2"/>
  <c r="H27" i="2" s="1"/>
  <c r="D27" i="2"/>
  <c r="C27" i="2"/>
  <c r="E27" i="2" s="1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G16" i="2"/>
  <c r="F16" i="2"/>
  <c r="H16" i="2" s="1"/>
  <c r="D16" i="2"/>
  <c r="C16" i="2"/>
  <c r="E16" i="2" s="1"/>
  <c r="H15" i="2"/>
  <c r="E15" i="2"/>
  <c r="H14" i="2"/>
  <c r="E14" i="2"/>
  <c r="G13" i="2"/>
  <c r="F13" i="2"/>
  <c r="H13" i="2" s="1"/>
  <c r="D13" i="2"/>
  <c r="D6" i="2" s="1"/>
  <c r="D68" i="2" s="1"/>
  <c r="C13" i="2"/>
  <c r="E13" i="2" s="1"/>
  <c r="H12" i="2"/>
  <c r="E12" i="2"/>
  <c r="H11" i="2"/>
  <c r="E11" i="2"/>
  <c r="H10" i="2"/>
  <c r="E10" i="2"/>
  <c r="G9" i="2"/>
  <c r="F9" i="2"/>
  <c r="H9" i="2" s="1"/>
  <c r="H6" i="2" s="1"/>
  <c r="D9" i="2"/>
  <c r="C9" i="2"/>
  <c r="E9" i="2" s="1"/>
  <c r="H8" i="2"/>
  <c r="E8" i="2"/>
  <c r="H7" i="2"/>
  <c r="E7" i="2"/>
  <c r="G6" i="2"/>
  <c r="G68" i="2" s="1"/>
  <c r="F6" i="2"/>
  <c r="F68" i="2" s="1"/>
  <c r="H68" i="2" s="1"/>
  <c r="B2" i="2"/>
  <c r="B1" i="2"/>
  <c r="B69" i="3"/>
  <c r="H66" i="3"/>
  <c r="E66" i="3"/>
  <c r="H64" i="3"/>
  <c r="E64" i="3"/>
  <c r="G61" i="3"/>
  <c r="F61" i="3"/>
  <c r="D61" i="3"/>
  <c r="C61" i="3"/>
  <c r="H60" i="3"/>
  <c r="E60" i="3"/>
  <c r="H59" i="3"/>
  <c r="E59" i="3"/>
  <c r="H58" i="3"/>
  <c r="E58" i="3"/>
  <c r="E61" i="3" s="1"/>
  <c r="G53" i="3"/>
  <c r="F53" i="3"/>
  <c r="D53" i="3"/>
  <c r="C53" i="3"/>
  <c r="H52" i="3"/>
  <c r="E52" i="3"/>
  <c r="H51" i="3"/>
  <c r="E51" i="3"/>
  <c r="H50" i="3"/>
  <c r="E50" i="3"/>
  <c r="H49" i="3"/>
  <c r="E49" i="3"/>
  <c r="H48" i="3"/>
  <c r="E48" i="3"/>
  <c r="H47" i="3"/>
  <c r="E47" i="3"/>
  <c r="E53" i="3" s="1"/>
  <c r="H46" i="3"/>
  <c r="E46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E34" i="3" s="1"/>
  <c r="E45" i="3" s="1"/>
  <c r="E54" i="3" s="1"/>
  <c r="H35" i="3"/>
  <c r="E35" i="3"/>
  <c r="H34" i="3"/>
  <c r="H45" i="3" s="1"/>
  <c r="G34" i="3"/>
  <c r="G45" i="3" s="1"/>
  <c r="G54" i="3" s="1"/>
  <c r="F34" i="3"/>
  <c r="F45" i="3" s="1"/>
  <c r="F54" i="3" s="1"/>
  <c r="D34" i="3"/>
  <c r="D45" i="3" s="1"/>
  <c r="D54" i="3" s="1"/>
  <c r="C34" i="3"/>
  <c r="C45" i="3" s="1"/>
  <c r="C54" i="3" s="1"/>
  <c r="G30" i="3"/>
  <c r="F30" i="3"/>
  <c r="D30" i="3"/>
  <c r="C30" i="3"/>
  <c r="H29" i="3"/>
  <c r="E29" i="3"/>
  <c r="H28" i="3"/>
  <c r="E28" i="3"/>
  <c r="H27" i="3"/>
  <c r="E27" i="3"/>
  <c r="H26" i="3"/>
  <c r="E26" i="3"/>
  <c r="H25" i="3"/>
  <c r="E25" i="3"/>
  <c r="H24" i="3"/>
  <c r="H30" i="3" s="1"/>
  <c r="E24" i="3"/>
  <c r="E30" i="3" s="1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H9" i="3" s="1"/>
  <c r="E10" i="3"/>
  <c r="G9" i="3"/>
  <c r="G22" i="3" s="1"/>
  <c r="G31" i="3" s="1"/>
  <c r="F9" i="3"/>
  <c r="F22" i="3" s="1"/>
  <c r="F31" i="3" s="1"/>
  <c r="E9" i="3"/>
  <c r="D9" i="3"/>
  <c r="D22" i="3" s="1"/>
  <c r="C9" i="3"/>
  <c r="C22" i="3" s="1"/>
  <c r="H8" i="3"/>
  <c r="E8" i="3"/>
  <c r="E22" i="3" s="1"/>
  <c r="E31" i="3" s="1"/>
  <c r="G40" i="1"/>
  <c r="F40" i="1"/>
  <c r="D40" i="1"/>
  <c r="C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G31" i="1"/>
  <c r="F31" i="1"/>
  <c r="F41" i="1" s="1"/>
  <c r="D31" i="1"/>
  <c r="C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31" i="1" s="1"/>
  <c r="E22" i="1"/>
  <c r="E31" i="1" s="1"/>
  <c r="H19" i="1"/>
  <c r="E19" i="1"/>
  <c r="H18" i="1"/>
  <c r="E18" i="1"/>
  <c r="H17" i="1"/>
  <c r="E17" i="1"/>
  <c r="H16" i="1"/>
  <c r="E16" i="1"/>
  <c r="H15" i="1"/>
  <c r="E15" i="1"/>
  <c r="G14" i="1"/>
  <c r="G20" i="1" s="1"/>
  <c r="F14" i="1"/>
  <c r="F20" i="1" s="1"/>
  <c r="D14" i="1"/>
  <c r="D20" i="1" s="1"/>
  <c r="C14" i="1"/>
  <c r="E14" i="1" s="1"/>
  <c r="H13" i="1"/>
  <c r="E13" i="1"/>
  <c r="H12" i="1"/>
  <c r="E12" i="1"/>
  <c r="C21" i="4" s="1"/>
  <c r="H11" i="1"/>
  <c r="E11" i="1"/>
  <c r="H10" i="1"/>
  <c r="E10" i="1"/>
  <c r="H9" i="1"/>
  <c r="E9" i="1"/>
  <c r="H8" i="1"/>
  <c r="E8" i="1"/>
  <c r="H7" i="1"/>
  <c r="E7" i="1"/>
  <c r="J72" i="6" l="1"/>
  <c r="E14" i="7"/>
  <c r="L37" i="8"/>
  <c r="J105" i="6"/>
  <c r="H23" i="8"/>
  <c r="E37" i="8"/>
  <c r="F37" i="8" s="1"/>
  <c r="D13" i="10"/>
  <c r="H20" i="1"/>
  <c r="C20" i="1"/>
  <c r="C41" i="1"/>
  <c r="E40" i="1"/>
  <c r="E41" i="1" s="1"/>
  <c r="C31" i="3"/>
  <c r="C56" i="3" s="1"/>
  <c r="C63" i="3" s="1"/>
  <c r="C65" i="3" s="1"/>
  <c r="C67" i="3" s="1"/>
  <c r="G56" i="3"/>
  <c r="G63" i="3" s="1"/>
  <c r="G65" i="3" s="1"/>
  <c r="G67" i="3" s="1"/>
  <c r="H53" i="3"/>
  <c r="H54" i="3" s="1"/>
  <c r="H61" i="3"/>
  <c r="C6" i="2"/>
  <c r="C68" i="2" s="1"/>
  <c r="E68" i="2" s="1"/>
  <c r="E6" i="2"/>
  <c r="H110" i="6"/>
  <c r="J108" i="6"/>
  <c r="K8" i="8"/>
  <c r="K29" i="8"/>
  <c r="J69" i="9"/>
  <c r="J72" i="9" s="1"/>
  <c r="J88" i="9"/>
  <c r="F55" i="9" s="1"/>
  <c r="J107" i="9"/>
  <c r="I110" i="9"/>
  <c r="E14" i="10"/>
  <c r="H41" i="1"/>
  <c r="H22" i="3"/>
  <c r="J109" i="6"/>
  <c r="H22" i="8"/>
  <c r="H24" i="8"/>
  <c r="H25" i="8"/>
  <c r="H26" i="8"/>
  <c r="H27" i="8"/>
  <c r="H28" i="8"/>
  <c r="J64" i="9"/>
  <c r="J74" i="9" s="1"/>
  <c r="J77" i="9" s="1"/>
  <c r="H110" i="9"/>
  <c r="J110" i="9" s="1"/>
  <c r="J98" i="9" s="1"/>
  <c r="J99" i="9" s="1"/>
  <c r="J108" i="9"/>
  <c r="E20" i="1"/>
  <c r="H40" i="1"/>
  <c r="D31" i="3"/>
  <c r="D56" i="3" s="1"/>
  <c r="D63" i="3" s="1"/>
  <c r="D65" i="3" s="1"/>
  <c r="D67" i="3" s="1"/>
  <c r="I61" i="6"/>
  <c r="I63" i="6" s="1"/>
  <c r="J64" i="6" s="1"/>
  <c r="J74" i="6" s="1"/>
  <c r="J77" i="6" s="1"/>
  <c r="C9" i="4" s="1"/>
  <c r="F72" i="6"/>
  <c r="J88" i="6"/>
  <c r="F55" i="6" s="1"/>
  <c r="I110" i="6"/>
  <c r="J37" i="8"/>
  <c r="C14" i="4"/>
  <c r="E56" i="3"/>
  <c r="E63" i="3" s="1"/>
  <c r="E65" i="3" s="1"/>
  <c r="E67" i="3" s="1"/>
  <c r="D31" i="7" s="1"/>
  <c r="C22" i="4"/>
  <c r="J110" i="6"/>
  <c r="K37" i="8"/>
  <c r="C20" i="4"/>
  <c r="C27" i="4"/>
  <c r="G41" i="1"/>
  <c r="H31" i="3"/>
  <c r="F56" i="3"/>
  <c r="F63" i="3" s="1"/>
  <c r="F65" i="3" s="1"/>
  <c r="F67" i="3" s="1"/>
  <c r="F58" i="9"/>
  <c r="F59" i="9" s="1"/>
  <c r="F61" i="9" s="1"/>
  <c r="J104" i="6"/>
  <c r="M21" i="8"/>
  <c r="H14" i="1"/>
  <c r="C26" i="4"/>
  <c r="D41" i="1"/>
  <c r="I20" i="6"/>
  <c r="F8" i="8"/>
  <c r="F29" i="8"/>
  <c r="M30" i="8"/>
  <c r="H30" i="8"/>
  <c r="M31" i="8"/>
  <c r="H31" i="8"/>
  <c r="M32" i="8"/>
  <c r="H32" i="8"/>
  <c r="M33" i="8"/>
  <c r="H33" i="8"/>
  <c r="M34" i="8"/>
  <c r="H34" i="8"/>
  <c r="M35" i="8"/>
  <c r="H35" i="8"/>
  <c r="M36" i="8"/>
  <c r="H36" i="8"/>
  <c r="I37" i="8"/>
  <c r="I20" i="9"/>
  <c r="J104" i="9"/>
  <c r="E7" i="10"/>
  <c r="E13" i="10" s="1"/>
  <c r="E26" i="7"/>
  <c r="E26" i="10"/>
  <c r="H37" i="8" l="1"/>
  <c r="M37" i="8"/>
  <c r="H56" i="3"/>
  <c r="H63" i="3" s="1"/>
  <c r="H65" i="3" s="1"/>
  <c r="H67" i="3" s="1"/>
  <c r="D31" i="10" s="1"/>
  <c r="E31" i="10" s="1"/>
  <c r="I21" i="9" s="1"/>
  <c r="I27" i="9" s="1"/>
  <c r="I28" i="9" s="1"/>
  <c r="I29" i="9" s="1"/>
  <c r="I32" i="9" s="1"/>
  <c r="I7" i="9" s="1"/>
  <c r="H98" i="6"/>
  <c r="H99" i="6" s="1"/>
  <c r="D58" i="6"/>
  <c r="D59" i="6" s="1"/>
  <c r="D61" i="6" s="1"/>
  <c r="H98" i="9"/>
  <c r="H99" i="9" s="1"/>
  <c r="D58" i="9"/>
  <c r="D59" i="9" s="1"/>
  <c r="D61" i="9" s="1"/>
  <c r="H8" i="8"/>
  <c r="M8" i="8"/>
  <c r="D29" i="10"/>
  <c r="E31" i="7"/>
  <c r="I21" i="6" s="1"/>
  <c r="I27" i="6" s="1"/>
  <c r="I28" i="6" s="1"/>
  <c r="I29" i="6" s="1"/>
  <c r="I32" i="6" s="1"/>
  <c r="I7" i="6" s="1"/>
  <c r="C8" i="4" s="1"/>
  <c r="D29" i="7"/>
  <c r="I6" i="9"/>
  <c r="M29" i="8"/>
  <c r="H29" i="8"/>
  <c r="I6" i="6"/>
  <c r="C7" i="4" s="1"/>
  <c r="F58" i="6"/>
  <c r="F59" i="6" s="1"/>
  <c r="F61" i="6" s="1"/>
  <c r="J98" i="6"/>
  <c r="J99" i="6" s="1"/>
  <c r="E29" i="7" l="1"/>
  <c r="D33" i="7"/>
  <c r="E33" i="7" s="1"/>
  <c r="D33" i="10"/>
  <c r="E33" i="10" s="1"/>
  <c r="E29" i="10"/>
</calcChain>
</file>

<file path=xl/sharedStrings.xml><?xml version="1.0" encoding="utf-8"?>
<sst xmlns="http://schemas.openxmlformats.org/spreadsheetml/2006/main" count="647" uniqueCount="357">
  <si>
    <t>ბანკი:</t>
  </si>
  <si>
    <t>სს " პაშა ბანკი საქართველო"</t>
  </si>
  <si>
    <t>თარიღი:</t>
  </si>
  <si>
    <t xml:space="preserve"> საბალანსო უწყისი</t>
  </si>
  <si>
    <t>ლარებით</t>
  </si>
  <si>
    <t>საანგარიშგებო პერიოდი</t>
  </si>
  <si>
    <t>წინა წლის შესაბამისი პერიოდი</t>
  </si>
  <si>
    <t>N</t>
  </si>
  <si>
    <t>აქტივები</t>
  </si>
  <si>
    <t>ლარი</t>
  </si>
  <si>
    <t>უცხ.ვალუტა</t>
  </si>
  <si>
    <t>სულ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</si>
  <si>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</si>
  <si>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</si>
  <si>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</si>
  <si>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</si>
  <si>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</si>
  <si>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</si>
  <si>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</si>
  <si>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</si>
  <si>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</si>
  <si>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</si>
  <si>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</si>
  <si>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</si>
  <si>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</si>
  <si>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</si>
  <si>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</si>
  <si>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</si>
  <si>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</si>
  <si>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</si>
  <si>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</si>
  <si>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</si>
  <si>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</si>
  <si>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</si>
  <si>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</si>
  <si>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</si>
  <si>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</si>
  <si>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</si>
  <si>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</si>
  <si>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</si>
  <si>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</si>
  <si>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</si>
  <si>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</si>
  <si>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</si>
  <si>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აქტივების გადაფასების რეზერვები</t>
  </si>
  <si>
    <t>სულ სააქციო კაპიტალი</t>
  </si>
  <si>
    <t>მთლიანი ვალდებულებები და სააქციო კაპიტალი</t>
  </si>
  <si>
    <t>მოგება - ზარალის უწყისი</t>
  </si>
  <si>
    <t>საპროცენტო შემოსავლები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</si>
  <si>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</si>
  <si>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</si>
  <si>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</si>
  <si>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</si>
  <si>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</si>
  <si>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მეურნეობისა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</si>
  <si>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</si>
  <si>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</si>
  <si>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</si>
  <si>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</si>
  <si>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</si>
  <si>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</si>
  <si>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</si>
  <si>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</si>
  <si>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 xml:space="preserve">მთლიანი საპროცენტო შემოსავლები </t>
  </si>
  <si>
    <t>საპროცენტო ხარჯები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</si>
  <si>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</si>
  <si>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</si>
  <si>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ბანკების დეპოზიტებზე გადახდილი პროცენტები</t>
  </si>
  <si>
    <t>საკუთარ სავალო ფასიან ქაღალდებზე 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</si>
  <si>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</si>
  <si>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</si>
  <si>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</si>
  <si>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</si>
  <si>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</si>
  <si>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მომსახურების მიხედვით</t>
  </si>
  <si>
    <t>საკომისიო და სხვა შემოსავლები გაწეული მომსახურების მიხედვით</t>
  </si>
  <si>
    <t>საკომისიო და სხვა ხარჯები მიღებული მომსახურების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</si>
  <si>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</si>
  <si>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</si>
  <si>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</si>
  <si>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</si>
  <si>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მოგება (ზარალი) სავალუტო სახსრების გადაფასებიდან</t>
  </si>
  <si>
    <t>მოგება (ზარალი)  ქონების გაყიდვიდან</t>
  </si>
  <si>
    <t>სხვა საბანკო ოპერციებიდან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</si>
  <si>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</si>
  <si>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</si>
  <si>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</si>
  <si>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</si>
  <si>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</si>
  <si>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</si>
  <si>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</si>
  <si>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</si>
  <si>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</si>
  <si>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</si>
  <si>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</si>
  <si>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</si>
  <si>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</si>
  <si>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</si>
  <si>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</si>
  <si>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</si>
  <si>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</si>
  <si>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</si>
  <si>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</si>
  <si>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</si>
  <si>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</si>
  <si>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პირობითი ვალდებულებები</t>
  </si>
  <si>
    <t>აქცეპტები და ინდოსამენტები</t>
  </si>
  <si>
    <t>გაცემული გარანტიები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</si>
  <si>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</si>
  <si>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</si>
  <si>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ფორმალური ვალდებულებები</t>
  </si>
  <si>
    <t>აღებული ფინანსური ვალდებულებები</t>
  </si>
  <si>
    <t>მესამე მხარის მიერ მიღებული ფინანსური ვალდებულებები</t>
  </si>
  <si>
    <t>მისაღებად მოსალოდნელი ფასიანი ქაღალდები</t>
  </si>
  <si>
    <t>გასაყიდად განკუთვნილი ფასიანი ქაღალდები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</si>
  <si>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</si>
  <si>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</si>
  <si>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დანარჩენი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</si>
  <si>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</si>
  <si>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</si>
  <si>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მესამე მხარის კლიენტის ვალდებულება ბანკის მიმართ</t>
  </si>
  <si>
    <t>ძვირფასი ლითონები</t>
  </si>
  <si>
    <t>ფასიანი ქაღალდები</t>
  </si>
  <si>
    <t>სხვა ქონება</t>
  </si>
  <si>
    <t>საპროცენტო განაკვეთის კონტრაქტები</t>
  </si>
  <si>
    <t>ფინანსურ ინსტრუმენტებზე დადებული ფორვარდული კონტრაქტები</t>
  </si>
  <si>
    <t>ოფციონები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</si>
  <si>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</si>
  <si>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</si>
  <si>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ფორვარდული კონტრაქტები</t>
  </si>
  <si>
    <t>ფიუჩერსული კონტრაქტები</t>
  </si>
  <si>
    <t>გაუნაღდებელი დოკუმენტები</t>
  </si>
  <si>
    <t>7.1</t>
  </si>
  <si>
    <t>ვადაში გაუნაღდებელი დოკუმენტები გადამხდელის მიზეზით</t>
  </si>
  <si>
    <t>7.2</t>
  </si>
  <si>
    <t>ვადაში გაუნაღდებელი დოკუმენტები ბანკის მიზეზით</t>
  </si>
  <si>
    <t>7.3</t>
  </si>
  <si>
    <t>გაუნაღდებელი საწესდებო ფონდი</t>
  </si>
  <si>
    <t>ზარალში ჩამოწერილი ვალები</t>
  </si>
  <si>
    <t>8.1</t>
  </si>
  <si>
    <t>8.2</t>
  </si>
  <si>
    <t>8.3</t>
  </si>
  <si>
    <t>ზარალში ჩამოწერილი ვალები 31.12.2000-მდე</t>
  </si>
  <si>
    <t>8.4</t>
  </si>
  <si>
    <t>8.5</t>
  </si>
  <si>
    <t>ზარალში ჩამოწერილი სხვა აქტივები</t>
  </si>
  <si>
    <t>სხვა ფასეულობა და დოკუმენტები</t>
  </si>
  <si>
    <t>9.1</t>
  </si>
  <si>
    <t>გაურჩეველი ფულიანი ამანათები</t>
  </si>
  <si>
    <t>9.2</t>
  </si>
  <si>
    <t>მცირეფასიანი ინვენტარი</t>
  </si>
  <si>
    <t>9.3</t>
  </si>
  <si>
    <t>მკაცრი აღრიცხვის ბლანკები</t>
  </si>
  <si>
    <t>9.4</t>
  </si>
  <si>
    <t>სპეცლატარიის ანაზღაურება</t>
  </si>
  <si>
    <t>ეკონომიკური მაჩვენებლები</t>
  </si>
  <si>
    <t>კაპიტალი</t>
  </si>
  <si>
    <t>რისკის მიხედვით შეწონილი აქტივები / მთლიან აქტივებთან</t>
  </si>
  <si>
    <t>ფულადი დივიდენდები / წმინდა მოგებასთან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</si>
  <si>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</si>
  <si>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</si>
  <si>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</si>
  <si>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</si>
  <si>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</si>
  <si>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</si>
  <si>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</si>
  <si>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</si>
  <si>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</si>
  <si>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</si>
  <si>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</si>
  <si>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</si>
  <si>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</si>
  <si>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ლიკვიდობა</t>
  </si>
  <si>
    <t xml:space="preserve">ლიკვიდური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</si>
  <si>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</si>
  <si>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</si>
  <si>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</si>
  <si>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</si>
  <si>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</si>
  <si>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</si>
  <si>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</si>
  <si>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შაჰინ მამმადოვი</t>
  </si>
  <si>
    <t>ღსს "პაშა ბანკი" (PASHA Bank OJSC) -</t>
  </si>
  <si>
    <t xml:space="preserve">არიფ პაშაევი </t>
  </si>
  <si>
    <t xml:space="preserve">არზუ ალიევა </t>
  </si>
  <si>
    <t xml:space="preserve">ლეილა ალიევა </t>
  </si>
  <si>
    <t>მირ ჯამალ პაშაევი</t>
  </si>
  <si>
    <t>გიორგი ჯაფარიძე</t>
  </si>
  <si>
    <t>A-CA</t>
  </si>
  <si>
    <t>კაპიტალის ადეკვატურობა</t>
  </si>
  <si>
    <t>ლარებში</t>
  </si>
  <si>
    <t>პირველადი კაპიტალის ადეკვატურობის კოეფიციენტი</t>
  </si>
  <si>
    <t>საზედამხედველო კაპიტალის ადეკვატურობის კოეფიციენტი</t>
  </si>
  <si>
    <t>A-CA1</t>
  </si>
  <si>
    <t>საზედამხედველო კაპიტალი</t>
  </si>
  <si>
    <t>ჩვეულებრივი აქციები (გამოსყიდულის გამოკლებით)</t>
  </si>
  <si>
    <t>არაკუმულაციური უვადო პრივილეგირებული აქციები (გამოსყიდულის გამოკლებით)</t>
  </si>
  <si>
    <t>აქციების ემისიით მიღებული დამატებითი სახსრები</t>
  </si>
  <si>
    <t>სარეზერვო ფონდი</t>
  </si>
  <si>
    <t>წინა წლების გაუნაწილებელი მოგება (ზარალი)</t>
  </si>
  <si>
    <t>მინუს: ბანკის საწესდებო კაპიტალში ასახული ძირითადი საშუალებების გადაფასების რეზერვიდავ გადატანილი თანხა</t>
  </si>
  <si>
    <t>მინუს: არამატერიალური აქტივები</t>
  </si>
  <si>
    <t>პირველადი კაპიტალი (არანაკლებ საზედამხედველო კაპიტალის 50%)</t>
  </si>
  <si>
    <t>მიმდინარე წლის მოგება (ზარალი)</t>
  </si>
  <si>
    <t>მიზნობრივი ფონდები</t>
  </si>
  <si>
    <t>საერთო რეზერვები (არაუმეტეს საკრედიტო და საბაზრო რმშა–ის 1.25%)</t>
  </si>
  <si>
    <t>პრივილეგირებული აქციები, გარდა პირველად კაპიტალში ასახულისა (გამოსყიდულის გამოკლებით)</t>
  </si>
  <si>
    <t>ბანკის აქციებში კონვერტირებადი ვალი</t>
  </si>
  <si>
    <t>ნებადართული სუბორდინირებული ვალი (არაუმეტეს პირველადი კაპიტალის 50%)</t>
  </si>
  <si>
    <t>მეორადი კაპიტალის კომპონენტების ჯამი</t>
  </si>
  <si>
    <t>მეორადი კაპიტალი (არაუმეტეს პირველადი კაპიტალის 100%)</t>
  </si>
  <si>
    <t>საზედამხედველო კაპიტალი დაქვითვამდე</t>
  </si>
  <si>
    <t>მინუს: ინვესტიციები საქართველოს რეზიდენტი ბანკების საწესდებო კაპიტალში</t>
  </si>
  <si>
    <t>მინუს: არაკონსოლიდირებული ინვესტიციები ბანკის შვილობილი საწარმოების საწესდებო კაპიტალში</t>
  </si>
  <si>
    <t>A-CA2</t>
  </si>
  <si>
    <t>რისკის მიხედვით შეწონილი აქტივები</t>
  </si>
  <si>
    <t>საკრედიტო რისკის მიხედვით შეწონილი აქტივები</t>
  </si>
  <si>
    <t>ღირებულება</t>
  </si>
  <si>
    <t>მუხლები, რომლებიც არ ექვემდებარება შეწონვას</t>
  </si>
  <si>
    <t>შეწონვას დაქვემდებარებული აქტივები</t>
  </si>
  <si>
    <t>საკრედიტო რისკის კატეგორიები</t>
  </si>
  <si>
    <t>ფასიანი ქღალდები დილინგური ოპერაციებისათვის</t>
  </si>
  <si>
    <t>დარიცხული მისარები პროცენტები და დივიდენდები</t>
  </si>
  <si>
    <t>სულ აქტივები</t>
  </si>
  <si>
    <t>ბალანსგარეშე ვალდებულებები</t>
  </si>
  <si>
    <t>კრედიტ კონვერსიის კოეფიციენტი</t>
  </si>
  <si>
    <t>კრედიტ ექვივალენტური თანხა</t>
  </si>
  <si>
    <t>საკრედიტო რისკის კატეგორია</t>
  </si>
  <si>
    <t>I კატეგორიის ბალანსგარეშე ვალდებულებები</t>
  </si>
  <si>
    <t>II კატეგორიის ბალანსგარეშე ვალდებულებები</t>
  </si>
  <si>
    <t>III კატეგორიის ბალანსგარეშე ვალდებულებები</t>
  </si>
  <si>
    <t>IV კატეგორიის ბალანსგარეშე ვალდებულებები</t>
  </si>
  <si>
    <t>საპროცენტო განაკვეთთან და სავალუტო კურსთან დაკავშირებული კონტრაქტები</t>
  </si>
  <si>
    <t>სულ ბალანსგარეშე ვალდებულებები</t>
  </si>
  <si>
    <t>სულ აქტივები და ბალანსგარეშე ვალდებულებები</t>
  </si>
  <si>
    <t>საკრედიტო რისკის კოეფიციენტი</t>
  </si>
  <si>
    <t>საკრედიტო რისკის მიხედვით შეწონილი აქტივები კატეგორიების მიხედვით</t>
  </si>
  <si>
    <t>სულ საკრედიტო რისკის მიხედვით შეწონილი აქტივები</t>
  </si>
  <si>
    <t>საბაზრო რისკის მიხედვით შეწონილი აქტივები</t>
  </si>
  <si>
    <t>სავალუტო რისკის კატეგორია</t>
  </si>
  <si>
    <t>სესხები</t>
  </si>
  <si>
    <t xml:space="preserve"> </t>
  </si>
  <si>
    <t>დებიტორული დავალიანება</t>
  </si>
  <si>
    <t>დარიცხული მისაღები პროცენტები</t>
  </si>
  <si>
    <t>სულ საბაზრო რისკის მიხედვით შეწონილი აქტივები</t>
  </si>
  <si>
    <t>საკრედიტო და საბაზრო რისკის მიხედვით შეწონილი აქტივები</t>
  </si>
  <si>
    <t>მინუს: საერთო რეზერვები (ის ნაწილი, რომელიც არ შედის მეორად კაპიტალში)</t>
  </si>
  <si>
    <t>მინუს: სპეციალური რეზერვი</t>
  </si>
  <si>
    <t>სულ რისკის მიხედვით შეწონილი აქტივები</t>
  </si>
  <si>
    <t>A-CA3</t>
  </si>
  <si>
    <t>საკრედიტო რისკით შეწონვას დაქვემდებარებული ბალანსგარეშე ვალდებულებები</t>
  </si>
  <si>
    <t>გაცემული გარანტიები, თუ ამ ვალდებულებების შესრულებამდე დარჩენილი ვადა არ აღემატება ერთ წელს</t>
  </si>
  <si>
    <t>საბანკო აქცეპტები, თუ ამ ვალდებულებების შესრულებამდე დარჩენილი ვადა არ აღემატება ერთ წელს</t>
  </si>
  <si>
    <t>სესხის გაცემის ვალდებულებები, თუ ამ ვალდებულებების შესრულებამდე დარჩენილი ვადა არ აღემატება ერთ წელს</t>
  </si>
  <si>
    <t xml:space="preserve">აქტივის გაყიდვაზე ვალდებულებები უკან გამოსყიდვის ვალდებულებით, როდესაც საკრედიტო რისკს იღებს ბანკი და ამ ვალდებულებების შესრულებამდე დარჩენილი ვადა არ აღემატება ერთ წელს </t>
  </si>
  <si>
    <t>აქტივის შესყიდვაზე ვალდებულებები, თუ ამ ვალდებულების შესრულებამდე დარჩენილი ვადა არ აღემატება ერთ წელს</t>
  </si>
  <si>
    <t>II  კატეგორიის ბალანსგარეშე ვალდებულებები</t>
  </si>
  <si>
    <t>გაცემული გარანტიები, თუ ამ ვალდებულებების შესრულებამდე დარჩენილი ვადა აღემატება ერთ წელს</t>
  </si>
  <si>
    <t>საბანკო აქცეპტები, თუ ამ ვალდებულებების შესრულებამდე დარჩენილი ვადა აღემატება ერთ წელს</t>
  </si>
  <si>
    <t>სესხის გაცემის ვალდებულებები, თუ ამ ვალდებულებების შესრულებამდე დარჩენილი ვადა აღემატება ერთ წელს</t>
  </si>
  <si>
    <t xml:space="preserve">აქტივის გაყიდვაზე ვალდებულებები უკან გამოსყიდვის ვალდებულებით, როდესაც საკრედიტო რისკს იღებს ბანკი და ამ ვალდებულებების შესრულებამდე დარჩენილი ვადა აღემატება ერთ წელს </t>
  </si>
  <si>
    <t>აქტივის შესყიდვაზე ვალდებულებები, თუ ამ ვალდებულების შესრულებამდე დარჩენილი ვადა აღემატება ერთ წელს</t>
  </si>
  <si>
    <t>III  კატეგორიის ბალანსგარეშე ვალდებულებები</t>
  </si>
  <si>
    <t>ტვირთებით უზრუნველყოფილი დოკუმენტური აკრედიტივები</t>
  </si>
  <si>
    <t>ვალდებულებები, რომლებიც ნებისმიერ დროს შეიძლება უპირობოდ გაუქმდეს ბანკის მიერ</t>
  </si>
  <si>
    <t>`</t>
  </si>
  <si>
    <t>კონტრაქტები საპროცენტო განაკვეთზე</t>
  </si>
  <si>
    <t>კონტრაქტები სავალუტო კურსზე</t>
  </si>
  <si>
    <t>კონტრაქტები 1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</si>
  <si>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</si>
  <si>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</si>
  <si>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</si>
  <si>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</si>
  <si>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</si>
  <si>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RI-C1</t>
  </si>
  <si>
    <t>საწესდებო კაპიტალი</t>
  </si>
  <si>
    <t>1 აქციის ნომინალური ღირებულება</t>
  </si>
  <si>
    <t>რაოდენობა</t>
  </si>
  <si>
    <t>თანხა</t>
  </si>
  <si>
    <t>სულ გამოშვებული აქციები (განცხადებული კაპიტალი)</t>
  </si>
  <si>
    <t>X</t>
  </si>
  <si>
    <t>რეალიზებული აქციები (განაღდებული კაპიტალი)</t>
  </si>
  <si>
    <t>სარეალიზაციო აქციები</t>
  </si>
  <si>
    <t>RI-C2</t>
  </si>
  <si>
    <t>ცვლილებები სააქციო კაპიტალში</t>
  </si>
  <si>
    <t>ნაშთი წლის დასაწყისში</t>
  </si>
  <si>
    <t>ცვლილება წლის დასაწყისიდან</t>
  </si>
  <si>
    <t>ნაშთი ანგარიშგების თარიღისათვის</t>
  </si>
  <si>
    <t>გამოსყიდული ჩვეულებრივი აქციები (–ნიშნით)</t>
  </si>
  <si>
    <t>გამოსყიდული პრივილეგირებული აქციები (–ნიშნით)</t>
  </si>
  <si>
    <t>ჩვეულებრივი აქციების რეალიზაციით მიღებული დამატებითი სახსრები</t>
  </si>
  <si>
    <t>პრივილეგირებული აქციების რეალიზაციით მიღებული დამატებითი სახსრები</t>
  </si>
  <si>
    <t>წინა წლების გაუნაწილებელი მოგება</t>
  </si>
  <si>
    <t>მიმდინარე წლის წმინდა მოგება</t>
  </si>
  <si>
    <t>აქტივების გადაფასების რეზერვი</t>
  </si>
  <si>
    <t>RC-I</t>
  </si>
  <si>
    <t xml:space="preserve">საწარმოთა ჩამონათვალი განხორციელებული ინვესტიციებით </t>
  </si>
  <si>
    <t>ძირითადი საქმიანობა</t>
  </si>
  <si>
    <t>ინვესტიციის საბალანსო თანხა</t>
  </si>
  <si>
    <t>წილი საწარმოს საწესდებო კაპიტალში</t>
  </si>
  <si>
    <t>წილი ბანკის სააქციო კაპიტალში</t>
  </si>
  <si>
    <t>ინვესტიციად აღიარებული სესხის საბალანსო თანხა</t>
  </si>
  <si>
    <t>რეზერვი (მინუს ნიშნით)</t>
  </si>
  <si>
    <t>ჯამი</t>
  </si>
  <si>
    <t>ინვესტიციები 20%–მდე წილით</t>
  </si>
  <si>
    <t>ინვესტიციები 20%–დან 50%–მდე წილით</t>
  </si>
  <si>
    <t>ინვესტიციები 50%–ზე მეტი წილით</t>
  </si>
  <si>
    <t>სულ ინვესტიციები საწესდებო კაპიტალში</t>
  </si>
  <si>
    <t>* შენიშვნა: ინვესტიციები უცხოურ ვალუტაში აისახება მხოლოდ არარეზიდენტ საწარმოებში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</si>
  <si>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</si>
  <si>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</si>
  <si>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ჩინგიზ აბდულაევი</t>
  </si>
  <si>
    <t>ბალანსგარეშე ანგარიშგების უწყისი *</t>
  </si>
  <si>
    <t>მიღებული გარანტიები: **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</si>
  <si>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</si>
  <si>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</si>
  <si>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</si>
  <si>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</si>
  <si>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გირავნობის უზრუნველყოფის სახით მიღებული აქტივები: **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</si>
  <si>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</si>
  <si>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</si>
  <si>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</si>
  <si>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</si>
  <si>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</si>
  <si>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</si>
  <si>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</si>
  <si>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</si>
  <si>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</si>
  <si>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</si>
  <si>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</si>
  <si>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</si>
  <si>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</si>
  <si>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</si>
  <si>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</si>
  <si>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</si>
  <si>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</si>
  <si>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</si>
  <si>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</si>
  <si>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</si>
  <si>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</si>
  <si>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</si>
  <si>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</si>
  <si>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</si>
  <si>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</si>
  <si>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</si>
  <si>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</si>
  <si>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</si>
  <si>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</si>
  <si>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</si>
  <si>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</si>
  <si>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</si>
  <si>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*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</si>
  <si>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</si>
  <si>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ტალეჰ კაზიმოვი</t>
  </si>
  <si>
    <t>ჯალალ გასიმოვი</t>
  </si>
  <si>
    <t>ჰიქმეთ ჯენქ აინეჰენი</t>
  </si>
  <si>
    <t>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</si>
</sst>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mm/dd/yy"/>
    <numFmt numFmtId="165" formatCode="#,##0;[Red]#,##0"/>
    <numFmt numFmtId="166" formatCode="m/d/yy;@"/>
    <numFmt numFmtId="167" formatCode="_-[$€]* #,##0.00_-;\-[$€]* #,##0.00_-;_-[$€]* &quot;-&quot;??_-;_-@_-"/>
    <numFmt numFmtId="168" formatCode="_(* #,##0_);_(* \(#,##0\);_(* &quot;-&quot;??_);_(@_)"/>
    <numFmt numFmtId="169" formatCode="0.0"/>
    <numFmt numFmtId="170" formatCode="0.0%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Helv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Sylfae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Geo_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8"/>
      <name val="Geo_Arial"/>
      <family val="2"/>
    </font>
    <font>
      <sz val="8"/>
      <name val="GeoDumba"/>
      <family val="2"/>
    </font>
    <font>
      <sz val="10"/>
      <name val="GeoDumba"/>
      <family val="2"/>
    </font>
    <font>
      <sz val="11"/>
      <name val="Univers (W1)"/>
    </font>
    <font>
      <b/>
      <sz val="10"/>
      <name val="Bookman Old Style"/>
      <family val="1"/>
    </font>
    <font>
      <b/>
      <sz val="11"/>
      <name val="Geo_Arial"/>
      <family val="2"/>
    </font>
    <font>
      <sz val="10"/>
      <name val="GeoMDumba"/>
      <family val="2"/>
    </font>
    <font>
      <sz val="8"/>
      <name val="Times New Roman"/>
      <family val="1"/>
    </font>
    <font>
      <sz val="9"/>
      <name val="GeoDumba"/>
      <family val="2"/>
    </font>
    <font>
      <b/>
      <sz val="10"/>
      <name val="Geo_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Geo_Academiuri"/>
      <family val="1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rgb="FFFF0000"/>
      <name val="Sylfae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</patternFill>
    </fill>
    <fill>
      <patternFill patternType="solid">
        <fgColor indexed="9"/>
      </patternFill>
    </fill>
    <fill>
      <patternFill patternType="solid">
        <fgColor rgb="FFFFFF00"/>
      </patternFill>
    </fill>
    <fill>
      <patternFill patternType="darkUp">
        <bgColor rgb="FFFFFF00"/>
      </patternFill>
    </fill>
    <fill>
      <patternFill patternType="darkUp"/>
    </fill>
    <fill>
      <patternFill patternType="darkUp">
        <bgColor indexed="9"/>
      </patternFill>
    </fill>
    <fill>
      <patternFill patternType="darkUp">
        <bgColor theme="0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52">
    <xf numFmtId="0" fontId="0" fillId="0" borderId="0"/>
    <xf numFmtId="0" fontId="32" fillId="0" borderId="0"/>
    <xf numFmtId="0" fontId="14" fillId="3" borderId="0"/>
    <xf numFmtId="0" fontId="14" fillId="3" borderId="0"/>
    <xf numFmtId="0" fontId="14" fillId="3" borderId="0"/>
    <xf numFmtId="0" fontId="14" fillId="4" borderId="0"/>
    <xf numFmtId="0" fontId="14" fillId="4" borderId="0"/>
    <xf numFmtId="0" fontId="14" fillId="4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6" borderId="0"/>
    <xf numFmtId="0" fontId="14" fillId="6" borderId="0"/>
    <xf numFmtId="0" fontId="14" fillId="7" borderId="0"/>
    <xf numFmtId="0" fontId="14" fillId="7" borderId="0"/>
    <xf numFmtId="0" fontId="14" fillId="7" borderId="0"/>
    <xf numFmtId="0" fontId="14" fillId="8" borderId="0"/>
    <xf numFmtId="0" fontId="14" fillId="8" borderId="0"/>
    <xf numFmtId="0" fontId="14" fillId="8" borderId="0"/>
    <xf numFmtId="0" fontId="14" fillId="9" borderId="0"/>
    <xf numFmtId="0" fontId="14" fillId="9" borderId="0"/>
    <xf numFmtId="0" fontId="14" fillId="9" borderId="0"/>
    <xf numFmtId="0" fontId="14" fillId="10" borderId="0"/>
    <xf numFmtId="0" fontId="14" fillId="10" borderId="0"/>
    <xf numFmtId="0" fontId="14" fillId="10" borderId="0"/>
    <xf numFmtId="0" fontId="14" fillId="11" borderId="0"/>
    <xf numFmtId="0" fontId="14" fillId="11" borderId="0"/>
    <xf numFmtId="0" fontId="14" fillId="11" borderId="0"/>
    <xf numFmtId="0" fontId="14" fillId="6" borderId="0"/>
    <xf numFmtId="0" fontId="14" fillId="6" borderId="0"/>
    <xf numFmtId="0" fontId="14" fillId="6" borderId="0"/>
    <xf numFmtId="0" fontId="14" fillId="9" borderId="0"/>
    <xf numFmtId="0" fontId="14" fillId="9" borderId="0"/>
    <xf numFmtId="0" fontId="14" fillId="9" borderId="0"/>
    <xf numFmtId="0" fontId="14" fillId="12" borderId="0"/>
    <xf numFmtId="0" fontId="14" fillId="12" borderId="0"/>
    <xf numFmtId="0" fontId="14" fillId="12" borderId="0"/>
    <xf numFmtId="0" fontId="15" fillId="13" borderId="0"/>
    <xf numFmtId="0" fontId="15" fillId="13" borderId="0"/>
    <xf numFmtId="0" fontId="15" fillId="13" borderId="0"/>
    <xf numFmtId="0" fontId="15" fillId="10" borderId="0"/>
    <xf numFmtId="0" fontId="15" fillId="10" borderId="0"/>
    <xf numFmtId="0" fontId="15" fillId="10" borderId="0"/>
    <xf numFmtId="0" fontId="15" fillId="11" borderId="0"/>
    <xf numFmtId="0" fontId="15" fillId="11" borderId="0"/>
    <xf numFmtId="0" fontId="15" fillId="11" borderId="0"/>
    <xf numFmtId="0" fontId="15" fillId="14" borderId="0"/>
    <xf numFmtId="0" fontId="15" fillId="14" borderId="0"/>
    <xf numFmtId="0" fontId="15" fillId="14" borderId="0"/>
    <xf numFmtId="0" fontId="15" fillId="15" borderId="0"/>
    <xf numFmtId="0" fontId="15" fillId="15" borderId="0"/>
    <xf numFmtId="0" fontId="15" fillId="15" borderId="0"/>
    <xf numFmtId="0" fontId="15" fillId="16" borderId="0"/>
    <xf numFmtId="0" fontId="15" fillId="16" borderId="0"/>
    <xf numFmtId="0" fontId="15" fillId="16" borderId="0"/>
    <xf numFmtId="0" fontId="15" fillId="17" borderId="0"/>
    <xf numFmtId="0" fontId="15" fillId="17" borderId="0"/>
    <xf numFmtId="0" fontId="15" fillId="17" borderId="0"/>
    <xf numFmtId="0" fontId="15" fillId="18" borderId="0"/>
    <xf numFmtId="0" fontId="15" fillId="18" borderId="0"/>
    <xf numFmtId="0" fontId="15" fillId="18" borderId="0"/>
    <xf numFmtId="0" fontId="15" fillId="19" borderId="0"/>
    <xf numFmtId="0" fontId="15" fillId="19" borderId="0"/>
    <xf numFmtId="0" fontId="15" fillId="19" borderId="0"/>
    <xf numFmtId="0" fontId="15" fillId="14" borderId="0"/>
    <xf numFmtId="0" fontId="15" fillId="14" borderId="0"/>
    <xf numFmtId="0" fontId="15" fillId="14" borderId="0"/>
    <xf numFmtId="0" fontId="15" fillId="15" borderId="0"/>
    <xf numFmtId="0" fontId="15" fillId="15" borderId="0"/>
    <xf numFmtId="0" fontId="15" fillId="15" borderId="0"/>
    <xf numFmtId="0" fontId="15" fillId="20" borderId="0"/>
    <xf numFmtId="0" fontId="15" fillId="20" borderId="0"/>
    <xf numFmtId="0" fontId="15" fillId="20" borderId="0"/>
    <xf numFmtId="0" fontId="16" fillId="4" borderId="0"/>
    <xf numFmtId="0" fontId="16" fillId="4" borderId="0"/>
    <xf numFmtId="0" fontId="16" fillId="4" borderId="0"/>
    <xf numFmtId="0" fontId="17" fillId="21" borderId="15"/>
    <xf numFmtId="0" fontId="17" fillId="21" borderId="15"/>
    <xf numFmtId="0" fontId="17" fillId="21" borderId="15"/>
    <xf numFmtId="0" fontId="18" fillId="22" borderId="16"/>
    <xf numFmtId="0" fontId="18" fillId="22" borderId="16"/>
    <xf numFmtId="0" fontId="18" fillId="22" borderId="16"/>
    <xf numFmtId="43" fontId="13" fillId="0" borderId="0"/>
    <xf numFmtId="43" fontId="13" fillId="0" borderId="0"/>
    <xf numFmtId="43" fontId="13" fillId="0" borderId="0"/>
    <xf numFmtId="167" fontId="2" fillId="0" borderId="0"/>
    <xf numFmtId="0" fontId="19" fillId="0" borderId="0"/>
    <xf numFmtId="0" fontId="19" fillId="0" borderId="0"/>
    <xf numFmtId="0" fontId="19" fillId="0" borderId="0"/>
    <xf numFmtId="0" fontId="20" fillId="5" borderId="0"/>
    <xf numFmtId="0" fontId="20" fillId="5" borderId="0"/>
    <xf numFmtId="0" fontId="20" fillId="5" borderId="0"/>
    <xf numFmtId="0" fontId="21" fillId="0" borderId="17"/>
    <xf numFmtId="0" fontId="21" fillId="0" borderId="17"/>
    <xf numFmtId="0" fontId="21" fillId="0" borderId="17"/>
    <xf numFmtId="0" fontId="22" fillId="0" borderId="18"/>
    <xf numFmtId="0" fontId="22" fillId="0" borderId="18"/>
    <xf numFmtId="0" fontId="22" fillId="0" borderId="18"/>
    <xf numFmtId="0" fontId="23" fillId="0" borderId="19"/>
    <xf numFmtId="0" fontId="23" fillId="0" borderId="19"/>
    <xf numFmtId="0" fontId="23" fillId="0" borderId="19"/>
    <xf numFmtId="0" fontId="23" fillId="0" borderId="0"/>
    <xf numFmtId="0" fontId="23" fillId="0" borderId="0"/>
    <xf numFmtId="0" fontId="23" fillId="0" borderId="0"/>
    <xf numFmtId="0" fontId="3" fillId="0" borderId="0">
      <alignment vertical="top"/>
      <protection locked="0"/>
    </xf>
    <xf numFmtId="0" fontId="24" fillId="8" borderId="15"/>
    <xf numFmtId="0" fontId="24" fillId="8" borderId="15"/>
    <xf numFmtId="0" fontId="24" fillId="8" borderId="15"/>
    <xf numFmtId="0" fontId="25" fillId="0" borderId="20"/>
    <xf numFmtId="0" fontId="25" fillId="0" borderId="20"/>
    <xf numFmtId="0" fontId="25" fillId="0" borderId="20"/>
    <xf numFmtId="0" fontId="26" fillId="23" borderId="0"/>
    <xf numFmtId="0" fontId="26" fillId="23" borderId="0"/>
    <xf numFmtId="0" fontId="26" fillId="2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24" borderId="21"/>
    <xf numFmtId="0" fontId="2" fillId="24" borderId="21"/>
    <xf numFmtId="0" fontId="2" fillId="24" borderId="21"/>
    <xf numFmtId="0" fontId="27" fillId="21" borderId="22"/>
    <xf numFmtId="0" fontId="27" fillId="21" borderId="22"/>
    <xf numFmtId="0" fontId="27" fillId="21" borderId="22"/>
    <xf numFmtId="9" fontId="2" fillId="0" borderId="0"/>
    <xf numFmtId="9" fontId="13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9" fillId="0" borderId="23"/>
    <xf numFmtId="0" fontId="29" fillId="0" borderId="23"/>
    <xf numFmtId="0" fontId="29" fillId="0" borderId="23"/>
    <xf numFmtId="0" fontId="30" fillId="0" borderId="0"/>
    <xf numFmtId="0" fontId="30" fillId="0" borderId="0"/>
    <xf numFmtId="0" fontId="30" fillId="0" borderId="0"/>
    <xf numFmtId="43" fontId="40" fillId="0" borderId="0" applyFont="0" applyFill="0" applyBorder="0" applyAlignment="0" applyProtection="0"/>
    <xf numFmtId="0" fontId="43" fillId="0" borderId="0"/>
    <xf numFmtId="0" fontId="49" fillId="0" borderId="0"/>
    <xf numFmtId="0" fontId="57" fillId="26" borderId="71" applyBorder="0"/>
  </cellStyleXfs>
  <cellXfs count="490">
    <xf numFmtId="0" fontId="0" fillId="0" borderId="0" xfId="0"/>
    <xf numFmtId="0" fontId="4" fillId="0" borderId="0" xfId="0" applyFont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38" fontId="4" fillId="0" borderId="0" xfId="0" applyNumberFormat="1" applyFont="1" applyProtection="1">
      <protection locked="0"/>
    </xf>
    <xf numFmtId="10" fontId="4" fillId="0" borderId="0" xfId="236" applyNumberFormat="1" applyFont="1" applyProtection="1">
      <protection locked="0"/>
    </xf>
    <xf numFmtId="0" fontId="6" fillId="0" borderId="0" xfId="0" applyFont="1"/>
    <xf numFmtId="0" fontId="7" fillId="0" borderId="0" xfId="0" applyFont="1" applyAlignment="1">
      <alignment horizontal="left" vertical="center" indent="3"/>
    </xf>
    <xf numFmtId="0" fontId="8" fillId="0" borderId="0" xfId="0" applyFont="1" applyProtection="1">
      <protection locked="0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/>
    <xf numFmtId="0" fontId="6" fillId="0" borderId="5" xfId="0" applyFont="1" applyBorder="1" applyAlignment="1">
      <alignment horizontal="left" indent="1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9" fillId="2" borderId="7" xfId="0" applyNumberFormat="1" applyFont="1" applyFill="1" applyBorder="1" applyAlignment="1">
      <alignment horizontal="right"/>
    </xf>
    <xf numFmtId="38" fontId="4" fillId="2" borderId="8" xfId="0" applyNumberFormat="1" applyFont="1" applyFill="1" applyBorder="1" applyAlignment="1">
      <alignment horizontal="right"/>
    </xf>
    <xf numFmtId="38" fontId="9" fillId="2" borderId="9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indent="2"/>
    </xf>
    <xf numFmtId="0" fontId="9" fillId="0" borderId="6" xfId="0" applyFont="1" applyBorder="1"/>
    <xf numFmtId="38" fontId="4" fillId="0" borderId="7" xfId="0" applyNumberFormat="1" applyFont="1" applyBorder="1" applyAlignment="1" applyProtection="1">
      <alignment horizontal="right"/>
      <protection locked="0"/>
    </xf>
    <xf numFmtId="38" fontId="9" fillId="0" borderId="7" xfId="0" applyNumberFormat="1" applyFont="1" applyBorder="1" applyAlignment="1" applyProtection="1">
      <alignment horizontal="right"/>
      <protection locked="0"/>
    </xf>
    <xf numFmtId="38" fontId="4" fillId="0" borderId="8" xfId="0" applyNumberFormat="1" applyFont="1" applyBorder="1" applyAlignment="1" applyProtection="1">
      <alignment horizontal="right"/>
      <protection locked="0"/>
    </xf>
    <xf numFmtId="38" fontId="9" fillId="0" borderId="9" xfId="0" applyNumberFormat="1" applyFont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left" indent="1"/>
    </xf>
    <xf numFmtId="0" fontId="9" fillId="0" borderId="11" xfId="0" applyFont="1" applyBorder="1"/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 indent="2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4" fillId="0" borderId="2" xfId="0" applyFont="1" applyBorder="1"/>
    <xf numFmtId="0" fontId="6" fillId="0" borderId="5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indent="1"/>
    </xf>
    <xf numFmtId="0" fontId="9" fillId="0" borderId="7" xfId="0" applyFont="1" applyBorder="1" applyAlignment="1">
      <alignment horizontal="center"/>
    </xf>
    <xf numFmtId="38" fontId="4" fillId="0" borderId="14" xfId="0" applyNumberFormat="1" applyFont="1" applyBorder="1" applyAlignment="1" applyProtection="1">
      <alignment horizontal="right"/>
      <protection locked="0"/>
    </xf>
    <xf numFmtId="38" fontId="4" fillId="0" borderId="9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left" wrapText="1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wrapText="1" indent="2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38" fontId="4" fillId="2" borderId="9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indent="1"/>
    </xf>
    <xf numFmtId="38" fontId="4" fillId="0" borderId="7" xfId="0" applyNumberFormat="1" applyFont="1" applyBorder="1" applyAlignment="1">
      <alignment horizontal="right"/>
    </xf>
    <xf numFmtId="0" fontId="12" fillId="0" borderId="6" xfId="0" applyFont="1" applyBorder="1" applyAlignment="1">
      <alignment horizontal="left" indent="1"/>
    </xf>
    <xf numFmtId="0" fontId="9" fillId="0" borderId="6" xfId="0" applyFont="1" applyBorder="1" applyAlignment="1">
      <alignment horizontal="center" vertical="center" wrapText="1"/>
    </xf>
    <xf numFmtId="38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9" fillId="0" borderId="11" xfId="0" applyFont="1" applyBorder="1"/>
    <xf numFmtId="38" fontId="4" fillId="2" borderId="12" xfId="0" applyNumberFormat="1" applyFont="1" applyFill="1" applyBorder="1" applyAlignment="1">
      <alignment horizontal="right"/>
    </xf>
    <xf numFmtId="38" fontId="4" fillId="2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9" fillId="0" borderId="0" xfId="0" applyFont="1"/>
    <xf numFmtId="38" fontId="4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10" fontId="4" fillId="0" borderId="0" xfId="236" applyNumberFormat="1" applyFont="1" applyProtection="1"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" xfId="0" applyFont="1" applyBorder="1"/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5" xfId="0" applyFont="1" applyBorder="1"/>
    <xf numFmtId="0" fontId="9" fillId="0" borderId="7" xfId="228" applyFont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10" fontId="4" fillId="0" borderId="9" xfId="236" applyNumberFormat="1" applyFont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38" fontId="4" fillId="0" borderId="0" xfId="0" applyNumberFormat="1" applyFont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center" wrapText="1"/>
    </xf>
    <xf numFmtId="0" fontId="4" fillId="0" borderId="7" xfId="0" applyFont="1" applyBorder="1" applyProtection="1">
      <protection locked="0"/>
    </xf>
    <xf numFmtId="10" fontId="4" fillId="0" borderId="9" xfId="236" applyNumberFormat="1" applyFont="1" applyBorder="1"/>
    <xf numFmtId="0" fontId="4" fillId="0" borderId="12" xfId="0" applyFont="1" applyBorder="1" applyProtection="1">
      <protection locked="0"/>
    </xf>
    <xf numFmtId="10" fontId="4" fillId="0" borderId="13" xfId="236" applyNumberFormat="1" applyFont="1" applyBorder="1"/>
    <xf numFmtId="38" fontId="4" fillId="2" borderId="5" xfId="0" applyNumberFormat="1" applyFont="1" applyFill="1" applyBorder="1" applyAlignment="1">
      <alignment horizontal="right"/>
    </xf>
    <xf numFmtId="38" fontId="33" fillId="2" borderId="7" xfId="229" applyNumberFormat="1" applyFont="1" applyFill="1" applyBorder="1" applyAlignment="1">
      <alignment horizontal="right"/>
    </xf>
    <xf numFmtId="38" fontId="33" fillId="2" borderId="14" xfId="229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38" fontId="34" fillId="2" borderId="24" xfId="0" applyNumberFormat="1" applyFont="1" applyFill="1" applyBorder="1" applyAlignment="1" applyProtection="1">
      <alignment horizontal="right"/>
      <protection locked="0"/>
    </xf>
    <xf numFmtId="38" fontId="35" fillId="2" borderId="7" xfId="0" applyNumberFormat="1" applyFont="1" applyFill="1" applyBorder="1" applyAlignment="1">
      <alignment horizontal="right"/>
    </xf>
    <xf numFmtId="38" fontId="36" fillId="2" borderId="14" xfId="229" applyNumberFormat="1" applyFont="1" applyFill="1" applyBorder="1" applyAlignment="1">
      <alignment horizontal="right"/>
    </xf>
    <xf numFmtId="40" fontId="4" fillId="0" borderId="0" xfId="0" applyNumberFormat="1" applyFont="1" applyProtection="1">
      <protection locked="0"/>
    </xf>
    <xf numFmtId="38" fontId="39" fillId="2" borderId="7" xfId="0" applyNumberFormat="1" applyFont="1" applyFill="1" applyBorder="1" applyAlignment="1">
      <alignment horizontal="right"/>
    </xf>
    <xf numFmtId="38" fontId="34" fillId="0" borderId="24" xfId="0" applyNumberFormat="1" applyFont="1" applyBorder="1" applyAlignment="1" applyProtection="1">
      <alignment horizontal="right"/>
      <protection locked="0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Protection="1">
      <protection locked="0"/>
    </xf>
    <xf numFmtId="10" fontId="4" fillId="0" borderId="9" xfId="236" applyNumberFormat="1" applyFont="1" applyBorder="1" applyAlignment="1"/>
    <xf numFmtId="10" fontId="4" fillId="0" borderId="7" xfId="236" applyNumberFormat="1" applyFont="1" applyFill="1" applyBorder="1"/>
    <xf numFmtId="168" fontId="4" fillId="0" borderId="0" xfId="248" applyNumberFormat="1" applyFont="1"/>
    <xf numFmtId="10" fontId="4" fillId="0" borderId="0" xfId="0" applyNumberFormat="1" applyFont="1"/>
    <xf numFmtId="0" fontId="4" fillId="0" borderId="0" xfId="0" applyFont="1"/>
    <xf numFmtId="0" fontId="4" fillId="0" borderId="7" xfId="0" applyFont="1" applyFill="1" applyBorder="1" applyAlignment="1">
      <alignment horizontal="left"/>
    </xf>
    <xf numFmtId="10" fontId="2" fillId="0" borderId="0" xfId="236" applyNumberFormat="1"/>
    <xf numFmtId="0" fontId="41" fillId="25" borderId="0" xfId="0" applyFont="1" applyFill="1"/>
    <xf numFmtId="0" fontId="42" fillId="0" borderId="0" xfId="0" applyFont="1" applyFill="1" applyBorder="1" applyAlignment="1" applyProtection="1">
      <alignment horizontal="left"/>
      <protection locked="0"/>
    </xf>
    <xf numFmtId="0" fontId="42" fillId="0" borderId="0" xfId="249" applyFont="1" applyFill="1" applyBorder="1" applyProtection="1">
      <protection locked="0"/>
    </xf>
    <xf numFmtId="0" fontId="42" fillId="0" borderId="0" xfId="228" applyFont="1" applyFill="1"/>
    <xf numFmtId="14" fontId="42" fillId="0" borderId="0" xfId="249" applyNumberFormat="1" applyFont="1" applyFill="1" applyBorder="1" applyAlignment="1" applyProtection="1">
      <alignment horizontal="left"/>
      <protection locked="0"/>
    </xf>
    <xf numFmtId="166" fontId="42" fillId="0" borderId="0" xfId="249" applyNumberFormat="1" applyFont="1" applyFill="1" applyBorder="1" applyAlignment="1" applyProtection="1">
      <alignment horizontal="left"/>
      <protection locked="0"/>
    </xf>
    <xf numFmtId="0" fontId="44" fillId="0" borderId="0" xfId="228" applyFont="1" applyFill="1" applyAlignment="1" applyProtection="1">
      <alignment horizontal="center"/>
      <protection locked="0"/>
    </xf>
    <xf numFmtId="0" fontId="44" fillId="0" borderId="0" xfId="228" applyFont="1" applyFill="1" applyAlignment="1">
      <alignment horizontal="left" indent="2"/>
    </xf>
    <xf numFmtId="0" fontId="42" fillId="0" borderId="0" xfId="228" applyFont="1" applyFill="1" applyAlignment="1">
      <alignment horizontal="left" indent="2"/>
    </xf>
    <xf numFmtId="0" fontId="42" fillId="0" borderId="0" xfId="249" applyFont="1" applyFill="1" applyBorder="1" applyAlignment="1" applyProtection="1">
      <alignment horizontal="right" vertical="center" wrapText="1"/>
    </xf>
    <xf numFmtId="0" fontId="42" fillId="0" borderId="0" xfId="228" applyFont="1" applyFill="1" applyBorder="1" applyProtection="1">
      <protection locked="0"/>
    </xf>
    <xf numFmtId="0" fontId="42" fillId="0" borderId="0" xfId="228" applyFont="1" applyFill="1" applyBorder="1"/>
    <xf numFmtId="0" fontId="44" fillId="0" borderId="26" xfId="228" applyFont="1" applyFill="1" applyBorder="1" applyAlignment="1" applyProtection="1">
      <alignment horizontal="center"/>
      <protection locked="0"/>
    </xf>
    <xf numFmtId="10" fontId="42" fillId="2" borderId="29" xfId="228" applyNumberFormat="1" applyFont="1" applyFill="1" applyBorder="1" applyAlignment="1" applyProtection="1"/>
    <xf numFmtId="10" fontId="42" fillId="0" borderId="0" xfId="228" applyNumberFormat="1" applyFont="1" applyFill="1" applyBorder="1" applyAlignment="1" applyProtection="1"/>
    <xf numFmtId="0" fontId="44" fillId="0" borderId="30" xfId="228" applyFont="1" applyFill="1" applyBorder="1" applyAlignment="1" applyProtection="1">
      <alignment horizontal="center"/>
      <protection locked="0"/>
    </xf>
    <xf numFmtId="10" fontId="42" fillId="2" borderId="33" xfId="228" applyNumberFormat="1" applyFont="1" applyFill="1" applyBorder="1" applyAlignment="1" applyProtection="1"/>
    <xf numFmtId="0" fontId="44" fillId="0" borderId="0" xfId="228" applyFont="1" applyFill="1" applyBorder="1" applyAlignment="1" applyProtection="1">
      <alignment horizontal="left"/>
      <protection locked="0"/>
    </xf>
    <xf numFmtId="0" fontId="44" fillId="0" borderId="0" xfId="228" applyFont="1" applyFill="1" applyBorder="1" applyAlignment="1">
      <alignment horizontal="left"/>
    </xf>
    <xf numFmtId="0" fontId="42" fillId="0" borderId="0" xfId="228" applyFont="1" applyFill="1" applyBorder="1" applyAlignment="1">
      <alignment horizontal="left"/>
    </xf>
    <xf numFmtId="0" fontId="42" fillId="0" borderId="26" xfId="228" applyFont="1" applyFill="1" applyBorder="1" applyAlignment="1" applyProtection="1">
      <alignment horizontal="center"/>
      <protection locked="0"/>
    </xf>
    <xf numFmtId="0" fontId="42" fillId="0" borderId="29" xfId="228" applyFont="1" applyFill="1" applyBorder="1" applyAlignment="1" applyProtection="1">
      <alignment vertical="center"/>
      <protection locked="0"/>
    </xf>
    <xf numFmtId="0" fontId="42" fillId="0" borderId="0" xfId="228" applyFont="1" applyFill="1" applyBorder="1" applyAlignment="1" applyProtection="1">
      <alignment vertical="center"/>
      <protection locked="0"/>
    </xf>
    <xf numFmtId="0" fontId="42" fillId="0" borderId="34" xfId="228" applyFont="1" applyFill="1" applyBorder="1" applyAlignment="1" applyProtection="1">
      <alignment horizontal="center"/>
      <protection locked="0"/>
    </xf>
    <xf numFmtId="3" fontId="42" fillId="2" borderId="35" xfId="228" applyNumberFormat="1" applyFont="1" applyFill="1" applyBorder="1" applyAlignment="1" applyProtection="1"/>
    <xf numFmtId="3" fontId="42" fillId="0" borderId="0" xfId="228" applyNumberFormat="1" applyFont="1" applyFill="1" applyBorder="1" applyAlignment="1" applyProtection="1"/>
    <xf numFmtId="3" fontId="42" fillId="0" borderId="35" xfId="228" applyNumberFormat="1" applyFont="1" applyFill="1" applyBorder="1" applyAlignment="1" applyProtection="1">
      <protection locked="0"/>
    </xf>
    <xf numFmtId="3" fontId="42" fillId="0" borderId="0" xfId="228" applyNumberFormat="1" applyFont="1" applyFill="1" applyBorder="1" applyAlignment="1" applyProtection="1">
      <protection locked="0"/>
    </xf>
    <xf numFmtId="0" fontId="42" fillId="0" borderId="36" xfId="228" applyFont="1" applyFill="1" applyBorder="1" applyAlignment="1" applyProtection="1">
      <alignment horizontal="center"/>
      <protection locked="0"/>
    </xf>
    <xf numFmtId="38" fontId="42" fillId="0" borderId="33" xfId="228" applyNumberFormat="1" applyFont="1" applyFill="1" applyBorder="1" applyAlignment="1" applyProtection="1">
      <protection locked="0"/>
    </xf>
    <xf numFmtId="38" fontId="42" fillId="0" borderId="0" xfId="228" applyNumberFormat="1" applyFont="1" applyFill="1" applyBorder="1" applyAlignment="1" applyProtection="1">
      <protection locked="0"/>
    </xf>
    <xf numFmtId="0" fontId="42" fillId="0" borderId="38" xfId="228" applyFont="1" applyFill="1" applyBorder="1" applyAlignment="1" applyProtection="1">
      <alignment horizontal="center"/>
      <protection locked="0"/>
    </xf>
    <xf numFmtId="3" fontId="42" fillId="2" borderId="40" xfId="228" applyNumberFormat="1" applyFont="1" applyFill="1" applyBorder="1" applyAlignment="1" applyProtection="1"/>
    <xf numFmtId="3" fontId="42" fillId="0" borderId="0" xfId="0" applyNumberFormat="1" applyFont="1" applyFill="1" applyBorder="1" applyAlignment="1"/>
    <xf numFmtId="0" fontId="42" fillId="0" borderId="41" xfId="228" applyFont="1" applyFill="1" applyBorder="1" applyAlignment="1" applyProtection="1">
      <alignment horizontal="center"/>
      <protection locked="0"/>
    </xf>
    <xf numFmtId="3" fontId="42" fillId="2" borderId="29" xfId="228" applyNumberFormat="1" applyFont="1" applyFill="1" applyBorder="1" applyAlignment="1" applyProtection="1"/>
    <xf numFmtId="3" fontId="42" fillId="26" borderId="35" xfId="228" applyNumberFormat="1" applyFont="1" applyFill="1" applyBorder="1" applyAlignment="1" applyProtection="1">
      <protection locked="0"/>
    </xf>
    <xf numFmtId="3" fontId="42" fillId="2" borderId="35" xfId="228" applyNumberFormat="1" applyFont="1" applyFill="1" applyBorder="1" applyAlignment="1"/>
    <xf numFmtId="3" fontId="42" fillId="0" borderId="0" xfId="228" applyNumberFormat="1" applyFont="1" applyFill="1" applyBorder="1" applyAlignment="1"/>
    <xf numFmtId="3" fontId="42" fillId="0" borderId="33" xfId="228" applyNumberFormat="1" applyFont="1" applyFill="1" applyBorder="1" applyAlignment="1" applyProtection="1">
      <protection locked="0"/>
    </xf>
    <xf numFmtId="3" fontId="42" fillId="2" borderId="40" xfId="228" applyNumberFormat="1" applyFont="1" applyFill="1" applyBorder="1" applyAlignment="1"/>
    <xf numFmtId="0" fontId="44" fillId="0" borderId="0" xfId="249" applyFont="1" applyAlignment="1" applyProtection="1">
      <alignment horizontal="left"/>
      <protection locked="0"/>
    </xf>
    <xf numFmtId="0" fontId="44" fillId="0" borderId="0" xfId="249" applyFont="1" applyAlignment="1">
      <alignment horizontal="left" vertical="center"/>
    </xf>
    <xf numFmtId="0" fontId="42" fillId="0" borderId="0" xfId="249" applyFont="1"/>
    <xf numFmtId="0" fontId="44" fillId="0" borderId="0" xfId="249" applyFont="1" applyAlignment="1" applyProtection="1">
      <alignment horizontal="left" vertical="center"/>
      <protection locked="0"/>
    </xf>
    <xf numFmtId="9" fontId="42" fillId="25" borderId="24" xfId="228" applyNumberFormat="1" applyFont="1" applyFill="1" applyBorder="1" applyAlignment="1">
      <alignment horizontal="center" vertical="center"/>
    </xf>
    <xf numFmtId="9" fontId="42" fillId="25" borderId="35" xfId="228" applyNumberFormat="1" applyFont="1" applyFill="1" applyBorder="1" applyAlignment="1">
      <alignment horizontal="center" vertical="center"/>
    </xf>
    <xf numFmtId="0" fontId="42" fillId="25" borderId="44" xfId="249" applyFont="1" applyFill="1" applyBorder="1" applyAlignment="1" applyProtection="1">
      <alignment horizontal="left" wrapText="1" indent="1"/>
      <protection locked="0"/>
    </xf>
    <xf numFmtId="0" fontId="42" fillId="0" borderId="45" xfId="249" applyFont="1" applyFill="1" applyBorder="1" applyAlignment="1" applyProtection="1">
      <protection locked="0"/>
    </xf>
    <xf numFmtId="3" fontId="42" fillId="0" borderId="24" xfId="249" applyNumberFormat="1" applyFont="1" applyFill="1" applyBorder="1" applyAlignment="1" applyProtection="1">
      <alignment horizontal="right"/>
      <protection locked="0"/>
    </xf>
    <xf numFmtId="3" fontId="42" fillId="0" borderId="24" xfId="228" applyNumberFormat="1" applyFont="1" applyFill="1" applyBorder="1" applyAlignment="1" applyProtection="1">
      <alignment horizontal="right"/>
      <protection locked="0"/>
    </xf>
    <xf numFmtId="3" fontId="42" fillId="2" borderId="24" xfId="228" applyNumberFormat="1" applyFont="1" applyFill="1" applyBorder="1" applyAlignment="1" applyProtection="1">
      <alignment horizontal="right"/>
    </xf>
    <xf numFmtId="3" fontId="42" fillId="0" borderId="35" xfId="228" applyNumberFormat="1" applyFont="1" applyFill="1" applyBorder="1" applyAlignment="1" applyProtection="1">
      <alignment horizontal="right"/>
      <protection locked="0"/>
    </xf>
    <xf numFmtId="0" fontId="42" fillId="0" borderId="45" xfId="249" applyFont="1" applyFill="1" applyBorder="1" applyAlignment="1" applyProtection="1">
      <alignment vertical="justify"/>
      <protection locked="0"/>
    </xf>
    <xf numFmtId="3" fontId="42" fillId="0" borderId="24" xfId="249" applyNumberFormat="1" applyFont="1" applyFill="1" applyBorder="1" applyAlignment="1" applyProtection="1">
      <alignment horizontal="right" vertical="justify"/>
      <protection locked="0"/>
    </xf>
    <xf numFmtId="0" fontId="42" fillId="0" borderId="46" xfId="249" applyFont="1" applyFill="1" applyBorder="1" applyAlignment="1" applyProtection="1">
      <protection locked="0"/>
    </xf>
    <xf numFmtId="3" fontId="42" fillId="0" borderId="37" xfId="249" applyNumberFormat="1" applyFont="1" applyFill="1" applyBorder="1" applyAlignment="1" applyProtection="1">
      <alignment horizontal="right"/>
      <protection locked="0"/>
    </xf>
    <xf numFmtId="3" fontId="42" fillId="0" borderId="37" xfId="228" applyNumberFormat="1" applyFont="1" applyFill="1" applyBorder="1" applyAlignment="1" applyProtection="1">
      <alignment horizontal="right"/>
      <protection locked="0"/>
    </xf>
    <xf numFmtId="3" fontId="42" fillId="0" borderId="47" xfId="228" applyNumberFormat="1" applyFont="1" applyFill="1" applyBorder="1" applyAlignment="1" applyProtection="1">
      <alignment horizontal="right"/>
      <protection locked="0"/>
    </xf>
    <xf numFmtId="0" fontId="44" fillId="25" borderId="39" xfId="249" applyFont="1" applyFill="1" applyBorder="1" applyAlignment="1" applyProtection="1">
      <alignment horizontal="left" indent="1"/>
      <protection locked="0"/>
    </xf>
    <xf numFmtId="0" fontId="44" fillId="0" borderId="48" xfId="249" applyFont="1" applyFill="1" applyBorder="1" applyAlignment="1" applyProtection="1">
      <protection locked="0"/>
    </xf>
    <xf numFmtId="3" fontId="42" fillId="2" borderId="39" xfId="249" applyNumberFormat="1" applyFont="1" applyFill="1" applyBorder="1" applyAlignment="1" applyProtection="1">
      <alignment horizontal="right"/>
    </xf>
    <xf numFmtId="0" fontId="42" fillId="0" borderId="0" xfId="228" applyFont="1" applyFill="1" applyBorder="1" applyAlignment="1" applyProtection="1">
      <alignment horizontal="left" indent="1"/>
      <protection locked="0"/>
    </xf>
    <xf numFmtId="0" fontId="44" fillId="0" borderId="0" xfId="249" applyFont="1" applyFill="1" applyBorder="1" applyAlignment="1" applyProtection="1">
      <alignment horizontal="left" indent="1"/>
    </xf>
    <xf numFmtId="0" fontId="42" fillId="0" borderId="0" xfId="249" applyFont="1" applyFill="1" applyBorder="1" applyAlignment="1" applyProtection="1">
      <alignment horizontal="left" indent="1"/>
    </xf>
    <xf numFmtId="38" fontId="42" fillId="0" borderId="0" xfId="228" applyNumberFormat="1" applyFont="1" applyFill="1" applyBorder="1" applyAlignment="1" applyProtection="1">
      <alignment horizontal="right"/>
      <protection locked="0"/>
    </xf>
    <xf numFmtId="38" fontId="42" fillId="0" borderId="0" xfId="228" applyNumberFormat="1" applyFont="1" applyFill="1" applyBorder="1" applyAlignment="1">
      <alignment horizontal="right"/>
    </xf>
    <xf numFmtId="3" fontId="42" fillId="2" borderId="24" xfId="249" applyNumberFormat="1" applyFont="1" applyFill="1" applyBorder="1" applyAlignment="1">
      <alignment horizontal="right"/>
    </xf>
    <xf numFmtId="169" fontId="42" fillId="27" borderId="24" xfId="249" applyNumberFormat="1" applyFont="1" applyFill="1" applyBorder="1" applyAlignment="1" applyProtection="1">
      <alignment horizontal="right"/>
      <protection locked="0"/>
    </xf>
    <xf numFmtId="3" fontId="45" fillId="2" borderId="24" xfId="249" applyNumberFormat="1" applyFont="1" applyFill="1" applyBorder="1" applyAlignment="1">
      <alignment horizontal="right"/>
    </xf>
    <xf numFmtId="3" fontId="42" fillId="0" borderId="24" xfId="249" applyNumberFormat="1" applyFont="1" applyBorder="1" applyAlignment="1" applyProtection="1">
      <alignment horizontal="right"/>
      <protection locked="0"/>
    </xf>
    <xf numFmtId="3" fontId="42" fillId="0" borderId="35" xfId="249" applyNumberFormat="1" applyFont="1" applyBorder="1" applyAlignment="1" applyProtection="1">
      <alignment horizontal="right"/>
      <protection locked="0"/>
    </xf>
    <xf numFmtId="3" fontId="42" fillId="2" borderId="24" xfId="249" applyNumberFormat="1" applyFont="1" applyFill="1" applyBorder="1" applyAlignment="1" applyProtection="1">
      <alignment horizontal="right"/>
    </xf>
    <xf numFmtId="1" fontId="42" fillId="27" borderId="24" xfId="249" applyNumberFormat="1" applyFont="1" applyFill="1" applyBorder="1" applyAlignment="1" applyProtection="1">
      <alignment horizontal="right"/>
      <protection locked="0"/>
    </xf>
    <xf numFmtId="3" fontId="42" fillId="2" borderId="37" xfId="249" applyNumberFormat="1" applyFont="1" applyFill="1" applyBorder="1" applyAlignment="1" applyProtection="1">
      <alignment horizontal="right"/>
    </xf>
    <xf numFmtId="0" fontId="42" fillId="28" borderId="37" xfId="249" applyFont="1" applyFill="1" applyBorder="1" applyAlignment="1">
      <alignment horizontal="right"/>
    </xf>
    <xf numFmtId="3" fontId="42" fillId="0" borderId="37" xfId="249" applyNumberFormat="1" applyFont="1" applyBorder="1" applyAlignment="1" applyProtection="1">
      <alignment horizontal="right"/>
      <protection locked="0"/>
    </xf>
    <xf numFmtId="3" fontId="42" fillId="0" borderId="47" xfId="249" applyNumberFormat="1" applyFont="1" applyBorder="1" applyAlignment="1" applyProtection="1">
      <alignment horizontal="right"/>
      <protection locked="0"/>
    </xf>
    <xf numFmtId="0" fontId="42" fillId="29" borderId="39" xfId="249" applyFont="1" applyFill="1" applyBorder="1" applyAlignment="1">
      <alignment horizontal="right"/>
    </xf>
    <xf numFmtId="3" fontId="42" fillId="2" borderId="39" xfId="249" applyNumberFormat="1" applyFont="1" applyFill="1" applyBorder="1" applyAlignment="1">
      <alignment horizontal="right"/>
    </xf>
    <xf numFmtId="3" fontId="42" fillId="2" borderId="40" xfId="249" applyNumberFormat="1" applyFont="1" applyFill="1" applyBorder="1" applyAlignment="1">
      <alignment horizontal="right"/>
    </xf>
    <xf numFmtId="0" fontId="42" fillId="0" borderId="0" xfId="228" applyFont="1" applyFill="1" applyBorder="1" applyAlignment="1" applyProtection="1">
      <alignment horizontal="center"/>
      <protection locked="0"/>
    </xf>
    <xf numFmtId="0" fontId="44" fillId="0" borderId="0" xfId="249" applyFont="1" applyBorder="1" applyAlignment="1">
      <alignment horizontal="left" indent="1"/>
    </xf>
    <xf numFmtId="0" fontId="42" fillId="0" borderId="0" xfId="249" applyFont="1" applyBorder="1"/>
    <xf numFmtId="3" fontId="42" fillId="2" borderId="27" xfId="249" applyNumberFormat="1" applyFont="1" applyFill="1" applyBorder="1" applyAlignment="1" applyProtection="1">
      <alignment horizontal="right"/>
    </xf>
    <xf numFmtId="3" fontId="42" fillId="29" borderId="27" xfId="249" applyNumberFormat="1" applyFont="1" applyFill="1" applyBorder="1" applyAlignment="1">
      <alignment horizontal="right"/>
    </xf>
    <xf numFmtId="3" fontId="42" fillId="2" borderId="27" xfId="249" applyNumberFormat="1" applyFont="1" applyFill="1" applyBorder="1" applyAlignment="1">
      <alignment horizontal="right"/>
    </xf>
    <xf numFmtId="3" fontId="42" fillId="2" borderId="29" xfId="249" applyNumberFormat="1" applyFont="1" applyFill="1" applyBorder="1" applyAlignment="1">
      <alignment horizontal="right"/>
    </xf>
    <xf numFmtId="0" fontId="42" fillId="30" borderId="44" xfId="249" applyFont="1" applyFill="1" applyBorder="1" applyAlignment="1">
      <alignment horizontal="right"/>
    </xf>
    <xf numFmtId="0" fontId="42" fillId="30" borderId="49" xfId="249" applyFont="1" applyFill="1" applyBorder="1" applyAlignment="1">
      <alignment horizontal="right"/>
    </xf>
    <xf numFmtId="0" fontId="42" fillId="30" borderId="45" xfId="249" applyFont="1" applyFill="1" applyBorder="1" applyAlignment="1">
      <alignment horizontal="right"/>
    </xf>
    <xf numFmtId="1" fontId="42" fillId="0" borderId="24" xfId="228" applyNumberFormat="1" applyFont="1" applyFill="1" applyBorder="1" applyAlignment="1" applyProtection="1">
      <alignment horizontal="right"/>
      <protection locked="0"/>
    </xf>
    <xf numFmtId="169" fontId="42" fillId="0" borderId="24" xfId="228" applyNumberFormat="1" applyFont="1" applyFill="1" applyBorder="1" applyAlignment="1" applyProtection="1">
      <alignment horizontal="right"/>
      <protection locked="0"/>
    </xf>
    <xf numFmtId="169" fontId="42" fillId="0" borderId="35" xfId="228" applyNumberFormat="1" applyFont="1" applyFill="1" applyBorder="1" applyAlignment="1" applyProtection="1">
      <alignment horizontal="right"/>
      <protection locked="0"/>
    </xf>
    <xf numFmtId="3" fontId="42" fillId="30" borderId="44" xfId="249" applyNumberFormat="1" applyFont="1" applyFill="1" applyBorder="1" applyAlignment="1">
      <alignment horizontal="right"/>
    </xf>
    <xf numFmtId="3" fontId="42" fillId="30" borderId="49" xfId="249" applyNumberFormat="1" applyFont="1" applyFill="1" applyBorder="1" applyAlignment="1">
      <alignment horizontal="right"/>
    </xf>
    <xf numFmtId="3" fontId="42" fillId="30" borderId="45" xfId="249" applyNumberFormat="1" applyFont="1" applyFill="1" applyBorder="1" applyAlignment="1">
      <alignment horizontal="right"/>
    </xf>
    <xf numFmtId="3" fontId="42" fillId="2" borderId="24" xfId="228" applyNumberFormat="1" applyFont="1" applyFill="1" applyBorder="1" applyAlignment="1">
      <alignment horizontal="right"/>
    </xf>
    <xf numFmtId="0" fontId="42" fillId="0" borderId="30" xfId="228" applyFont="1" applyFill="1" applyBorder="1" applyAlignment="1" applyProtection="1">
      <alignment horizontal="center"/>
      <protection locked="0"/>
    </xf>
    <xf numFmtId="3" fontId="42" fillId="30" borderId="50" xfId="249" applyNumberFormat="1" applyFont="1" applyFill="1" applyBorder="1" applyAlignment="1">
      <alignment horizontal="right"/>
    </xf>
    <xf numFmtId="3" fontId="42" fillId="2" borderId="33" xfId="249" applyNumberFormat="1" applyFont="1" applyFill="1" applyBorder="1" applyAlignment="1">
      <alignment horizontal="right"/>
    </xf>
    <xf numFmtId="0" fontId="42" fillId="0" borderId="0" xfId="249" applyFont="1" applyBorder="1" applyAlignment="1">
      <alignment horizontal="left" indent="1"/>
    </xf>
    <xf numFmtId="0" fontId="44" fillId="25" borderId="0" xfId="249" applyFont="1" applyFill="1" applyBorder="1" applyAlignment="1"/>
    <xf numFmtId="0" fontId="44" fillId="0" borderId="0" xfId="249" applyFont="1" applyBorder="1" applyAlignment="1"/>
    <xf numFmtId="3" fontId="42" fillId="0" borderId="0" xfId="249" applyNumberFormat="1" applyFont="1" applyFill="1" applyBorder="1" applyAlignment="1" applyProtection="1">
      <alignment horizontal="right"/>
    </xf>
    <xf numFmtId="169" fontId="42" fillId="0" borderId="0" xfId="228" applyNumberFormat="1" applyFont="1" applyFill="1" applyBorder="1" applyAlignment="1">
      <alignment horizontal="center"/>
    </xf>
    <xf numFmtId="0" fontId="42" fillId="0" borderId="0" xfId="249" applyFont="1" applyFill="1" applyBorder="1"/>
    <xf numFmtId="3" fontId="42" fillId="0" borderId="0" xfId="249" applyNumberFormat="1" applyFont="1" applyBorder="1"/>
    <xf numFmtId="0" fontId="42" fillId="31" borderId="0" xfId="249" applyFont="1" applyFill="1" applyBorder="1"/>
    <xf numFmtId="9" fontId="42" fillId="25" borderId="35" xfId="228" applyNumberFormat="1" applyFont="1" applyFill="1" applyBorder="1" applyAlignment="1" applyProtection="1">
      <alignment horizontal="center" vertical="center"/>
      <protection locked="0"/>
    </xf>
    <xf numFmtId="3" fontId="42" fillId="2" borderId="44" xfId="249" applyNumberFormat="1" applyFont="1" applyFill="1" applyBorder="1" applyAlignment="1" applyProtection="1">
      <alignment horizontal="right"/>
    </xf>
    <xf numFmtId="3" fontId="42" fillId="2" borderId="57" xfId="236" applyNumberFormat="1" applyFont="1" applyFill="1" applyBorder="1" applyAlignment="1">
      <alignment horizontal="right"/>
    </xf>
    <xf numFmtId="3" fontId="42" fillId="2" borderId="58" xfId="249" applyNumberFormat="1" applyFont="1" applyFill="1" applyBorder="1" applyAlignment="1" applyProtection="1">
      <alignment horizontal="right"/>
    </xf>
    <xf numFmtId="0" fontId="42" fillId="30" borderId="50" xfId="249" applyFont="1" applyFill="1" applyBorder="1" applyAlignment="1">
      <alignment horizontal="right"/>
    </xf>
    <xf numFmtId="0" fontId="42" fillId="30" borderId="60" xfId="249" applyFont="1" applyFill="1" applyBorder="1" applyAlignment="1">
      <alignment horizontal="right"/>
    </xf>
    <xf numFmtId="0" fontId="44" fillId="0" borderId="0" xfId="249" applyFont="1" applyBorder="1" applyAlignment="1" applyProtection="1">
      <alignment horizontal="left" indent="1"/>
      <protection locked="0"/>
    </xf>
    <xf numFmtId="169" fontId="42" fillId="0" borderId="0" xfId="249" applyNumberFormat="1" applyFont="1" applyBorder="1" applyAlignment="1">
      <alignment horizontal="center"/>
    </xf>
    <xf numFmtId="169" fontId="42" fillId="0" borderId="0" xfId="249" applyNumberFormat="1" applyFont="1" applyFill="1" applyBorder="1" applyAlignment="1">
      <alignment horizontal="center"/>
    </xf>
    <xf numFmtId="169" fontId="42" fillId="0" borderId="0" xfId="249" applyNumberFormat="1" applyFont="1" applyBorder="1" applyAlignment="1" applyProtection="1">
      <alignment horizontal="center"/>
      <protection locked="0"/>
    </xf>
    <xf numFmtId="0" fontId="42" fillId="30" borderId="28" xfId="249" applyFont="1" applyFill="1" applyBorder="1" applyAlignment="1">
      <alignment horizontal="right"/>
    </xf>
    <xf numFmtId="0" fontId="42" fillId="30" borderId="53" xfId="249" applyFont="1" applyFill="1" applyBorder="1" applyAlignment="1">
      <alignment horizontal="right"/>
    </xf>
    <xf numFmtId="0" fontId="42" fillId="30" borderId="61" xfId="249" applyFont="1" applyFill="1" applyBorder="1" applyAlignment="1">
      <alignment horizontal="right"/>
    </xf>
    <xf numFmtId="3" fontId="42" fillId="2" borderId="54" xfId="249" applyNumberFormat="1" applyFont="1" applyFill="1" applyBorder="1" applyAlignment="1">
      <alignment horizontal="right"/>
    </xf>
    <xf numFmtId="0" fontId="42" fillId="30" borderId="0" xfId="249" applyFont="1" applyFill="1" applyBorder="1" applyAlignment="1">
      <alignment horizontal="right"/>
    </xf>
    <xf numFmtId="3" fontId="42" fillId="0" borderId="57" xfId="249" applyNumberFormat="1" applyFont="1" applyBorder="1" applyAlignment="1" applyProtection="1">
      <alignment horizontal="right"/>
      <protection locked="0"/>
    </xf>
    <xf numFmtId="0" fontId="42" fillId="30" borderId="58" xfId="249" applyFont="1" applyFill="1" applyBorder="1" applyAlignment="1">
      <alignment horizontal="right"/>
    </xf>
    <xf numFmtId="0" fontId="42" fillId="30" borderId="62" xfId="249" applyFont="1" applyFill="1" applyBorder="1" applyAlignment="1">
      <alignment horizontal="right"/>
    </xf>
    <xf numFmtId="0" fontId="42" fillId="30" borderId="63" xfId="249" applyFont="1" applyFill="1" applyBorder="1" applyAlignment="1">
      <alignment horizontal="right"/>
    </xf>
    <xf numFmtId="3" fontId="42" fillId="2" borderId="8" xfId="249" applyNumberFormat="1" applyFont="1" applyFill="1" applyBorder="1" applyAlignment="1">
      <alignment horizontal="right"/>
    </xf>
    <xf numFmtId="0" fontId="42" fillId="0" borderId="43" xfId="228" applyFont="1" applyFill="1" applyBorder="1" applyAlignment="1" applyProtection="1">
      <alignment horizontal="center" vertical="center"/>
      <protection locked="0"/>
    </xf>
    <xf numFmtId="0" fontId="42" fillId="0" borderId="27" xfId="228" applyFont="1" applyFill="1" applyBorder="1" applyAlignment="1">
      <alignment horizontal="center" vertical="center" wrapText="1"/>
    </xf>
    <xf numFmtId="3" fontId="42" fillId="2" borderId="24" xfId="228" applyNumberFormat="1" applyFont="1" applyFill="1" applyBorder="1" applyAlignment="1">
      <alignment horizontal="right" vertical="center" wrapText="1"/>
    </xf>
    <xf numFmtId="169" fontId="42" fillId="0" borderId="24" xfId="249" applyNumberFormat="1" applyFont="1" applyFill="1" applyBorder="1" applyAlignment="1" applyProtection="1">
      <alignment horizontal="right"/>
      <protection locked="0"/>
    </xf>
    <xf numFmtId="3" fontId="45" fillId="2" borderId="35" xfId="228" applyNumberFormat="1" applyFont="1" applyFill="1" applyBorder="1" applyAlignment="1">
      <alignment horizontal="right" vertical="center" wrapText="1"/>
    </xf>
    <xf numFmtId="169" fontId="45" fillId="0" borderId="24" xfId="249" applyNumberFormat="1" applyFont="1" applyFill="1" applyBorder="1" applyAlignment="1" applyProtection="1">
      <alignment horizontal="right"/>
      <protection locked="0"/>
    </xf>
    <xf numFmtId="3" fontId="42" fillId="2" borderId="35" xfId="228" applyNumberFormat="1" applyFont="1" applyFill="1" applyBorder="1" applyAlignment="1">
      <alignment horizontal="right" vertical="center" wrapText="1"/>
    </xf>
    <xf numFmtId="3" fontId="42" fillId="2" borderId="31" xfId="249" applyNumberFormat="1" applyFont="1" applyFill="1" applyBorder="1" applyAlignment="1" applyProtection="1">
      <alignment horizontal="right"/>
      <protection locked="0"/>
    </xf>
    <xf numFmtId="0" fontId="42" fillId="29" borderId="31" xfId="249" applyFont="1" applyFill="1" applyBorder="1" applyAlignment="1">
      <alignment horizontal="right"/>
    </xf>
    <xf numFmtId="3" fontId="42" fillId="2" borderId="64" xfId="249" applyNumberFormat="1" applyFont="1" applyFill="1" applyBorder="1" applyAlignment="1">
      <alignment horizontal="right"/>
    </xf>
    <xf numFmtId="0" fontId="42" fillId="0" borderId="65" xfId="228" applyFont="1" applyFill="1" applyBorder="1" applyAlignment="1" applyProtection="1">
      <alignment horizontal="center"/>
      <protection locked="0"/>
    </xf>
    <xf numFmtId="3" fontId="42" fillId="2" borderId="66" xfId="249" applyNumberFormat="1" applyFont="1" applyFill="1" applyBorder="1" applyAlignment="1">
      <alignment horizontal="right"/>
    </xf>
    <xf numFmtId="0" fontId="42" fillId="29" borderId="66" xfId="249" applyFont="1" applyFill="1" applyBorder="1" applyAlignment="1">
      <alignment horizontal="right"/>
    </xf>
    <xf numFmtId="0" fontId="44" fillId="0" borderId="0" xfId="228" applyFont="1" applyFill="1" applyBorder="1" applyAlignment="1" applyProtection="1">
      <alignment horizontal="left" indent="1"/>
      <protection locked="0"/>
    </xf>
    <xf numFmtId="0" fontId="42" fillId="0" borderId="0" xfId="249" applyFont="1" applyBorder="1" applyProtection="1">
      <protection locked="0"/>
    </xf>
    <xf numFmtId="0" fontId="42" fillId="0" borderId="27" xfId="228" applyFont="1" applyFill="1" applyBorder="1" applyAlignment="1">
      <alignment horizontal="center" vertical="center" wrapText="1"/>
    </xf>
    <xf numFmtId="0" fontId="42" fillId="0" borderId="34" xfId="228" applyFont="1" applyFill="1" applyBorder="1" applyAlignment="1" applyProtection="1">
      <alignment horizontal="left" indent="1"/>
      <protection locked="0"/>
    </xf>
    <xf numFmtId="0" fontId="42" fillId="0" borderId="24" xfId="249" applyFont="1" applyFill="1" applyBorder="1" applyAlignment="1" applyProtection="1">
      <alignment horizontal="left" indent="1"/>
      <protection locked="0"/>
    </xf>
    <xf numFmtId="3" fontId="42" fillId="0" borderId="24" xfId="249" applyNumberFormat="1" applyFont="1" applyBorder="1" applyAlignment="1" applyProtection="1">
      <alignment horizontal="right" wrapText="1"/>
      <protection locked="0"/>
    </xf>
    <xf numFmtId="170" fontId="42" fillId="0" borderId="24" xfId="249" applyNumberFormat="1" applyFont="1" applyBorder="1" applyAlignment="1">
      <alignment horizontal="right" wrapText="1"/>
    </xf>
    <xf numFmtId="3" fontId="42" fillId="2" borderId="24" xfId="249" applyNumberFormat="1" applyFont="1" applyFill="1" applyBorder="1" applyAlignment="1">
      <alignment horizontal="right" wrapText="1"/>
    </xf>
    <xf numFmtId="9" fontId="42" fillId="0" borderId="24" xfId="249" applyNumberFormat="1" applyFont="1" applyBorder="1" applyAlignment="1">
      <alignment horizontal="right" wrapText="1"/>
    </xf>
    <xf numFmtId="3" fontId="42" fillId="2" borderId="35" xfId="249" applyNumberFormat="1" applyFont="1" applyFill="1" applyBorder="1" applyAlignment="1">
      <alignment horizontal="right" wrapText="1"/>
    </xf>
    <xf numFmtId="0" fontId="42" fillId="0" borderId="30" xfId="228" applyFont="1" applyFill="1" applyBorder="1" applyAlignment="1" applyProtection="1">
      <alignment horizontal="left" indent="1"/>
      <protection locked="0"/>
    </xf>
    <xf numFmtId="0" fontId="42" fillId="0" borderId="37" xfId="249" applyFont="1" applyFill="1" applyBorder="1" applyAlignment="1" applyProtection="1">
      <alignment horizontal="left" indent="1"/>
      <protection locked="0"/>
    </xf>
    <xf numFmtId="3" fontId="42" fillId="0" borderId="37" xfId="249" applyNumberFormat="1" applyFont="1" applyBorder="1" applyAlignment="1" applyProtection="1">
      <alignment horizontal="right" wrapText="1"/>
      <protection locked="0"/>
    </xf>
    <xf numFmtId="0" fontId="42" fillId="29" borderId="37" xfId="249" applyFont="1" applyFill="1" applyBorder="1" applyAlignment="1">
      <alignment horizontal="right"/>
    </xf>
    <xf numFmtId="3" fontId="42" fillId="2" borderId="37" xfId="249" applyNumberFormat="1" applyFont="1" applyFill="1" applyBorder="1" applyAlignment="1">
      <alignment horizontal="right" wrapText="1"/>
    </xf>
    <xf numFmtId="3" fontId="42" fillId="2" borderId="47" xfId="249" applyNumberFormat="1" applyFont="1" applyFill="1" applyBorder="1" applyAlignment="1">
      <alignment horizontal="right" wrapText="1"/>
    </xf>
    <xf numFmtId="0" fontId="42" fillId="0" borderId="6" xfId="228" applyFont="1" applyFill="1" applyBorder="1" applyAlignment="1" applyProtection="1">
      <alignment horizontal="left" indent="1"/>
      <protection locked="0"/>
    </xf>
    <xf numFmtId="0" fontId="44" fillId="0" borderId="38" xfId="249" applyFont="1" applyFill="1" applyBorder="1" applyAlignment="1" applyProtection="1">
      <alignment horizontal="left" indent="1"/>
      <protection locked="0"/>
    </xf>
    <xf numFmtId="3" fontId="42" fillId="2" borderId="39" xfId="249" applyNumberFormat="1" applyFont="1" applyFill="1" applyBorder="1" applyAlignment="1">
      <alignment horizontal="right" wrapText="1"/>
    </xf>
    <xf numFmtId="3" fontId="42" fillId="2" borderId="40" xfId="249" applyNumberFormat="1" applyFont="1" applyFill="1" applyBorder="1" applyAlignment="1">
      <alignment horizontal="right" wrapText="1"/>
    </xf>
    <xf numFmtId="0" fontId="42" fillId="0" borderId="0" xfId="249" applyFont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Fill="1" applyProtection="1">
      <protection locked="0"/>
    </xf>
    <xf numFmtId="0" fontId="46" fillId="0" borderId="0" xfId="0" applyFont="1" applyFill="1" applyBorder="1" applyProtection="1"/>
    <xf numFmtId="0" fontId="38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Protection="1">
      <protection locked="0"/>
    </xf>
    <xf numFmtId="14" fontId="42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Fill="1" applyBorder="1"/>
    <xf numFmtId="164" fontId="48" fillId="0" borderId="0" xfId="0" applyNumberFormat="1" applyFont="1" applyFill="1" applyBorder="1" applyAlignment="1">
      <alignment horizontal="left"/>
    </xf>
    <xf numFmtId="0" fontId="50" fillId="0" borderId="0" xfId="250" applyFont="1" applyFill="1" applyBorder="1" applyAlignment="1">
      <alignment horizontal="center"/>
    </xf>
    <xf numFmtId="0" fontId="51" fillId="0" borderId="0" xfId="250" applyFont="1" applyFill="1" applyBorder="1" applyAlignment="1">
      <alignment horizontal="left" indent="2"/>
    </xf>
    <xf numFmtId="0" fontId="46" fillId="0" borderId="0" xfId="0" applyFont="1" applyFill="1" applyBorder="1" applyAlignment="1" applyProtection="1">
      <alignment horizontal="right" vertical="center" wrapText="1"/>
    </xf>
    <xf numFmtId="0" fontId="48" fillId="0" borderId="0" xfId="0" applyFont="1" applyFill="1" applyBorder="1"/>
    <xf numFmtId="0" fontId="52" fillId="0" borderId="0" xfId="250" applyFont="1" applyFill="1" applyBorder="1"/>
    <xf numFmtId="0" fontId="47" fillId="0" borderId="0" xfId="250" applyFont="1" applyFill="1" applyBorder="1"/>
    <xf numFmtId="0" fontId="53" fillId="0" borderId="26" xfId="250" applyFont="1" applyFill="1" applyBorder="1" applyAlignment="1">
      <alignment horizontal="left" vertical="center" indent="1"/>
    </xf>
    <xf numFmtId="0" fontId="54" fillId="0" borderId="27" xfId="250" applyFont="1" applyFill="1" applyBorder="1" applyAlignment="1">
      <alignment horizontal="center"/>
    </xf>
    <xf numFmtId="0" fontId="38" fillId="0" borderId="27" xfId="250" applyFont="1" applyFill="1" applyBorder="1" applyAlignment="1" applyProtection="1">
      <alignment horizontal="center" wrapText="1"/>
      <protection locked="0"/>
    </xf>
    <xf numFmtId="0" fontId="38" fillId="0" borderId="27" xfId="250" applyFont="1" applyFill="1" applyBorder="1" applyAlignment="1" applyProtection="1">
      <alignment horizontal="center"/>
      <protection locked="0"/>
    </xf>
    <xf numFmtId="0" fontId="38" fillId="0" borderId="29" xfId="250" applyFont="1" applyFill="1" applyBorder="1" applyAlignment="1" applyProtection="1">
      <alignment horizontal="center"/>
      <protection locked="0"/>
    </xf>
    <xf numFmtId="0" fontId="53" fillId="0" borderId="34" xfId="250" applyFont="1" applyFill="1" applyBorder="1" applyAlignment="1">
      <alignment horizontal="left" indent="1"/>
    </xf>
    <xf numFmtId="0" fontId="55" fillId="0" borderId="24" xfId="250" applyFont="1" applyFill="1" applyBorder="1" applyAlignment="1">
      <alignment horizontal="left" indent="1"/>
    </xf>
    <xf numFmtId="0" fontId="38" fillId="0" borderId="24" xfId="250" applyFont="1" applyFill="1" applyBorder="1" applyAlignment="1">
      <alignment horizontal="left" indent="2"/>
    </xf>
    <xf numFmtId="3" fontId="33" fillId="0" borderId="24" xfId="250" applyNumberFormat="1" applyFont="1" applyFill="1" applyBorder="1" applyAlignment="1" applyProtection="1">
      <alignment horizontal="right"/>
      <protection locked="0"/>
    </xf>
    <xf numFmtId="0" fontId="53" fillId="0" borderId="30" xfId="250" applyFont="1" applyFill="1" applyBorder="1" applyAlignment="1">
      <alignment horizontal="left" indent="1"/>
    </xf>
    <xf numFmtId="0" fontId="38" fillId="0" borderId="31" xfId="250" applyFont="1" applyFill="1" applyBorder="1" applyAlignment="1">
      <alignment horizontal="left" indent="2"/>
    </xf>
    <xf numFmtId="3" fontId="33" fillId="0" borderId="31" xfId="250" applyNumberFormat="1" applyFont="1" applyFill="1" applyBorder="1" applyAlignment="1" applyProtection="1">
      <alignment horizontal="right"/>
      <protection locked="0"/>
    </xf>
    <xf numFmtId="0" fontId="53" fillId="0" borderId="0" xfId="250" applyFont="1" applyFill="1" applyBorder="1" applyAlignment="1">
      <alignment horizontal="left" indent="1"/>
    </xf>
    <xf numFmtId="0" fontId="48" fillId="0" borderId="0" xfId="250" applyFont="1" applyFill="1" applyBorder="1" applyAlignment="1">
      <alignment horizontal="left" indent="2"/>
    </xf>
    <xf numFmtId="3" fontId="2" fillId="0" borderId="0" xfId="250" applyNumberFormat="1" applyFont="1" applyFill="1" applyBorder="1" applyAlignment="1">
      <alignment horizontal="right"/>
    </xf>
    <xf numFmtId="0" fontId="50" fillId="0" borderId="0" xfId="0" applyFont="1" applyFill="1" applyAlignment="1">
      <alignment horizontal="center"/>
    </xf>
    <xf numFmtId="0" fontId="48" fillId="0" borderId="0" xfId="0" applyFont="1" applyFill="1"/>
    <xf numFmtId="3" fontId="47" fillId="0" borderId="0" xfId="0" applyNumberFormat="1" applyFont="1" applyFill="1"/>
    <xf numFmtId="3" fontId="47" fillId="0" borderId="0" xfId="0" applyNumberFormat="1" applyFont="1" applyFill="1" applyAlignment="1">
      <alignment horizontal="right"/>
    </xf>
    <xf numFmtId="0" fontId="38" fillId="0" borderId="27" xfId="250" applyFont="1" applyFill="1" applyBorder="1" applyAlignment="1">
      <alignment horizontal="left" indent="2"/>
    </xf>
    <xf numFmtId="3" fontId="3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34" xfId="0" applyFont="1" applyFill="1" applyBorder="1" applyAlignment="1">
      <alignment horizontal="left" indent="1"/>
    </xf>
    <xf numFmtId="3" fontId="33" fillId="0" borderId="24" xfId="0" applyNumberFormat="1" applyFont="1" applyFill="1" applyBorder="1" applyAlignment="1" applyProtection="1">
      <alignment horizontal="right"/>
      <protection locked="0"/>
    </xf>
    <xf numFmtId="0" fontId="38" fillId="0" borderId="24" xfId="250" applyFont="1" applyFill="1" applyBorder="1" applyAlignment="1">
      <alignment horizontal="left" indent="3"/>
    </xf>
    <xf numFmtId="0" fontId="53" fillId="0" borderId="30" xfId="0" applyFont="1" applyFill="1" applyBorder="1" applyAlignment="1">
      <alignment horizontal="left" indent="1"/>
    </xf>
    <xf numFmtId="0" fontId="55" fillId="0" borderId="31" xfId="250" applyFont="1" applyFill="1" applyBorder="1" applyAlignment="1">
      <alignment horizontal="left" indent="1"/>
    </xf>
    <xf numFmtId="0" fontId="48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3" fontId="33" fillId="2" borderId="24" xfId="250" applyNumberFormat="1" applyFont="1" applyFill="1" applyBorder="1" applyAlignment="1">
      <alignment horizontal="right"/>
    </xf>
    <xf numFmtId="3" fontId="33" fillId="2" borderId="35" xfId="250" applyNumberFormat="1" applyFont="1" applyFill="1" applyBorder="1" applyAlignment="1" applyProtection="1">
      <alignment horizontal="right"/>
    </xf>
    <xf numFmtId="3" fontId="33" fillId="2" borderId="24" xfId="250" applyNumberFormat="1" applyFont="1" applyFill="1" applyBorder="1" applyAlignment="1" applyProtection="1">
      <alignment horizontal="right"/>
    </xf>
    <xf numFmtId="3" fontId="33" fillId="2" borderId="31" xfId="250" applyNumberFormat="1" applyFont="1" applyFill="1" applyBorder="1" applyAlignment="1" applyProtection="1">
      <alignment horizontal="right"/>
    </xf>
    <xf numFmtId="3" fontId="33" fillId="2" borderId="33" xfId="250" applyNumberFormat="1" applyFont="1" applyFill="1" applyBorder="1" applyAlignment="1" applyProtection="1">
      <alignment horizontal="right"/>
    </xf>
    <xf numFmtId="3" fontId="33" fillId="2" borderId="35" xfId="0" applyNumberFormat="1" applyFont="1" applyFill="1" applyBorder="1" applyAlignment="1" applyProtection="1">
      <alignment horizontal="right"/>
    </xf>
    <xf numFmtId="3" fontId="33" fillId="2" borderId="24" xfId="0" applyNumberFormat="1" applyFont="1" applyFill="1" applyBorder="1" applyAlignment="1" applyProtection="1">
      <alignment horizontal="right"/>
    </xf>
    <xf numFmtId="3" fontId="33" fillId="2" borderId="31" xfId="0" applyNumberFormat="1" applyFont="1" applyFill="1" applyBorder="1" applyAlignment="1" applyProtection="1">
      <alignment horizontal="right"/>
    </xf>
    <xf numFmtId="3" fontId="33" fillId="2" borderId="33" xfId="0" applyNumberFormat="1" applyFont="1" applyFill="1" applyBorder="1" applyAlignment="1" applyProtection="1">
      <alignment horizontal="right"/>
    </xf>
    <xf numFmtId="0" fontId="41" fillId="0" borderId="0" xfId="0" applyFont="1"/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Font="1" applyFill="1"/>
    <xf numFmtId="14" fontId="56" fillId="0" borderId="0" xfId="0" applyNumberFormat="1" applyFont="1" applyAlignment="1" applyProtection="1">
      <alignment horizontal="center"/>
      <protection locked="0"/>
    </xf>
    <xf numFmtId="49" fontId="42" fillId="0" borderId="0" xfId="0" applyNumberFormat="1" applyFont="1" applyFill="1"/>
    <xf numFmtId="0" fontId="42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indent="2"/>
    </xf>
    <xf numFmtId="0" fontId="42" fillId="0" borderId="0" xfId="0" applyFont="1" applyFill="1" applyBorder="1" applyAlignment="1" applyProtection="1">
      <alignment horizontal="right" vertical="center" wrapText="1"/>
    </xf>
    <xf numFmtId="0" fontId="42" fillId="0" borderId="0" xfId="0" applyFont="1" applyFill="1" applyAlignment="1">
      <alignment horizontal="right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4" xfId="173" applyFont="1" applyFill="1" applyBorder="1" applyAlignment="1">
      <alignment horizontal="center" vertical="center" wrapText="1"/>
    </xf>
    <xf numFmtId="38" fontId="34" fillId="2" borderId="24" xfId="251" applyNumberFormat="1" applyFont="1" applyFill="1" applyBorder="1" applyAlignment="1">
      <alignment horizontal="center"/>
    </xf>
    <xf numFmtId="38" fontId="45" fillId="2" borderId="24" xfId="251" applyNumberFormat="1" applyFont="1" applyFill="1" applyBorder="1" applyAlignment="1"/>
    <xf numFmtId="38" fontId="34" fillId="2" borderId="24" xfId="251" applyNumberFormat="1" applyFont="1" applyFill="1" applyBorder="1" applyAlignment="1"/>
    <xf numFmtId="38" fontId="42" fillId="2" borderId="24" xfId="0" applyNumberFormat="1" applyFont="1" applyFill="1" applyBorder="1" applyAlignment="1" applyProtection="1">
      <alignment horizontal="right"/>
    </xf>
    <xf numFmtId="10" fontId="42" fillId="2" borderId="35" xfId="0" applyNumberFormat="1" applyFont="1" applyFill="1" applyBorder="1" applyAlignment="1" applyProtection="1">
      <alignment horizontal="right"/>
    </xf>
    <xf numFmtId="38" fontId="42" fillId="2" borderId="24" xfId="173" applyNumberFormat="1" applyFont="1" applyFill="1" applyBorder="1" applyAlignment="1" applyProtection="1">
      <alignment horizontal="right"/>
    </xf>
    <xf numFmtId="38" fontId="42" fillId="2" borderId="35" xfId="173" applyNumberFormat="1" applyFont="1" applyFill="1" applyBorder="1" applyAlignment="1" applyProtection="1">
      <alignment horizontal="right"/>
    </xf>
    <xf numFmtId="0" fontId="42" fillId="0" borderId="34" xfId="0" applyFont="1" applyFill="1" applyBorder="1" applyAlignment="1" applyProtection="1">
      <alignment horizontal="left" indent="1"/>
      <protection locked="0"/>
    </xf>
    <xf numFmtId="0" fontId="42" fillId="0" borderId="24" xfId="0" applyFont="1" applyFill="1" applyBorder="1" applyAlignment="1" applyProtection="1">
      <alignment horizontal="left" indent="1"/>
      <protection locked="0"/>
    </xf>
    <xf numFmtId="165" fontId="42" fillId="0" borderId="24" xfId="0" applyNumberFormat="1" applyFont="1" applyFill="1" applyBorder="1" applyProtection="1">
      <protection locked="0"/>
    </xf>
    <xf numFmtId="38" fontId="42" fillId="0" borderId="24" xfId="0" applyNumberFormat="1" applyFont="1" applyFill="1" applyBorder="1" applyAlignment="1" applyProtection="1">
      <alignment horizontal="right"/>
      <protection locked="0"/>
    </xf>
    <xf numFmtId="10" fontId="42" fillId="0" borderId="44" xfId="0" applyNumberFormat="1" applyFont="1" applyFill="1" applyBorder="1" applyAlignment="1" applyProtection="1">
      <alignment horizontal="right"/>
      <protection locked="0"/>
    </xf>
    <xf numFmtId="38" fontId="42" fillId="0" borderId="24" xfId="173" applyNumberFormat="1" applyFont="1" applyFill="1" applyBorder="1" applyAlignment="1" applyProtection="1">
      <alignment horizontal="right"/>
      <protection locked="0"/>
    </xf>
    <xf numFmtId="38" fontId="42" fillId="0" borderId="44" xfId="173" applyNumberFormat="1" applyFont="1" applyFill="1" applyBorder="1" applyAlignment="1" applyProtection="1">
      <alignment horizontal="right"/>
    </xf>
    <xf numFmtId="2" fontId="42" fillId="0" borderId="34" xfId="0" applyNumberFormat="1" applyFont="1" applyFill="1" applyBorder="1" applyAlignment="1" applyProtection="1">
      <alignment horizontal="left" indent="1"/>
      <protection locked="0"/>
    </xf>
    <xf numFmtId="38" fontId="42" fillId="0" borderId="37" xfId="0" applyNumberFormat="1" applyFont="1" applyFill="1" applyBorder="1" applyAlignment="1" applyProtection="1">
      <alignment horizontal="right"/>
      <protection locked="0"/>
    </xf>
    <xf numFmtId="38" fontId="42" fillId="2" borderId="37" xfId="0" applyNumberFormat="1" applyFont="1" applyFill="1" applyBorder="1" applyAlignment="1" applyProtection="1">
      <alignment horizontal="right"/>
    </xf>
    <xf numFmtId="10" fontId="42" fillId="2" borderId="47" xfId="0" applyNumberFormat="1" applyFont="1" applyFill="1" applyBorder="1" applyAlignment="1" applyProtection="1">
      <alignment horizontal="right"/>
    </xf>
    <xf numFmtId="38" fontId="42" fillId="0" borderId="37" xfId="173" applyNumberFormat="1" applyFont="1" applyFill="1" applyBorder="1" applyAlignment="1" applyProtection="1">
      <alignment horizontal="right"/>
      <protection locked="0"/>
    </xf>
    <xf numFmtId="38" fontId="34" fillId="2" borderId="31" xfId="251" applyNumberFormat="1" applyFont="1" applyFill="1" applyBorder="1" applyAlignment="1">
      <alignment horizontal="center"/>
    </xf>
    <xf numFmtId="38" fontId="45" fillId="2" borderId="31" xfId="251" applyNumberFormat="1" applyFont="1" applyFill="1" applyBorder="1" applyAlignment="1"/>
    <xf numFmtId="38" fontId="34" fillId="2" borderId="31" xfId="251" applyNumberFormat="1" applyFont="1" applyFill="1" applyBorder="1" applyAlignment="1"/>
    <xf numFmtId="38" fontId="42" fillId="2" borderId="31" xfId="0" applyNumberFormat="1" applyFont="1" applyFill="1" applyBorder="1" applyAlignment="1" applyProtection="1">
      <alignment horizontal="right"/>
    </xf>
    <xf numFmtId="10" fontId="42" fillId="2" borderId="33" xfId="0" applyNumberFormat="1" applyFont="1" applyFill="1" applyBorder="1" applyAlignment="1" applyProtection="1">
      <alignment horizontal="right"/>
    </xf>
    <xf numFmtId="38" fontId="42" fillId="2" borderId="31" xfId="173" applyNumberFormat="1" applyFont="1" applyFill="1" applyBorder="1" applyAlignment="1" applyProtection="1">
      <alignment horizontal="right"/>
    </xf>
    <xf numFmtId="38" fontId="42" fillId="2" borderId="33" xfId="173" applyNumberFormat="1" applyFont="1" applyFill="1" applyBorder="1" applyAlignment="1" applyProtection="1">
      <alignment horizontal="right"/>
    </xf>
    <xf numFmtId="0" fontId="58" fillId="0" borderId="0" xfId="0" applyFont="1" applyFill="1" applyProtection="1">
      <protection locked="0"/>
    </xf>
    <xf numFmtId="0" fontId="9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Fill="1"/>
    <xf numFmtId="0" fontId="7" fillId="0" borderId="0" xfId="0" applyFont="1" applyFill="1" applyBorder="1" applyAlignment="1">
      <alignment horizontal="left" indent="2"/>
    </xf>
    <xf numFmtId="0" fontId="4" fillId="0" borderId="0" xfId="0" applyFont="1" applyFill="1" applyBorder="1"/>
    <xf numFmtId="0" fontId="8" fillId="0" borderId="0" xfId="0" applyFont="1" applyFill="1"/>
    <xf numFmtId="0" fontId="9" fillId="0" borderId="1" xfId="105" applyFont="1" applyFill="1" applyBorder="1" applyAlignment="1" applyProtection="1">
      <alignment horizontal="center"/>
    </xf>
    <xf numFmtId="0" fontId="4" fillId="0" borderId="2" xfId="0" applyFont="1" applyFill="1" applyBorder="1"/>
    <xf numFmtId="0" fontId="42" fillId="0" borderId="7" xfId="0" applyFont="1" applyFill="1" applyBorder="1" applyAlignment="1">
      <alignment horizontal="left" indent="1"/>
    </xf>
    <xf numFmtId="0" fontId="59" fillId="0" borderId="7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4" fillId="0" borderId="7" xfId="0" applyFont="1" applyFill="1" applyBorder="1" applyAlignment="1" applyProtection="1">
      <alignment horizontal="left"/>
      <protection locked="0"/>
    </xf>
    <xf numFmtId="38" fontId="42" fillId="2" borderId="7" xfId="0" applyNumberFormat="1" applyFont="1" applyFill="1" applyBorder="1" applyAlignment="1" applyProtection="1">
      <alignment horizontal="right"/>
    </xf>
    <xf numFmtId="0" fontId="34" fillId="0" borderId="7" xfId="0" applyFont="1" applyFill="1" applyBorder="1" applyAlignment="1" applyProtection="1">
      <alignment horizontal="left" indent="1"/>
      <protection locked="0"/>
    </xf>
    <xf numFmtId="38" fontId="42" fillId="0" borderId="7" xfId="0" applyNumberFormat="1" applyFont="1" applyFill="1" applyBorder="1" applyAlignment="1" applyProtection="1">
      <alignment horizontal="right"/>
      <protection locked="0"/>
    </xf>
    <xf numFmtId="0" fontId="60" fillId="0" borderId="7" xfId="0" applyFont="1" applyFill="1" applyBorder="1" applyAlignment="1">
      <alignment horizontal="left" indent="1"/>
    </xf>
    <xf numFmtId="0" fontId="60" fillId="0" borderId="7" xfId="0" applyFont="1" applyFill="1" applyBorder="1" applyAlignment="1" applyProtection="1">
      <alignment horizontal="left" indent="1"/>
      <protection locked="0"/>
    </xf>
    <xf numFmtId="0" fontId="60" fillId="0" borderId="7" xfId="0" applyFont="1" applyFill="1" applyBorder="1" applyAlignment="1" applyProtection="1">
      <alignment horizontal="left" vertical="center" indent="1"/>
      <protection locked="0"/>
    </xf>
    <xf numFmtId="0" fontId="34" fillId="0" borderId="7" xfId="0" applyFont="1" applyFill="1" applyBorder="1" applyAlignment="1" applyProtection="1">
      <alignment horizontal="left" vertical="center" indent="1"/>
      <protection locked="0"/>
    </xf>
    <xf numFmtId="0" fontId="42" fillId="0" borderId="7" xfId="0" applyFont="1" applyFill="1" applyBorder="1" applyAlignment="1" applyProtection="1">
      <alignment horizontal="left" vertical="center" indent="1"/>
      <protection locked="0"/>
    </xf>
    <xf numFmtId="0" fontId="60" fillId="0" borderId="7" xfId="0" applyFont="1" applyFill="1" applyBorder="1" applyAlignment="1" applyProtection="1">
      <alignment horizontal="left" vertical="center"/>
      <protection locked="0"/>
    </xf>
    <xf numFmtId="0" fontId="42" fillId="0" borderId="7" xfId="0" applyFont="1" applyFill="1" applyBorder="1" applyAlignment="1" applyProtection="1">
      <alignment horizontal="left" indent="1"/>
      <protection locked="0"/>
    </xf>
    <xf numFmtId="38" fontId="42" fillId="2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0" fontId="61" fillId="0" borderId="7" xfId="236" applyNumberFormat="1" applyFont="1" applyFill="1" applyBorder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10" fillId="0" borderId="2" xfId="0" applyFont="1" applyFill="1" applyBorder="1" applyAlignment="1" applyProtection="1">
      <alignment horizontal="center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2" fillId="0" borderId="43" xfId="228" applyFont="1" applyFill="1" applyBorder="1" applyAlignment="1" applyProtection="1">
      <alignment horizontal="center" vertical="center"/>
      <protection locked="0"/>
    </xf>
    <xf numFmtId="0" fontId="42" fillId="0" borderId="41" xfId="228" applyFont="1" applyFill="1" applyBorder="1" applyAlignment="1" applyProtection="1">
      <alignment horizontal="center" vertical="center"/>
      <protection locked="0"/>
    </xf>
    <xf numFmtId="0" fontId="44" fillId="0" borderId="27" xfId="249" applyFont="1" applyFill="1" applyBorder="1" applyAlignment="1" applyProtection="1">
      <alignment horizontal="center" vertical="center" wrapText="1"/>
      <protection locked="0"/>
    </xf>
    <xf numFmtId="0" fontId="44" fillId="0" borderId="24" xfId="249" applyFont="1" applyFill="1" applyBorder="1" applyAlignment="1" applyProtection="1">
      <alignment horizontal="center" vertical="center" wrapText="1"/>
      <protection locked="0"/>
    </xf>
    <xf numFmtId="0" fontId="42" fillId="0" borderId="27" xfId="249" applyFont="1" applyFill="1" applyBorder="1" applyAlignment="1" applyProtection="1">
      <alignment horizontal="center" vertical="center" wrapText="1"/>
    </xf>
    <xf numFmtId="0" fontId="44" fillId="0" borderId="31" xfId="249" applyFont="1" applyFill="1" applyBorder="1" applyAlignment="1" applyProtection="1">
      <alignment horizontal="left" indent="1"/>
      <protection locked="0"/>
    </xf>
    <xf numFmtId="0" fontId="44" fillId="0" borderId="66" xfId="249" applyFont="1" applyBorder="1" applyAlignment="1" applyProtection="1">
      <alignment horizontal="left" indent="2"/>
      <protection locked="0"/>
    </xf>
    <xf numFmtId="0" fontId="42" fillId="0" borderId="24" xfId="249" applyFont="1" applyBorder="1" applyAlignment="1" applyProtection="1">
      <alignment horizontal="left" indent="2"/>
      <protection locked="0"/>
    </xf>
    <xf numFmtId="0" fontId="42" fillId="0" borderId="24" xfId="249" applyFont="1" applyBorder="1" applyAlignment="1" applyProtection="1">
      <alignment horizontal="left" wrapText="1" indent="2"/>
      <protection locked="0"/>
    </xf>
    <xf numFmtId="0" fontId="42" fillId="0" borderId="27" xfId="228" applyFont="1" applyFill="1" applyBorder="1" applyAlignment="1">
      <alignment horizontal="center" vertical="center" wrapText="1"/>
    </xf>
    <xf numFmtId="0" fontId="42" fillId="0" borderId="29" xfId="228" applyFont="1" applyFill="1" applyBorder="1" applyAlignment="1">
      <alignment horizontal="center" vertical="center" wrapText="1"/>
    </xf>
    <xf numFmtId="0" fontId="42" fillId="0" borderId="24" xfId="249" applyFont="1" applyFill="1" applyBorder="1" applyAlignment="1" applyProtection="1">
      <alignment horizontal="left" indent="2"/>
      <protection locked="0"/>
    </xf>
    <xf numFmtId="0" fontId="44" fillId="0" borderId="24" xfId="249" applyFont="1" applyBorder="1" applyAlignment="1" applyProtection="1">
      <alignment horizontal="left" wrapText="1" indent="1"/>
      <protection locked="0"/>
    </xf>
    <xf numFmtId="0" fontId="42" fillId="0" borderId="24" xfId="249" applyFont="1" applyFill="1" applyBorder="1" applyAlignment="1" applyProtection="1">
      <alignment horizontal="left" wrapText="1" indent="2"/>
      <protection locked="0"/>
    </xf>
    <xf numFmtId="0" fontId="42" fillId="25" borderId="27" xfId="228" applyFont="1" applyFill="1" applyBorder="1" applyAlignment="1">
      <alignment horizontal="center" vertical="center" wrapText="1"/>
    </xf>
    <xf numFmtId="0" fontId="42" fillId="25" borderId="24" xfId="228" applyFont="1" applyFill="1" applyBorder="1" applyAlignment="1">
      <alignment horizontal="center" vertical="center" wrapText="1"/>
    </xf>
    <xf numFmtId="0" fontId="42" fillId="25" borderId="28" xfId="228" applyFont="1" applyFill="1" applyBorder="1" applyAlignment="1">
      <alignment horizontal="center" vertical="center" wrapText="1"/>
    </xf>
    <xf numFmtId="0" fontId="42" fillId="25" borderId="53" xfId="228" applyFont="1" applyFill="1" applyBorder="1" applyAlignment="1">
      <alignment horizontal="center" vertical="center" wrapText="1"/>
    </xf>
    <xf numFmtId="0" fontId="42" fillId="25" borderId="54" xfId="228" applyFont="1" applyFill="1" applyBorder="1" applyAlignment="1">
      <alignment horizontal="center" vertical="center" wrapText="1"/>
    </xf>
    <xf numFmtId="0" fontId="42" fillId="25" borderId="44" xfId="249" applyFont="1" applyFill="1" applyBorder="1" applyAlignment="1" applyProtection="1">
      <alignment horizontal="left" wrapText="1"/>
      <protection locked="0"/>
    </xf>
    <xf numFmtId="0" fontId="42" fillId="25" borderId="45" xfId="249" applyFont="1" applyFill="1" applyBorder="1" applyAlignment="1" applyProtection="1">
      <alignment horizontal="left" wrapText="1"/>
      <protection locked="0"/>
    </xf>
    <xf numFmtId="0" fontId="44" fillId="0" borderId="31" xfId="249" applyFont="1" applyBorder="1" applyAlignment="1" applyProtection="1">
      <alignment horizontal="left" indent="1"/>
      <protection locked="0"/>
    </xf>
    <xf numFmtId="0" fontId="44" fillId="25" borderId="51" xfId="228" applyFont="1" applyFill="1" applyBorder="1" applyAlignment="1" applyProtection="1">
      <alignment horizontal="left" vertical="center"/>
      <protection locked="0"/>
    </xf>
    <xf numFmtId="0" fontId="44" fillId="25" borderId="52" xfId="228" applyFont="1" applyFill="1" applyBorder="1" applyAlignment="1" applyProtection="1">
      <alignment horizontal="left" vertical="center"/>
      <protection locked="0"/>
    </xf>
    <xf numFmtId="0" fontId="44" fillId="25" borderId="55" xfId="228" applyFont="1" applyFill="1" applyBorder="1" applyAlignment="1" applyProtection="1">
      <alignment horizontal="left" vertical="center"/>
      <protection locked="0"/>
    </xf>
    <xf numFmtId="0" fontId="44" fillId="25" borderId="56" xfId="228" applyFont="1" applyFill="1" applyBorder="1" applyAlignment="1" applyProtection="1">
      <alignment horizontal="left" vertical="center"/>
      <protection locked="0"/>
    </xf>
    <xf numFmtId="0" fontId="44" fillId="25" borderId="59" xfId="249" applyFont="1" applyFill="1" applyBorder="1" applyAlignment="1" applyProtection="1">
      <alignment horizontal="left" wrapText="1"/>
      <protection locked="0"/>
    </xf>
    <xf numFmtId="0" fontId="44" fillId="25" borderId="60" xfId="249" applyFont="1" applyFill="1" applyBorder="1" applyAlignment="1" applyProtection="1">
      <alignment horizontal="left" wrapText="1"/>
      <protection locked="0"/>
    </xf>
    <xf numFmtId="0" fontId="44" fillId="25" borderId="48" xfId="249" applyFont="1" applyFill="1" applyBorder="1" applyAlignment="1" applyProtection="1">
      <alignment horizontal="left" wrapText="1"/>
      <protection locked="0"/>
    </xf>
    <xf numFmtId="0" fontId="44" fillId="25" borderId="28" xfId="249" applyFont="1" applyFill="1" applyBorder="1" applyAlignment="1" applyProtection="1">
      <alignment horizontal="left" wrapText="1"/>
      <protection locked="0"/>
    </xf>
    <xf numFmtId="0" fontId="44" fillId="25" borderId="61" xfId="249" applyFont="1" applyFill="1" applyBorder="1" applyAlignment="1" applyProtection="1">
      <alignment horizontal="left" wrapText="1"/>
      <protection locked="0"/>
    </xf>
    <xf numFmtId="0" fontId="42" fillId="25" borderId="49" xfId="249" applyFont="1" applyFill="1" applyBorder="1" applyAlignment="1" applyProtection="1">
      <alignment horizontal="left" wrapText="1"/>
      <protection locked="0"/>
    </xf>
    <xf numFmtId="0" fontId="42" fillId="25" borderId="32" xfId="249" applyFont="1" applyFill="1" applyBorder="1" applyAlignment="1" applyProtection="1">
      <alignment horizontal="left" wrapText="1"/>
      <protection locked="0"/>
    </xf>
    <xf numFmtId="0" fontId="42" fillId="25" borderId="46" xfId="249" applyFont="1" applyFill="1" applyBorder="1" applyAlignment="1" applyProtection="1">
      <alignment horizontal="left" wrapText="1"/>
      <protection locked="0"/>
    </xf>
    <xf numFmtId="0" fontId="44" fillId="0" borderId="27" xfId="249" applyFont="1" applyBorder="1" applyAlignment="1">
      <alignment horizontal="left" vertical="center"/>
    </xf>
    <xf numFmtId="0" fontId="42" fillId="0" borderId="24" xfId="249" applyFont="1" applyBorder="1" applyAlignment="1" applyProtection="1">
      <alignment horizontal="left" wrapText="1" indent="1"/>
      <protection locked="0"/>
    </xf>
    <xf numFmtId="0" fontId="42" fillId="0" borderId="37" xfId="249" applyFont="1" applyFill="1" applyBorder="1" applyAlignment="1" applyProtection="1">
      <alignment horizontal="left" wrapText="1" indent="1"/>
      <protection locked="0"/>
    </xf>
    <xf numFmtId="0" fontId="44" fillId="0" borderId="27" xfId="249" applyFont="1" applyBorder="1" applyAlignment="1">
      <alignment horizontal="left" indent="1"/>
    </xf>
    <xf numFmtId="0" fontId="42" fillId="0" borderId="44" xfId="249" applyFont="1" applyBorder="1" applyAlignment="1" applyProtection="1">
      <alignment horizontal="left" indent="1"/>
      <protection locked="0"/>
    </xf>
    <xf numFmtId="0" fontId="42" fillId="0" borderId="45" xfId="249" applyFont="1" applyBorder="1" applyAlignment="1" applyProtection="1">
      <alignment horizontal="left" indent="1"/>
      <protection locked="0"/>
    </xf>
    <xf numFmtId="0" fontId="44" fillId="0" borderId="44" xfId="249" applyFont="1" applyBorder="1" applyAlignment="1" applyProtection="1">
      <alignment horizontal="left" wrapText="1" indent="1"/>
      <protection locked="0"/>
    </xf>
    <xf numFmtId="0" fontId="44" fillId="0" borderId="45" xfId="249" applyFont="1" applyBorder="1" applyAlignment="1" applyProtection="1">
      <alignment horizontal="left" wrapText="1" indent="1"/>
      <protection locked="0"/>
    </xf>
    <xf numFmtId="0" fontId="44" fillId="0" borderId="39" xfId="249" applyFont="1" applyBorder="1" applyAlignment="1" applyProtection="1">
      <alignment horizontal="left" indent="1"/>
      <protection locked="0"/>
    </xf>
    <xf numFmtId="0" fontId="44" fillId="25" borderId="27" xfId="228" applyFont="1" applyFill="1" applyBorder="1" applyAlignment="1" applyProtection="1">
      <alignment horizontal="left" vertical="center"/>
      <protection locked="0"/>
    </xf>
    <xf numFmtId="0" fontId="44" fillId="25" borderId="24" xfId="228" applyFont="1" applyFill="1" applyBorder="1" applyAlignment="1" applyProtection="1">
      <alignment horizontal="left" vertical="center"/>
      <protection locked="0"/>
    </xf>
    <xf numFmtId="0" fontId="44" fillId="0" borderId="24" xfId="228" applyFont="1" applyFill="1" applyBorder="1" applyAlignment="1" applyProtection="1">
      <alignment horizontal="left" vertical="center" indent="1"/>
      <protection locked="0"/>
    </xf>
    <xf numFmtId="0" fontId="42" fillId="0" borderId="24" xfId="228" applyFont="1" applyFill="1" applyBorder="1" applyAlignment="1" applyProtection="1">
      <alignment horizontal="left" vertical="center" indent="3"/>
      <protection locked="0"/>
    </xf>
    <xf numFmtId="0" fontId="42" fillId="0" borderId="37" xfId="228" applyFont="1" applyFill="1" applyBorder="1" applyAlignment="1" applyProtection="1">
      <alignment horizontal="left" vertical="center" indent="3"/>
      <protection locked="0"/>
    </xf>
    <xf numFmtId="0" fontId="44" fillId="0" borderId="39" xfId="228" applyFont="1" applyFill="1" applyBorder="1" applyAlignment="1" applyProtection="1">
      <alignment horizontal="left" vertical="center" indent="1"/>
      <protection locked="0"/>
    </xf>
    <xf numFmtId="0" fontId="42" fillId="25" borderId="27" xfId="228" applyFont="1" applyFill="1" applyBorder="1" applyAlignment="1">
      <alignment horizontal="center" vertical="center"/>
    </xf>
    <xf numFmtId="0" fontId="42" fillId="25" borderId="29" xfId="228" applyFont="1" applyFill="1" applyBorder="1" applyAlignment="1">
      <alignment horizontal="center" vertical="center"/>
    </xf>
    <xf numFmtId="0" fontId="42" fillId="0" borderId="24" xfId="228" applyFont="1" applyFill="1" applyBorder="1" applyAlignment="1" applyProtection="1">
      <alignment horizontal="left" vertical="center" indent="2"/>
      <protection locked="0"/>
    </xf>
    <xf numFmtId="0" fontId="42" fillId="0" borderId="42" xfId="228" applyFont="1" applyFill="1" applyBorder="1" applyAlignment="1" applyProtection="1">
      <alignment horizontal="left" vertical="center" indent="2"/>
      <protection locked="0"/>
    </xf>
    <xf numFmtId="0" fontId="44" fillId="0" borderId="27" xfId="228" applyFont="1" applyFill="1" applyBorder="1" applyAlignment="1">
      <alignment horizontal="left" vertical="center" indent="1"/>
    </xf>
    <xf numFmtId="0" fontId="44" fillId="0" borderId="28" xfId="228" applyFont="1" applyFill="1" applyBorder="1" applyAlignment="1">
      <alignment horizontal="left" vertical="center" indent="1"/>
    </xf>
    <xf numFmtId="0" fontId="44" fillId="0" borderId="31" xfId="228" applyFont="1" applyFill="1" applyBorder="1" applyAlignment="1">
      <alignment horizontal="left" vertical="center" indent="1"/>
    </xf>
    <xf numFmtId="0" fontId="44" fillId="0" borderId="32" xfId="228" applyFont="1" applyFill="1" applyBorder="1" applyAlignment="1">
      <alignment horizontal="left" vertical="center" indent="1"/>
    </xf>
    <xf numFmtId="0" fontId="44" fillId="0" borderId="27" xfId="228" applyFont="1" applyFill="1" applyBorder="1" applyAlignment="1" applyProtection="1">
      <alignment horizontal="center"/>
      <protection locked="0"/>
    </xf>
    <xf numFmtId="0" fontId="42" fillId="0" borderId="68" xfId="173" applyFont="1" applyFill="1" applyBorder="1" applyAlignment="1">
      <alignment horizontal="center" vertical="center" wrapText="1"/>
    </xf>
    <xf numFmtId="0" fontId="42" fillId="0" borderId="53" xfId="173" applyFont="1" applyFill="1" applyBorder="1" applyAlignment="1">
      <alignment horizontal="center" vertical="center" wrapText="1"/>
    </xf>
    <xf numFmtId="0" fontId="42" fillId="0" borderId="61" xfId="173" applyFont="1" applyFill="1" applyBorder="1" applyAlignment="1">
      <alignment horizontal="center" vertical="center" wrapText="1"/>
    </xf>
    <xf numFmtId="0" fontId="42" fillId="0" borderId="69" xfId="173" applyFont="1" applyFill="1" applyBorder="1" applyAlignment="1">
      <alignment horizontal="center" vertical="center" wrapText="1"/>
    </xf>
    <xf numFmtId="0" fontId="42" fillId="0" borderId="42" xfId="173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left" vertical="center" indent="1"/>
    </xf>
    <xf numFmtId="0" fontId="42" fillId="0" borderId="41" xfId="0" applyFont="1" applyFill="1" applyBorder="1" applyAlignment="1">
      <alignment horizontal="left" vertical="center" inden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67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center" wrapText="1"/>
    </xf>
  </cellXfs>
  <cellStyles count="252">
    <cellStyle name="_RC VALUTEBIS WRILSI " xfId="1"/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2" xfId="77"/>
    <cellStyle name="Calculation 3" xfId="78"/>
    <cellStyle name="Calculation 4" xfId="79"/>
    <cellStyle name="Check Cell 2" xfId="80"/>
    <cellStyle name="Check Cell 3" xfId="81"/>
    <cellStyle name="Check Cell 4" xfId="82"/>
    <cellStyle name="Comma" xfId="248" builtinId="3"/>
    <cellStyle name="Comma 2 2" xfId="83"/>
    <cellStyle name="Comma 2 3" xfId="84"/>
    <cellStyle name="Comma 2 4" xfId="85"/>
    <cellStyle name="Euro" xfId="86"/>
    <cellStyle name="Explanatory Text 2" xfId="87"/>
    <cellStyle name="Explanatory Text 3" xfId="88"/>
    <cellStyle name="Explanatory Text 4" xfId="89"/>
    <cellStyle name="Good 2" xfId="90"/>
    <cellStyle name="Good 3" xfId="91"/>
    <cellStyle name="Good 4" xfId="92"/>
    <cellStyle name="Heading 1 2" xfId="93"/>
    <cellStyle name="Heading 1 3" xfId="94"/>
    <cellStyle name="Heading 1 4" xfId="95"/>
    <cellStyle name="Heading 2 2" xfId="96"/>
    <cellStyle name="Heading 2 3" xfId="97"/>
    <cellStyle name="Heading 2 4" xfId="98"/>
    <cellStyle name="Heading 3 2" xfId="99"/>
    <cellStyle name="Heading 3 3" xfId="100"/>
    <cellStyle name="Heading 3 4" xfId="101"/>
    <cellStyle name="Heading 4 2" xfId="102"/>
    <cellStyle name="Heading 4 3" xfId="103"/>
    <cellStyle name="Heading 4 4" xfId="104"/>
    <cellStyle name="Hyperlink" xfId="105" builtinId="8"/>
    <cellStyle name="Input 2" xfId="106"/>
    <cellStyle name="Input 3" xfId="107"/>
    <cellStyle name="Input 4" xfId="108"/>
    <cellStyle name="Linked Cell 2" xfId="109"/>
    <cellStyle name="Linked Cell 3" xfId="110"/>
    <cellStyle name="Linked Cell 4" xfId="111"/>
    <cellStyle name="Neutral 2" xfId="112"/>
    <cellStyle name="Neutral 3" xfId="113"/>
    <cellStyle name="Neutral 4" xfId="114"/>
    <cellStyle name="Normal" xfId="0" builtinId="0"/>
    <cellStyle name="Normal 10" xfId="115"/>
    <cellStyle name="Normal 11" xfId="116"/>
    <cellStyle name="Normal 12" xfId="117"/>
    <cellStyle name="Normal 13" xfId="118"/>
    <cellStyle name="Normal 14" xfId="119"/>
    <cellStyle name="Normal 2" xfId="120"/>
    <cellStyle name="Normal 2 10" xfId="121"/>
    <cellStyle name="Normal 2 10 10" xfId="122"/>
    <cellStyle name="Normal 2 10 2" xfId="123"/>
    <cellStyle name="Normal 2 10 3" xfId="124"/>
    <cellStyle name="Normal 2 10 4" xfId="125"/>
    <cellStyle name="Normal 2 10 5" xfId="126"/>
    <cellStyle name="Normal 2 10 6" xfId="127"/>
    <cellStyle name="Normal 2 10 7" xfId="128"/>
    <cellStyle name="Normal 2 10 8" xfId="129"/>
    <cellStyle name="Normal 2 10 9" xfId="130"/>
    <cellStyle name="Normal 2 11" xfId="131"/>
    <cellStyle name="Normal 2 12" xfId="132"/>
    <cellStyle name="Normal 2 13" xfId="133"/>
    <cellStyle name="Normal 2 14" xfId="134"/>
    <cellStyle name="Normal 2 2" xfId="135"/>
    <cellStyle name="Normal 2 2 10" xfId="136"/>
    <cellStyle name="Normal 2 2 11" xfId="137"/>
    <cellStyle name="Normal 2 2 12" xfId="138"/>
    <cellStyle name="Normal 2 2 13" xfId="139"/>
    <cellStyle name="Normal 2 2 14" xfId="140"/>
    <cellStyle name="Normal 2 2 15" xfId="141"/>
    <cellStyle name="Normal 2 2 16" xfId="142"/>
    <cellStyle name="Normal 2 2 17" xfId="143"/>
    <cellStyle name="Normal 2 2 18" xfId="144"/>
    <cellStyle name="Normal 2 2 19" xfId="145"/>
    <cellStyle name="Normal 2 2 2" xfId="146"/>
    <cellStyle name="Normal 2 2 2 10" xfId="147"/>
    <cellStyle name="Normal 2 2 2 2" xfId="148"/>
    <cellStyle name="Normal 2 2 2 3" xfId="149"/>
    <cellStyle name="Normal 2 2 2 4" xfId="150"/>
    <cellStyle name="Normal 2 2 2 5" xfId="151"/>
    <cellStyle name="Normal 2 2 2 6" xfId="152"/>
    <cellStyle name="Normal 2 2 2 7" xfId="153"/>
    <cellStyle name="Normal 2 2 2 8" xfId="154"/>
    <cellStyle name="Normal 2 2 2 9" xfId="155"/>
    <cellStyle name="Normal 2 2 20" xfId="156"/>
    <cellStyle name="Normal 2 2 21" xfId="157"/>
    <cellStyle name="Normal 2 2 22" xfId="158"/>
    <cellStyle name="Normal 2 2 3" xfId="159"/>
    <cellStyle name="Normal 2 2 4" xfId="160"/>
    <cellStyle name="Normal 2 2 5" xfId="161"/>
    <cellStyle name="Normal 2 2 6" xfId="162"/>
    <cellStyle name="Normal 2 2 7" xfId="163"/>
    <cellStyle name="Normal 2 2 8" xfId="164"/>
    <cellStyle name="Normal 2 2 9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3" xfId="173"/>
    <cellStyle name="Normal 3 10" xfId="174"/>
    <cellStyle name="Normal 3 11" xfId="175"/>
    <cellStyle name="Normal 3 12" xfId="176"/>
    <cellStyle name="Normal 3 13" xfId="177"/>
    <cellStyle name="Normal 3 14" xfId="178"/>
    <cellStyle name="Normal 3 2" xfId="179"/>
    <cellStyle name="Normal 3 3" xfId="180"/>
    <cellStyle name="Normal 3 4" xfId="181"/>
    <cellStyle name="Normal 3 5" xfId="182"/>
    <cellStyle name="Normal 3 6" xfId="183"/>
    <cellStyle name="Normal 3 7" xfId="184"/>
    <cellStyle name="Normal 3 8" xfId="185"/>
    <cellStyle name="Normal 3 9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 8" xfId="194"/>
    <cellStyle name="Normal 5" xfId="195"/>
    <cellStyle name="Normal 5 2" xfId="196"/>
    <cellStyle name="Normal 5 3" xfId="197"/>
    <cellStyle name="Normal 5 4" xfId="198"/>
    <cellStyle name="Normal 5 5" xfId="199"/>
    <cellStyle name="Normal 5 6" xfId="200"/>
    <cellStyle name="Normal 5 7" xfId="201"/>
    <cellStyle name="Normal 5 8" xfId="202"/>
    <cellStyle name="Normal 6" xfId="203"/>
    <cellStyle name="Normal 6 2" xfId="204"/>
    <cellStyle name="Normal 6 3" xfId="205"/>
    <cellStyle name="Normal 6 4" xfId="206"/>
    <cellStyle name="Normal 6 5" xfId="207"/>
    <cellStyle name="Normal 6 6" xfId="208"/>
    <cellStyle name="Normal 6 7" xfId="209"/>
    <cellStyle name="Normal 6 8" xfId="210"/>
    <cellStyle name="Normal 7" xfId="211"/>
    <cellStyle name="Normal 7 2" xfId="212"/>
    <cellStyle name="Normal 7 3" xfId="213"/>
    <cellStyle name="Normal 7 4" xfId="214"/>
    <cellStyle name="Normal 7 5" xfId="215"/>
    <cellStyle name="Normal 7 6" xfId="216"/>
    <cellStyle name="Normal 7 7" xfId="217"/>
    <cellStyle name="Normal 7 8" xfId="218"/>
    <cellStyle name="Normal 8" xfId="219"/>
    <cellStyle name="Normal 8 2" xfId="220"/>
    <cellStyle name="Normal 8 3" xfId="221"/>
    <cellStyle name="Normal 8 4" xfId="222"/>
    <cellStyle name="Normal 8 5" xfId="223"/>
    <cellStyle name="Normal 8 6" xfId="224"/>
    <cellStyle name="Normal 8 7" xfId="225"/>
    <cellStyle name="Normal 8 8" xfId="226"/>
    <cellStyle name="Normal 9" xfId="227"/>
    <cellStyle name="Normal_Capital &amp; RWA N" xfId="249"/>
    <cellStyle name="Normal_Capitalchg" xfId="250"/>
    <cellStyle name="Normal_Casestdy draft" xfId="228"/>
    <cellStyle name="Normal_RC VALUTEBIS WRILSI " xfId="229"/>
    <cellStyle name="Normal_SXXXMM2002" xfId="251"/>
    <cellStyle name="Note 2" xfId="230"/>
    <cellStyle name="Note 3" xfId="231"/>
    <cellStyle name="Note 4" xfId="232"/>
    <cellStyle name="Output 2" xfId="233"/>
    <cellStyle name="Output 3" xfId="234"/>
    <cellStyle name="Output 4" xfId="235"/>
    <cellStyle name="Percent" xfId="236" builtinId="5"/>
    <cellStyle name="Percent 2" xfId="237"/>
    <cellStyle name="Style 1" xfId="238"/>
    <cellStyle name="Title 2" xfId="239"/>
    <cellStyle name="Title 3" xfId="240"/>
    <cellStyle name="Title 4" xfId="241"/>
    <cellStyle name="Total 2" xfId="242"/>
    <cellStyle name="Total 3" xfId="243"/>
    <cellStyle name="Total 4" xfId="244"/>
    <cellStyle name="Warning Text 2" xfId="245"/>
    <cellStyle name="Warning Text 3" xfId="246"/>
    <cellStyle name="Warning Text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5" name="Rectangle 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6" name="Rectangle 2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7" name="AutoShape 3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28" name="Rectangle 4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29" name="Rectangle 5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30" name="AutoShape 6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1" name="Rectangle 7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2" name="Rectangle 8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3" name="AutoShape 9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034" name="Rectangle 10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609600</xdr:colOff>
      <xdr:row>57</xdr:row>
      <xdr:rowOff>123825</xdr:rowOff>
    </xdr:from>
    <xdr:to>
      <xdr:col>3</xdr:col>
      <xdr:colOff>609600</xdr:colOff>
      <xdr:row>57</xdr:row>
      <xdr:rowOff>123825</xdr:rowOff>
    </xdr:to>
    <xdr:sp macro="" textlink="">
      <xdr:nvSpPr>
        <xdr:cNvPr id="1035" name="Rectangle 1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036" name="AutoShape 12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49" name="Rectangle 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50" name="Rectangle 2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51" name="AutoShape 3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2" name="Rectangle 4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3" name="Rectangle 5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4" name="AutoShape 6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5" name="Rectangle 7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6" name="Rectangle 8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7" name="AutoShape 9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058" name="Rectangle 10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609600</xdr:colOff>
      <xdr:row>57</xdr:row>
      <xdr:rowOff>123825</xdr:rowOff>
    </xdr:from>
    <xdr:to>
      <xdr:col>3</xdr:col>
      <xdr:colOff>609600</xdr:colOff>
      <xdr:row>57</xdr:row>
      <xdr:rowOff>123825</xdr:rowOff>
    </xdr:to>
    <xdr:sp macro="" textlink="">
      <xdr:nvSpPr>
        <xdr:cNvPr id="2059" name="Rectangle 1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060" name="AutoShape 12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1021/FRM-BPB-MM-%7bYYYYMMDD%7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 (2)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A-L"/>
      <sheetName val="A-G"/>
      <sheetName val="A-CP"/>
      <sheetName val="A-D"/>
      <sheetName val="A-CAn"/>
      <sheetName val="A_CI"/>
      <sheetName val="A-CI (OLD)"/>
      <sheetName val="FXD"/>
      <sheetName val="FX"/>
      <sheetName val="A-LD"/>
      <sheetName val="A-LS"/>
      <sheetName val="A"/>
      <sheetName val="Capital"/>
      <sheetName val="Risk Weighted Risk Exposures"/>
      <sheetName val="C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44"/>
  <sheetViews>
    <sheetView tabSelected="1" workbookViewId="0"/>
  </sheetViews>
  <sheetFormatPr defaultColWidth="9.140625" defaultRowHeight="15"/>
  <cols>
    <col min="1" max="1" width="5.7109375" style="1" customWidth="1"/>
    <col min="2" max="2" width="45.140625" style="1" customWidth="1"/>
    <col min="3" max="3" width="17.28515625" style="1" customWidth="1"/>
    <col min="4" max="4" width="15.5703125" style="1" customWidth="1"/>
    <col min="5" max="5" width="16.7109375" style="1" bestFit="1" customWidth="1"/>
    <col min="6" max="6" width="14.85546875" style="1" bestFit="1" customWidth="1"/>
    <col min="7" max="7" width="14.42578125" style="1" bestFit="1" customWidth="1"/>
    <col min="8" max="8" width="15.5703125" style="1" bestFit="1" customWidth="1"/>
    <col min="9" max="9" width="9.140625" style="1" customWidth="1"/>
    <col min="10" max="16384" width="9.140625" style="1"/>
  </cols>
  <sheetData>
    <row r="1" spans="1:15" ht="19.5">
      <c r="B1" s="406"/>
      <c r="C1" s="406"/>
      <c r="D1" s="406"/>
      <c r="E1" s="406"/>
      <c r="F1" s="406"/>
      <c r="G1" s="406"/>
      <c r="H1" s="406"/>
    </row>
    <row r="2" spans="1:15">
      <c r="A2" s="2" t="s">
        <v>0</v>
      </c>
      <c r="B2" s="3" t="s">
        <v>1</v>
      </c>
      <c r="C2" s="3"/>
      <c r="D2" s="3"/>
      <c r="E2" s="3"/>
      <c r="I2" s="3"/>
      <c r="J2" s="3"/>
      <c r="K2" s="3"/>
      <c r="L2" s="3"/>
      <c r="M2" s="3"/>
      <c r="N2" s="3"/>
      <c r="O2" s="3"/>
    </row>
    <row r="3" spans="1:15">
      <c r="A3" s="2" t="s">
        <v>2</v>
      </c>
      <c r="B3" s="4" t="s">
        <v>356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</row>
    <row r="4" spans="1:15" ht="15.75" thickBot="1">
      <c r="A4" s="7"/>
      <c r="B4" s="8" t="s">
        <v>3</v>
      </c>
      <c r="D4" s="6"/>
      <c r="E4" s="6"/>
      <c r="F4" s="3"/>
      <c r="G4" s="3"/>
      <c r="H4" s="9" t="s">
        <v>4</v>
      </c>
      <c r="I4" s="3"/>
      <c r="J4" s="3"/>
      <c r="K4" s="3"/>
      <c r="L4" s="3"/>
      <c r="M4" s="3"/>
      <c r="N4" s="3"/>
      <c r="O4" s="3"/>
    </row>
    <row r="5" spans="1:15" ht="18">
      <c r="A5" s="10"/>
      <c r="B5" s="11"/>
      <c r="C5" s="403" t="s">
        <v>5</v>
      </c>
      <c r="D5" s="403"/>
      <c r="E5" s="403"/>
      <c r="F5" s="404" t="s">
        <v>6</v>
      </c>
      <c r="G5" s="404"/>
      <c r="H5" s="405"/>
      <c r="I5" s="3"/>
      <c r="J5" s="3"/>
      <c r="K5" s="3"/>
      <c r="L5" s="3"/>
      <c r="M5" s="3"/>
      <c r="N5" s="3"/>
      <c r="O5" s="3"/>
    </row>
    <row r="6" spans="1:15" ht="15.75">
      <c r="A6" s="12" t="s">
        <v>7</v>
      </c>
      <c r="B6" s="13" t="s">
        <v>8</v>
      </c>
      <c r="C6" s="14" t="s">
        <v>9</v>
      </c>
      <c r="D6" s="14" t="s">
        <v>10</v>
      </c>
      <c r="E6" s="14" t="s">
        <v>11</v>
      </c>
      <c r="F6" s="14" t="s">
        <v>9</v>
      </c>
      <c r="G6" s="14" t="s">
        <v>10</v>
      </c>
      <c r="H6" s="103" t="s">
        <v>11</v>
      </c>
      <c r="I6" s="3"/>
      <c r="J6" s="3"/>
      <c r="K6" s="3"/>
      <c r="L6" s="3"/>
      <c r="M6" s="3"/>
      <c r="N6" s="3"/>
      <c r="O6" s="3"/>
    </row>
    <row r="7" spans="1:15">
      <c r="A7" s="12">
        <v>1</v>
      </c>
      <c r="B7" s="15" t="s">
        <v>12</v>
      </c>
      <c r="C7" s="100">
        <v>317912.21999999997</v>
      </c>
      <c r="D7" s="16">
        <v>496070.38</v>
      </c>
      <c r="E7" s="105">
        <f t="shared" ref="E7:E19" si="0">C7+D7</f>
        <v>813982.6</v>
      </c>
      <c r="F7" s="18">
        <v>123971.44</v>
      </c>
      <c r="G7" s="16">
        <v>599760.48230000003</v>
      </c>
      <c r="H7" s="19">
        <f t="shared" ref="H7:H20" si="1">F7+G7</f>
        <v>723731.92229999998</v>
      </c>
      <c r="I7" s="3"/>
      <c r="J7" s="3"/>
      <c r="K7" s="3"/>
      <c r="L7" s="3"/>
      <c r="M7" s="3"/>
      <c r="N7" s="3"/>
      <c r="O7" s="3"/>
    </row>
    <row r="8" spans="1:15">
      <c r="A8" s="12">
        <v>2</v>
      </c>
      <c r="B8" s="15" t="s">
        <v>13</v>
      </c>
      <c r="C8" s="100">
        <v>112721.21</v>
      </c>
      <c r="D8" s="16">
        <v>18247172.5414</v>
      </c>
      <c r="E8" s="105">
        <f t="shared" si="0"/>
        <v>18359893.751400001</v>
      </c>
      <c r="F8" s="18">
        <v>127576.38</v>
      </c>
      <c r="G8" s="16">
        <v>15956433.970000001</v>
      </c>
      <c r="H8" s="19">
        <f t="shared" si="1"/>
        <v>16084010.350000001</v>
      </c>
      <c r="I8" s="3"/>
      <c r="J8" s="3"/>
      <c r="K8" s="3"/>
      <c r="L8" s="3"/>
      <c r="M8" s="3"/>
      <c r="N8" s="3"/>
      <c r="O8" s="3"/>
    </row>
    <row r="9" spans="1:15">
      <c r="A9" s="12">
        <v>3</v>
      </c>
      <c r="B9" s="15" t="s">
        <v>14</v>
      </c>
      <c r="C9" s="100">
        <v>5078240.8</v>
      </c>
      <c r="D9" s="16">
        <v>31647044.7936</v>
      </c>
      <c r="E9" s="105">
        <f t="shared" si="0"/>
        <v>36725285.593599997</v>
      </c>
      <c r="F9" s="18">
        <v>1146374.25</v>
      </c>
      <c r="G9" s="16">
        <v>32069964.502099998</v>
      </c>
      <c r="H9" s="19">
        <f t="shared" si="1"/>
        <v>33216338.752099998</v>
      </c>
      <c r="I9" s="3"/>
      <c r="J9" s="3"/>
      <c r="K9" s="3"/>
      <c r="L9" s="3"/>
      <c r="M9" s="3"/>
      <c r="N9" s="3"/>
      <c r="O9" s="3"/>
    </row>
    <row r="10" spans="1:15">
      <c r="A10" s="12">
        <v>4</v>
      </c>
      <c r="B10" s="15" t="s">
        <v>15</v>
      </c>
      <c r="C10" s="100">
        <v>0</v>
      </c>
      <c r="D10" s="16">
        <v>0</v>
      </c>
      <c r="E10" s="105">
        <f t="shared" si="0"/>
        <v>0</v>
      </c>
      <c r="F10" s="18">
        <v>0</v>
      </c>
      <c r="G10" s="16">
        <v>0</v>
      </c>
      <c r="H10" s="19">
        <f t="shared" si="1"/>
        <v>0</v>
      </c>
      <c r="I10" s="3"/>
      <c r="J10" s="3"/>
      <c r="K10" s="3"/>
      <c r="L10" s="3"/>
      <c r="M10" s="3"/>
      <c r="N10" s="3"/>
      <c r="O10" s="3"/>
    </row>
    <row r="11" spans="1:15">
      <c r="A11" s="12">
        <v>5</v>
      </c>
      <c r="B11" s="15" t="s">
        <v>16</v>
      </c>
      <c r="C11" s="100">
        <v>63923981.210000001</v>
      </c>
      <c r="D11" s="16">
        <v>31002328.122699998</v>
      </c>
      <c r="E11" s="105">
        <f t="shared" si="0"/>
        <v>94926309.332699999</v>
      </c>
      <c r="F11" s="18">
        <v>78673622.400000006</v>
      </c>
      <c r="G11" s="16">
        <v>33294045.410399999</v>
      </c>
      <c r="H11" s="19">
        <f t="shared" si="1"/>
        <v>111967667.81040001</v>
      </c>
      <c r="I11" s="3"/>
      <c r="J11" s="3"/>
      <c r="K11" s="3"/>
      <c r="L11" s="3"/>
      <c r="M11" s="3"/>
      <c r="N11" s="3"/>
      <c r="O11" s="3"/>
    </row>
    <row r="12" spans="1:15">
      <c r="A12" s="12">
        <v>6.1</v>
      </c>
      <c r="B12" s="20" t="s">
        <v>17</v>
      </c>
      <c r="C12" s="101">
        <v>80283503.060000002</v>
      </c>
      <c r="D12" s="16">
        <v>28037697.960299999</v>
      </c>
      <c r="E12" s="105">
        <f t="shared" si="0"/>
        <v>108321201.0203</v>
      </c>
      <c r="F12" s="18">
        <v>74239075.780000001</v>
      </c>
      <c r="G12" s="16">
        <v>27223013.7665</v>
      </c>
      <c r="H12" s="19">
        <f t="shared" si="1"/>
        <v>101462089.5465</v>
      </c>
      <c r="I12" s="3"/>
      <c r="J12" s="3"/>
      <c r="K12" s="3"/>
      <c r="L12" s="3"/>
      <c r="M12" s="3"/>
      <c r="N12" s="3"/>
      <c r="O12" s="3"/>
    </row>
    <row r="13" spans="1:15">
      <c r="A13" s="12">
        <v>6.2</v>
      </c>
      <c r="B13" s="20" t="s">
        <v>18</v>
      </c>
      <c r="C13" s="100">
        <v>-1720013.8611999999</v>
      </c>
      <c r="D13" s="16">
        <v>-988978.60560000001</v>
      </c>
      <c r="E13" s="105">
        <f t="shared" si="0"/>
        <v>-2708992.4668000001</v>
      </c>
      <c r="F13" s="108">
        <v>-1562030.8012000001</v>
      </c>
      <c r="G13" s="108">
        <v>-2247720.0315</v>
      </c>
      <c r="H13" s="19">
        <f t="shared" si="1"/>
        <v>-3809750.8327000001</v>
      </c>
      <c r="I13" s="3"/>
      <c r="J13" s="3"/>
      <c r="K13" s="3"/>
      <c r="L13" s="3"/>
      <c r="M13" s="3"/>
      <c r="N13" s="3"/>
      <c r="O13" s="3"/>
    </row>
    <row r="14" spans="1:15">
      <c r="A14" s="12">
        <v>6</v>
      </c>
      <c r="B14" s="15" t="s">
        <v>19</v>
      </c>
      <c r="C14" s="101">
        <f>C12+C13</f>
        <v>78563489.198799998</v>
      </c>
      <c r="D14" s="101">
        <f>D12+D13</f>
        <v>27048719.354699999</v>
      </c>
      <c r="E14" s="105">
        <f t="shared" si="0"/>
        <v>105612208.5535</v>
      </c>
      <c r="F14" s="101">
        <f>F12+F13</f>
        <v>72677044.978799999</v>
      </c>
      <c r="G14" s="101">
        <f>G12+G13</f>
        <v>24975293.734999999</v>
      </c>
      <c r="H14" s="19">
        <f t="shared" si="1"/>
        <v>97652338.713799998</v>
      </c>
      <c r="I14" s="3"/>
      <c r="J14" s="3"/>
      <c r="K14" s="3"/>
      <c r="L14" s="3"/>
      <c r="M14" s="3"/>
      <c r="N14" s="3"/>
      <c r="O14" s="3"/>
    </row>
    <row r="15" spans="1:15">
      <c r="A15" s="12">
        <v>7</v>
      </c>
      <c r="B15" s="15" t="s">
        <v>20</v>
      </c>
      <c r="C15" s="100">
        <v>2149658.59</v>
      </c>
      <c r="D15" s="16">
        <v>737599.92749999999</v>
      </c>
      <c r="E15" s="105">
        <f t="shared" si="0"/>
        <v>2887258.5175000001</v>
      </c>
      <c r="F15" s="18">
        <v>2024372.18</v>
      </c>
      <c r="G15" s="16">
        <v>406270.13520000002</v>
      </c>
      <c r="H15" s="19">
        <f t="shared" si="1"/>
        <v>2430642.3152000001</v>
      </c>
      <c r="I15" s="3"/>
      <c r="J15" s="3"/>
      <c r="K15" s="3"/>
      <c r="L15" s="3"/>
      <c r="M15" s="3"/>
      <c r="N15" s="3"/>
      <c r="O15" s="3"/>
    </row>
    <row r="16" spans="1:15">
      <c r="A16" s="12">
        <v>8</v>
      </c>
      <c r="B16" s="15" t="s">
        <v>21</v>
      </c>
      <c r="C16" s="100">
        <v>0</v>
      </c>
      <c r="D16" s="16">
        <v>0</v>
      </c>
      <c r="E16" s="105">
        <f t="shared" si="0"/>
        <v>0</v>
      </c>
      <c r="F16" s="18">
        <v>0</v>
      </c>
      <c r="G16" s="16">
        <v>0</v>
      </c>
      <c r="H16" s="19">
        <f t="shared" si="1"/>
        <v>0</v>
      </c>
      <c r="I16" s="3"/>
      <c r="J16" s="3"/>
      <c r="K16" s="3"/>
      <c r="L16" s="3"/>
      <c r="M16" s="3"/>
      <c r="N16" s="3"/>
      <c r="O16" s="3"/>
    </row>
    <row r="17" spans="1:15">
      <c r="A17" s="12">
        <v>9</v>
      </c>
      <c r="B17" s="15" t="s">
        <v>22</v>
      </c>
      <c r="C17" s="100">
        <v>0</v>
      </c>
      <c r="D17" s="16">
        <v>0</v>
      </c>
      <c r="E17" s="105">
        <f t="shared" si="0"/>
        <v>0</v>
      </c>
      <c r="F17" s="18">
        <v>0</v>
      </c>
      <c r="G17" s="16">
        <v>0</v>
      </c>
      <c r="H17" s="19">
        <f t="shared" si="1"/>
        <v>0</v>
      </c>
      <c r="I17" s="3"/>
      <c r="J17" s="3"/>
      <c r="K17" s="3"/>
      <c r="L17" s="3"/>
      <c r="M17" s="3"/>
      <c r="N17" s="3"/>
      <c r="O17" s="3"/>
    </row>
    <row r="18" spans="1:15">
      <c r="A18" s="12">
        <v>10</v>
      </c>
      <c r="B18" s="15" t="s">
        <v>23</v>
      </c>
      <c r="C18" s="100">
        <v>3397799.86</v>
      </c>
      <c r="D18" s="16">
        <v>0</v>
      </c>
      <c r="E18" s="105">
        <f t="shared" si="0"/>
        <v>3397799.86</v>
      </c>
      <c r="F18" s="18">
        <v>4333487.8</v>
      </c>
      <c r="G18" s="16">
        <v>0</v>
      </c>
      <c r="H18" s="19">
        <f t="shared" si="1"/>
        <v>4333487.8</v>
      </c>
      <c r="I18" s="3"/>
      <c r="J18" s="3"/>
      <c r="K18" s="3"/>
      <c r="L18" s="3"/>
      <c r="M18" s="3"/>
      <c r="N18" s="3"/>
      <c r="O18" s="3"/>
    </row>
    <row r="19" spans="1:15">
      <c r="A19" s="12">
        <v>11</v>
      </c>
      <c r="B19" s="15" t="s">
        <v>24</v>
      </c>
      <c r="C19" s="100">
        <v>1014114.25</v>
      </c>
      <c r="D19" s="16">
        <v>2698.6347000000001</v>
      </c>
      <c r="E19" s="105">
        <f t="shared" si="0"/>
        <v>1016812.8847000001</v>
      </c>
      <c r="F19" s="18">
        <v>1031981.96</v>
      </c>
      <c r="G19" s="16">
        <v>238429.84909999999</v>
      </c>
      <c r="H19" s="19">
        <f t="shared" si="1"/>
        <v>1270411.8091</v>
      </c>
      <c r="I19" s="3"/>
      <c r="J19" s="3"/>
      <c r="K19" s="3"/>
      <c r="L19" s="3"/>
      <c r="M19" s="3"/>
      <c r="N19" s="3"/>
      <c r="O19" s="3"/>
    </row>
    <row r="20" spans="1:15">
      <c r="A20" s="12">
        <v>12</v>
      </c>
      <c r="B20" s="21" t="s">
        <v>25</v>
      </c>
      <c r="C20" s="102">
        <f>SUM(C7+C8+C9+C10+C11+C14+C15+C16+C17+C18+C19)</f>
        <v>154557917.33880001</v>
      </c>
      <c r="D20" s="102">
        <f>SUM(D7+D8+D9+D10+D11+D14+D15+D16+D17+D18+D19)</f>
        <v>109181633.7546</v>
      </c>
      <c r="E20" s="106">
        <f>SUM(E7+E8+E9+E10+E11+E14+E15+E16+E17+E18+E19)</f>
        <v>263739551.09340003</v>
      </c>
      <c r="F20" s="102">
        <f>SUM(F7+F8+F9+F10+F11+F14+F15+F16+F17+F18+F19)</f>
        <v>160138431.38880002</v>
      </c>
      <c r="G20" s="102">
        <f>SUM(G7+G8+G9+G10+G11+G14+G15+G16+G17+G18+G19)</f>
        <v>107540198.08409999</v>
      </c>
      <c r="H20" s="19">
        <f t="shared" si="1"/>
        <v>267678629.47290003</v>
      </c>
      <c r="I20" s="3"/>
      <c r="J20" s="3"/>
      <c r="K20" s="3"/>
      <c r="L20" s="3"/>
      <c r="M20" s="3"/>
      <c r="N20" s="3"/>
      <c r="O20" s="3"/>
    </row>
    <row r="21" spans="1:15" ht="15.75">
      <c r="A21" s="12"/>
      <c r="B21" s="13" t="s">
        <v>26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</row>
    <row r="22" spans="1:15">
      <c r="A22" s="12">
        <v>13</v>
      </c>
      <c r="B22" s="15" t="s">
        <v>27</v>
      </c>
      <c r="C22" s="100">
        <v>12068035.630000001</v>
      </c>
      <c r="D22" s="16">
        <v>70105970.038599998</v>
      </c>
      <c r="E22" s="105">
        <f t="shared" ref="E22:E30" si="2">C22+D22</f>
        <v>82174005.668599993</v>
      </c>
      <c r="F22" s="18">
        <v>13209602.189999999</v>
      </c>
      <c r="G22" s="16">
        <v>54927216.079000004</v>
      </c>
      <c r="H22" s="19">
        <f t="shared" ref="H22:H30" si="3">F22+G22</f>
        <v>68136818.269000009</v>
      </c>
      <c r="I22" s="3"/>
      <c r="J22" s="3"/>
      <c r="K22" s="3"/>
      <c r="L22" s="3"/>
      <c r="M22" s="3"/>
      <c r="N22" s="3"/>
      <c r="O22" s="3"/>
    </row>
    <row r="23" spans="1:15">
      <c r="A23" s="12">
        <v>14</v>
      </c>
      <c r="B23" s="15" t="s">
        <v>28</v>
      </c>
      <c r="C23" s="101">
        <v>2235845.0699999998</v>
      </c>
      <c r="D23" s="16">
        <v>3995656.2045999998</v>
      </c>
      <c r="E23" s="105">
        <f t="shared" si="2"/>
        <v>6231501.2745999992</v>
      </c>
      <c r="F23" s="18">
        <v>1255585.01</v>
      </c>
      <c r="G23" s="16">
        <v>24522706.123100001</v>
      </c>
      <c r="H23" s="19">
        <f t="shared" si="3"/>
        <v>25778291.133100003</v>
      </c>
      <c r="I23" s="3"/>
      <c r="J23" s="3"/>
      <c r="K23" s="3"/>
      <c r="L23" s="3"/>
      <c r="M23" s="3"/>
      <c r="N23" s="3"/>
      <c r="O23" s="3"/>
    </row>
    <row r="24" spans="1:15">
      <c r="A24" s="12">
        <v>15</v>
      </c>
      <c r="B24" s="15" t="s">
        <v>29</v>
      </c>
      <c r="C24" s="16">
        <v>0</v>
      </c>
      <c r="D24" s="16">
        <v>0</v>
      </c>
      <c r="E24" s="105">
        <f t="shared" si="2"/>
        <v>0</v>
      </c>
      <c r="F24" s="18">
        <v>0</v>
      </c>
      <c r="G24" s="16">
        <v>0</v>
      </c>
      <c r="H24" s="19">
        <f t="shared" si="3"/>
        <v>0</v>
      </c>
      <c r="I24" s="3"/>
      <c r="J24" s="3"/>
      <c r="K24" s="3"/>
      <c r="L24" s="3"/>
      <c r="M24" s="3"/>
      <c r="N24" s="3"/>
      <c r="O24" s="3"/>
    </row>
    <row r="25" spans="1:15">
      <c r="A25" s="12">
        <v>16</v>
      </c>
      <c r="B25" s="15" t="s">
        <v>30</v>
      </c>
      <c r="C25" s="101">
        <v>1050189.75</v>
      </c>
      <c r="D25" s="16">
        <v>31038638.809999999</v>
      </c>
      <c r="E25" s="105">
        <f t="shared" si="2"/>
        <v>32088828.559999999</v>
      </c>
      <c r="F25" s="18">
        <v>8577270.3900000006</v>
      </c>
      <c r="G25" s="16">
        <v>24527032.602299999</v>
      </c>
      <c r="H25" s="19">
        <f t="shared" si="3"/>
        <v>33104302.9923</v>
      </c>
      <c r="I25" s="3"/>
      <c r="J25" s="3"/>
      <c r="K25" s="3"/>
      <c r="L25" s="3"/>
      <c r="M25" s="3"/>
      <c r="N25" s="3"/>
      <c r="O25" s="3"/>
    </row>
    <row r="26" spans="1:15">
      <c r="A26" s="12">
        <v>17</v>
      </c>
      <c r="B26" s="15" t="s">
        <v>31</v>
      </c>
      <c r="C26" s="100">
        <v>0</v>
      </c>
      <c r="D26" s="22">
        <v>0</v>
      </c>
      <c r="E26" s="105">
        <f t="shared" si="2"/>
        <v>0</v>
      </c>
      <c r="F26" s="24">
        <v>0</v>
      </c>
      <c r="G26" s="22">
        <v>0</v>
      </c>
      <c r="H26" s="19">
        <f t="shared" si="3"/>
        <v>0</v>
      </c>
      <c r="I26" s="3"/>
      <c r="J26" s="3"/>
      <c r="K26" s="3"/>
      <c r="L26" s="3"/>
      <c r="M26" s="3"/>
      <c r="N26" s="3"/>
      <c r="O26" s="3"/>
    </row>
    <row r="27" spans="1:15">
      <c r="A27" s="12">
        <v>18</v>
      </c>
      <c r="B27" s="15" t="s">
        <v>32</v>
      </c>
      <c r="C27" s="100">
        <v>31200000</v>
      </c>
      <c r="D27" s="16">
        <v>7183593.2779999999</v>
      </c>
      <c r="E27" s="105">
        <f t="shared" si="2"/>
        <v>38383593.277999997</v>
      </c>
      <c r="F27" s="18">
        <v>37000000</v>
      </c>
      <c r="G27" s="16">
        <v>6204106.8309000004</v>
      </c>
      <c r="H27" s="19">
        <f t="shared" si="3"/>
        <v>43204106.830899999</v>
      </c>
      <c r="I27" s="3"/>
      <c r="J27" s="3"/>
      <c r="K27" s="3"/>
      <c r="L27" s="3"/>
      <c r="M27" s="3"/>
      <c r="N27" s="3"/>
      <c r="O27" s="3"/>
    </row>
    <row r="28" spans="1:15">
      <c r="A28" s="12">
        <v>19</v>
      </c>
      <c r="B28" s="15" t="s">
        <v>33</v>
      </c>
      <c r="C28" s="100">
        <v>36418.46</v>
      </c>
      <c r="D28" s="16">
        <v>487537.55310000002</v>
      </c>
      <c r="E28" s="105">
        <f t="shared" si="2"/>
        <v>523956.01310000004</v>
      </c>
      <c r="F28" s="18">
        <v>51012.3</v>
      </c>
      <c r="G28" s="16">
        <v>321256.68699999998</v>
      </c>
      <c r="H28" s="19">
        <f t="shared" si="3"/>
        <v>372268.98699999996</v>
      </c>
      <c r="I28" s="3"/>
      <c r="J28" s="3"/>
      <c r="K28" s="3"/>
      <c r="L28" s="3"/>
      <c r="M28" s="3"/>
      <c r="N28" s="3"/>
      <c r="O28" s="3"/>
    </row>
    <row r="29" spans="1:15">
      <c r="A29" s="12">
        <v>20</v>
      </c>
      <c r="B29" s="15" t="s">
        <v>34</v>
      </c>
      <c r="C29" s="100">
        <v>1318462.6599999999</v>
      </c>
      <c r="D29" s="16">
        <v>390290.04470000003</v>
      </c>
      <c r="E29" s="105">
        <f t="shared" si="2"/>
        <v>1708752.7046999999</v>
      </c>
      <c r="F29" s="18">
        <v>1055566.73</v>
      </c>
      <c r="G29" s="16">
        <v>338136.69170000002</v>
      </c>
      <c r="H29" s="19">
        <f t="shared" si="3"/>
        <v>1393703.4217000001</v>
      </c>
      <c r="I29" s="3"/>
      <c r="J29" s="3"/>
      <c r="K29" s="3"/>
      <c r="L29" s="3"/>
      <c r="M29" s="3"/>
      <c r="N29" s="3"/>
      <c r="O29" s="3"/>
    </row>
    <row r="30" spans="1:15">
      <c r="A30" s="12">
        <v>21</v>
      </c>
      <c r="B30" s="15" t="s">
        <v>35</v>
      </c>
      <c r="C30" s="16">
        <v>0</v>
      </c>
      <c r="D30" s="16">
        <v>0</v>
      </c>
      <c r="E30" s="105">
        <f t="shared" si="2"/>
        <v>0</v>
      </c>
      <c r="F30" s="18">
        <v>0</v>
      </c>
      <c r="G30" s="16">
        <v>0</v>
      </c>
      <c r="H30" s="19">
        <f t="shared" si="3"/>
        <v>0</v>
      </c>
      <c r="I30" s="3"/>
      <c r="J30" s="3"/>
      <c r="K30" s="3"/>
      <c r="L30" s="3"/>
      <c r="M30" s="3"/>
      <c r="N30" s="3"/>
      <c r="O30" s="3"/>
    </row>
    <row r="31" spans="1:15">
      <c r="A31" s="12">
        <v>22</v>
      </c>
      <c r="B31" s="21" t="s">
        <v>36</v>
      </c>
      <c r="C31" s="16">
        <f t="shared" ref="C31:H31" si="4">SUM(C22:C30)</f>
        <v>47908951.57</v>
      </c>
      <c r="D31" s="16">
        <f t="shared" si="4"/>
        <v>113201685.92900001</v>
      </c>
      <c r="E31" s="105">
        <f t="shared" si="4"/>
        <v>161110637.49899998</v>
      </c>
      <c r="F31" s="16">
        <f t="shared" si="4"/>
        <v>61149036.619999997</v>
      </c>
      <c r="G31" s="16">
        <f t="shared" si="4"/>
        <v>110840455.01400001</v>
      </c>
      <c r="H31" s="16">
        <f t="shared" si="4"/>
        <v>171989491.634</v>
      </c>
      <c r="I31" s="3"/>
      <c r="J31" s="3"/>
      <c r="K31" s="3"/>
      <c r="L31" s="3"/>
      <c r="M31" s="3"/>
      <c r="N31" s="3"/>
      <c r="O31" s="3"/>
    </row>
    <row r="32" spans="1:15" ht="15.75">
      <c r="A32" s="12"/>
      <c r="B32" s="13" t="s">
        <v>37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</row>
    <row r="33" spans="1:47">
      <c r="A33" s="12">
        <v>23</v>
      </c>
      <c r="B33" s="15" t="s">
        <v>38</v>
      </c>
      <c r="C33" s="100">
        <v>103000000</v>
      </c>
      <c r="D33" s="26">
        <v>0</v>
      </c>
      <c r="E33" s="17">
        <f t="shared" ref="E33:E39" si="5">C33+D33</f>
        <v>103000000</v>
      </c>
      <c r="F33" s="18">
        <v>103000000</v>
      </c>
      <c r="G33" s="26">
        <v>0</v>
      </c>
      <c r="H33" s="19">
        <f t="shared" ref="H33:H39" si="6">F33+G33</f>
        <v>103000000</v>
      </c>
      <c r="I33" s="3"/>
      <c r="J33" s="3"/>
      <c r="K33" s="3"/>
      <c r="L33" s="3"/>
      <c r="M33" s="3"/>
      <c r="N33" s="3"/>
      <c r="O33" s="3"/>
    </row>
    <row r="34" spans="1:47">
      <c r="A34" s="12">
        <v>24</v>
      </c>
      <c r="B34" s="15" t="s">
        <v>39</v>
      </c>
      <c r="C34" s="100">
        <v>0</v>
      </c>
      <c r="D34" s="26">
        <v>0</v>
      </c>
      <c r="E34" s="17">
        <f t="shared" si="5"/>
        <v>0</v>
      </c>
      <c r="F34" s="18">
        <v>0</v>
      </c>
      <c r="G34" s="26">
        <v>0</v>
      </c>
      <c r="H34" s="19">
        <f t="shared" si="6"/>
        <v>0</v>
      </c>
      <c r="I34" s="3"/>
      <c r="J34" s="3"/>
      <c r="K34" s="3"/>
      <c r="L34" s="3"/>
      <c r="M34" s="3"/>
      <c r="N34" s="3"/>
      <c r="O34" s="3"/>
    </row>
    <row r="35" spans="1:47">
      <c r="A35" s="12">
        <v>25</v>
      </c>
      <c r="B35" s="20" t="s">
        <v>40</v>
      </c>
      <c r="C35" s="100">
        <v>0</v>
      </c>
      <c r="D35" s="26">
        <v>0</v>
      </c>
      <c r="E35" s="17">
        <f t="shared" si="5"/>
        <v>0</v>
      </c>
      <c r="F35" s="18">
        <v>0</v>
      </c>
      <c r="G35" s="26">
        <v>0</v>
      </c>
      <c r="H35" s="19">
        <f t="shared" si="6"/>
        <v>0</v>
      </c>
      <c r="I35" s="3"/>
      <c r="J35" s="3"/>
      <c r="K35" s="3"/>
      <c r="L35" s="3"/>
      <c r="M35" s="3"/>
      <c r="N35" s="3"/>
      <c r="O35" s="3"/>
    </row>
    <row r="36" spans="1:47">
      <c r="A36" s="12">
        <v>26</v>
      </c>
      <c r="B36" s="15" t="s">
        <v>41</v>
      </c>
      <c r="C36" s="100">
        <v>0</v>
      </c>
      <c r="D36" s="26">
        <v>0</v>
      </c>
      <c r="E36" s="17">
        <f t="shared" si="5"/>
        <v>0</v>
      </c>
      <c r="F36" s="18">
        <v>0</v>
      </c>
      <c r="G36" s="26">
        <v>0</v>
      </c>
      <c r="H36" s="19">
        <f t="shared" si="6"/>
        <v>0</v>
      </c>
      <c r="I36" s="3"/>
      <c r="J36" s="3"/>
      <c r="K36" s="3"/>
      <c r="L36" s="3"/>
      <c r="M36" s="3"/>
      <c r="N36" s="3"/>
      <c r="O36" s="3"/>
    </row>
    <row r="37" spans="1:47">
      <c r="A37" s="12">
        <v>27</v>
      </c>
      <c r="B37" s="15" t="s">
        <v>42</v>
      </c>
      <c r="C37" s="100">
        <v>0</v>
      </c>
      <c r="D37" s="26">
        <v>0</v>
      </c>
      <c r="E37" s="17">
        <f t="shared" si="5"/>
        <v>0</v>
      </c>
      <c r="F37" s="18">
        <v>0</v>
      </c>
      <c r="G37" s="26">
        <v>0</v>
      </c>
      <c r="H37" s="19">
        <f t="shared" si="6"/>
        <v>0</v>
      </c>
      <c r="I37" s="3"/>
      <c r="J37" s="3"/>
      <c r="K37" s="3"/>
      <c r="L37" s="3"/>
      <c r="M37" s="3"/>
      <c r="N37" s="3"/>
      <c r="O37" s="3"/>
    </row>
    <row r="38" spans="1:47">
      <c r="A38" s="12">
        <v>28</v>
      </c>
      <c r="B38" s="15" t="s">
        <v>43</v>
      </c>
      <c r="C38" s="100">
        <v>-371086.41</v>
      </c>
      <c r="D38" s="26">
        <v>0</v>
      </c>
      <c r="E38" s="17">
        <f t="shared" si="5"/>
        <v>-371086.41</v>
      </c>
      <c r="F38" s="18">
        <v>-7310862.2000000002</v>
      </c>
      <c r="G38" s="26">
        <v>0</v>
      </c>
      <c r="H38" s="19">
        <f t="shared" si="6"/>
        <v>-7310862.2000000002</v>
      </c>
      <c r="I38" s="3"/>
      <c r="J38" s="3"/>
      <c r="K38" s="3"/>
      <c r="L38" s="3"/>
      <c r="M38" s="3"/>
      <c r="N38" s="3"/>
      <c r="O38" s="3"/>
    </row>
    <row r="39" spans="1:47">
      <c r="A39" s="12">
        <v>29</v>
      </c>
      <c r="B39" s="15" t="s">
        <v>44</v>
      </c>
      <c r="C39" s="100">
        <v>0</v>
      </c>
      <c r="D39" s="26">
        <v>0</v>
      </c>
      <c r="E39" s="17">
        <f t="shared" si="5"/>
        <v>0</v>
      </c>
      <c r="F39" s="18">
        <v>0</v>
      </c>
      <c r="G39" s="26">
        <v>0</v>
      </c>
      <c r="H39" s="19">
        <f t="shared" si="6"/>
        <v>0</v>
      </c>
      <c r="I39" s="3"/>
      <c r="J39" s="3"/>
      <c r="K39" s="3"/>
      <c r="L39" s="3"/>
      <c r="M39" s="3"/>
      <c r="N39" s="3"/>
      <c r="O39" s="3"/>
    </row>
    <row r="40" spans="1:47">
      <c r="A40" s="12">
        <v>30</v>
      </c>
      <c r="B40" s="21" t="s">
        <v>45</v>
      </c>
      <c r="C40" s="16">
        <f t="shared" ref="C40:H40" si="7">C33+C34+C35+C36+C37+C38+C39</f>
        <v>102628913.59</v>
      </c>
      <c r="D40" s="16">
        <f t="shared" si="7"/>
        <v>0</v>
      </c>
      <c r="E40" s="16">
        <f t="shared" si="7"/>
        <v>102628913.59</v>
      </c>
      <c r="F40" s="16">
        <f t="shared" si="7"/>
        <v>95689137.799999997</v>
      </c>
      <c r="G40" s="16">
        <f t="shared" si="7"/>
        <v>0</v>
      </c>
      <c r="H40" s="16">
        <f t="shared" si="7"/>
        <v>95689137.799999997</v>
      </c>
    </row>
    <row r="41" spans="1:47" ht="15.75" thickBot="1">
      <c r="A41" s="27">
        <v>31</v>
      </c>
      <c r="B41" s="28" t="s">
        <v>46</v>
      </c>
      <c r="C41" s="29">
        <f t="shared" ref="C41:H41" si="8">C31+C40</f>
        <v>150537865.16</v>
      </c>
      <c r="D41" s="29">
        <f t="shared" si="8"/>
        <v>113201685.92900001</v>
      </c>
      <c r="E41" s="29">
        <f t="shared" si="8"/>
        <v>263739551.08899999</v>
      </c>
      <c r="F41" s="29">
        <f t="shared" si="8"/>
        <v>156838174.41999999</v>
      </c>
      <c r="G41" s="29">
        <f t="shared" si="8"/>
        <v>110840455.01400001</v>
      </c>
      <c r="H41" s="29">
        <f t="shared" si="8"/>
        <v>267678629.43400002</v>
      </c>
    </row>
    <row r="42" spans="1:47">
      <c r="A42" s="30"/>
      <c r="B42" s="3"/>
      <c r="C42" s="3"/>
      <c r="D42" s="3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>
      <c r="A43" s="401" t="s">
        <v>351</v>
      </c>
      <c r="B43" s="401" t="s">
        <v>352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>
      <c r="A44" s="3"/>
      <c r="B44" s="3"/>
      <c r="C44" s="3"/>
      <c r="D44" s="3"/>
      <c r="E44" s="10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</sheetData>
  <mergeCells count="3">
    <mergeCell ref="C5:E5"/>
    <mergeCell ref="F5:H5"/>
    <mergeCell ref="B1:H1"/>
  </mergeCells>
  <dataValidations count="2">
    <dataValidation type="whole" operator="lessThanOrEqual" allowBlank="1" showInputMessage="1" showErrorMessage="1" sqref="D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E37"/>
  <sheetViews>
    <sheetView workbookViewId="0">
      <selection activeCell="B27" sqref="B27:H27"/>
    </sheetView>
  </sheetViews>
  <sheetFormatPr defaultColWidth="9.140625" defaultRowHeight="12.75"/>
  <cols>
    <col min="2" max="2" width="76.28515625" bestFit="1" customWidth="1"/>
    <col min="3" max="3" width="8.85546875" bestFit="1" customWidth="1"/>
    <col min="4" max="4" width="11.140625" bestFit="1" customWidth="1"/>
    <col min="5" max="5" width="9" bestFit="1" customWidth="1"/>
  </cols>
  <sheetData>
    <row r="1" spans="1:5" ht="13.5">
      <c r="A1" s="284" t="s">
        <v>0</v>
      </c>
      <c r="B1" s="285">
        <f>'RC'!B1</f>
        <v>0</v>
      </c>
      <c r="C1" s="286"/>
      <c r="D1" s="286"/>
      <c r="E1" s="286"/>
    </row>
    <row r="2" spans="1:5" ht="13.5">
      <c r="A2" s="284" t="s">
        <v>2</v>
      </c>
      <c r="B2" s="287" t="str">
        <f>'RC'!B2</f>
        <v>სს " პაშა ბანკი საქართველო"</v>
      </c>
      <c r="C2" s="286"/>
      <c r="D2" s="286"/>
      <c r="E2" s="286"/>
    </row>
    <row r="3" spans="1:5" ht="13.5">
      <c r="A3" s="288"/>
      <c r="B3" s="289"/>
      <c r="C3" s="288"/>
      <c r="D3" s="288"/>
      <c r="E3" s="288"/>
    </row>
    <row r="4" spans="1:5" ht="15.75">
      <c r="A4" s="290" t="s">
        <v>274</v>
      </c>
      <c r="B4" s="291" t="s">
        <v>275</v>
      </c>
      <c r="C4" s="288"/>
      <c r="D4" s="288"/>
      <c r="E4" s="292" t="s">
        <v>190</v>
      </c>
    </row>
    <row r="5" spans="1:5" ht="13.5">
      <c r="A5" s="293"/>
      <c r="B5" s="293"/>
      <c r="C5" s="294"/>
      <c r="D5" s="295"/>
      <c r="E5" s="295"/>
    </row>
    <row r="6" spans="1:5" ht="67.5">
      <c r="A6" s="296" t="s">
        <v>7</v>
      </c>
      <c r="B6" s="297"/>
      <c r="C6" s="298" t="s">
        <v>276</v>
      </c>
      <c r="D6" s="299" t="s">
        <v>277</v>
      </c>
      <c r="E6" s="300" t="s">
        <v>278</v>
      </c>
    </row>
    <row r="7" spans="1:5" ht="13.5">
      <c r="A7" s="301">
        <v>1</v>
      </c>
      <c r="B7" s="302" t="s">
        <v>279</v>
      </c>
      <c r="C7" s="325" t="s">
        <v>280</v>
      </c>
      <c r="D7" s="325">
        <f>D8+D9</f>
        <v>103000000</v>
      </c>
      <c r="E7" s="326">
        <f>SUM(E8:E9)</f>
        <v>103000000</v>
      </c>
    </row>
    <row r="8" spans="1:5" ht="13.5">
      <c r="A8" s="301">
        <v>1.1000000000000001</v>
      </c>
      <c r="B8" s="303" t="s">
        <v>38</v>
      </c>
      <c r="C8" s="304">
        <v>1</v>
      </c>
      <c r="D8" s="304">
        <v>103000000</v>
      </c>
      <c r="E8" s="326">
        <f>C8*D8</f>
        <v>103000000</v>
      </c>
    </row>
    <row r="9" spans="1:5" ht="13.5">
      <c r="A9" s="301">
        <v>1.2</v>
      </c>
      <c r="B9" s="303" t="s">
        <v>39</v>
      </c>
      <c r="C9" s="304"/>
      <c r="D9" s="304"/>
      <c r="E9" s="326">
        <f>C9*D9</f>
        <v>0</v>
      </c>
    </row>
    <row r="10" spans="1:5" ht="13.5">
      <c r="A10" s="301">
        <v>2</v>
      </c>
      <c r="B10" s="302" t="s">
        <v>281</v>
      </c>
      <c r="C10" s="325" t="s">
        <v>280</v>
      </c>
      <c r="D10" s="325">
        <f>D11+D12</f>
        <v>103000000</v>
      </c>
      <c r="E10" s="326">
        <f>SUM(E11:E12)</f>
        <v>103000000</v>
      </c>
    </row>
    <row r="11" spans="1:5" ht="13.5">
      <c r="A11" s="301">
        <v>2.1</v>
      </c>
      <c r="B11" s="303" t="s">
        <v>38</v>
      </c>
      <c r="C11" s="304">
        <v>1</v>
      </c>
      <c r="D11" s="304">
        <v>103000000</v>
      </c>
      <c r="E11" s="326">
        <f>C11*D11</f>
        <v>103000000</v>
      </c>
    </row>
    <row r="12" spans="1:5" ht="13.5">
      <c r="A12" s="301">
        <v>2.2000000000000002</v>
      </c>
      <c r="B12" s="303" t="s">
        <v>39</v>
      </c>
      <c r="C12" s="304"/>
      <c r="D12" s="304"/>
      <c r="E12" s="326">
        <f>C12*D12</f>
        <v>0</v>
      </c>
    </row>
    <row r="13" spans="1:5" ht="13.5">
      <c r="A13" s="301">
        <v>3</v>
      </c>
      <c r="B13" s="302" t="s">
        <v>282</v>
      </c>
      <c r="C13" s="325" t="s">
        <v>280</v>
      </c>
      <c r="D13" s="327">
        <f t="shared" ref="D13:E15" si="0">D7-D10</f>
        <v>0</v>
      </c>
      <c r="E13" s="326">
        <f t="shared" si="0"/>
        <v>0</v>
      </c>
    </row>
    <row r="14" spans="1:5" ht="13.5">
      <c r="A14" s="301">
        <v>3.1</v>
      </c>
      <c r="B14" s="303" t="s">
        <v>38</v>
      </c>
      <c r="C14" s="304"/>
      <c r="D14" s="327">
        <f t="shared" si="0"/>
        <v>0</v>
      </c>
      <c r="E14" s="326">
        <f t="shared" si="0"/>
        <v>0</v>
      </c>
    </row>
    <row r="15" spans="1:5" ht="13.5">
      <c r="A15" s="305">
        <v>3.2</v>
      </c>
      <c r="B15" s="306" t="s">
        <v>39</v>
      </c>
      <c r="C15" s="307"/>
      <c r="D15" s="328">
        <f t="shared" si="0"/>
        <v>0</v>
      </c>
      <c r="E15" s="329">
        <f t="shared" si="0"/>
        <v>0</v>
      </c>
    </row>
    <row r="16" spans="1:5" ht="13.5">
      <c r="A16" s="308"/>
      <c r="B16" s="309"/>
      <c r="C16" s="310"/>
      <c r="D16" s="310"/>
      <c r="E16" s="310"/>
    </row>
    <row r="17" spans="1:5" ht="15.75">
      <c r="A17" s="311" t="s">
        <v>283</v>
      </c>
      <c r="B17" s="291" t="s">
        <v>284</v>
      </c>
      <c r="C17" s="310"/>
      <c r="D17" s="310"/>
      <c r="E17" s="310"/>
    </row>
    <row r="18" spans="1:5" ht="13.5">
      <c r="A18" s="312"/>
      <c r="B18" s="312"/>
      <c r="C18" s="313"/>
      <c r="D18" s="313"/>
      <c r="E18" s="314"/>
    </row>
    <row r="19" spans="1:5" ht="67.5">
      <c r="A19" s="296" t="s">
        <v>7</v>
      </c>
      <c r="B19" s="315"/>
      <c r="C19" s="316" t="s">
        <v>285</v>
      </c>
      <c r="D19" s="316" t="s">
        <v>286</v>
      </c>
      <c r="E19" s="317" t="s">
        <v>287</v>
      </c>
    </row>
    <row r="20" spans="1:5" ht="13.5">
      <c r="A20" s="318">
        <v>1</v>
      </c>
      <c r="B20" s="303" t="s">
        <v>38</v>
      </c>
      <c r="C20" s="319">
        <v>103000000</v>
      </c>
      <c r="D20" s="319"/>
      <c r="E20" s="330">
        <f t="shared" ref="E20:E30" si="1">C20+D20</f>
        <v>103000000</v>
      </c>
    </row>
    <row r="21" spans="1:5" ht="13.5">
      <c r="A21" s="318">
        <v>2</v>
      </c>
      <c r="B21" s="303" t="s">
        <v>39</v>
      </c>
      <c r="C21" s="319">
        <v>0</v>
      </c>
      <c r="D21" s="319"/>
      <c r="E21" s="330">
        <f t="shared" si="1"/>
        <v>0</v>
      </c>
    </row>
    <row r="22" spans="1:5" ht="13.5">
      <c r="A22" s="318">
        <v>3</v>
      </c>
      <c r="B22" s="303" t="s">
        <v>288</v>
      </c>
      <c r="C22" s="319">
        <v>0</v>
      </c>
      <c r="D22" s="319"/>
      <c r="E22" s="330">
        <f t="shared" si="1"/>
        <v>0</v>
      </c>
    </row>
    <row r="23" spans="1:5" ht="13.5">
      <c r="A23" s="318">
        <v>4</v>
      </c>
      <c r="B23" s="303" t="s">
        <v>289</v>
      </c>
      <c r="C23" s="319">
        <v>0</v>
      </c>
      <c r="D23" s="319"/>
      <c r="E23" s="330">
        <f t="shared" si="1"/>
        <v>0</v>
      </c>
    </row>
    <row r="24" spans="1:5" ht="13.5">
      <c r="A24" s="318">
        <v>5</v>
      </c>
      <c r="B24" s="303" t="s">
        <v>290</v>
      </c>
      <c r="C24" s="319">
        <v>0</v>
      </c>
      <c r="D24" s="319"/>
      <c r="E24" s="330">
        <f t="shared" si="1"/>
        <v>0</v>
      </c>
    </row>
    <row r="25" spans="1:5" ht="13.5">
      <c r="A25" s="318">
        <v>6</v>
      </c>
      <c r="B25" s="303" t="s">
        <v>291</v>
      </c>
      <c r="C25" s="319">
        <v>0</v>
      </c>
      <c r="D25" s="319"/>
      <c r="E25" s="330">
        <f t="shared" si="1"/>
        <v>0</v>
      </c>
    </row>
    <row r="26" spans="1:5" ht="13.5">
      <c r="A26" s="318">
        <v>7</v>
      </c>
      <c r="B26" s="303" t="s">
        <v>42</v>
      </c>
      <c r="C26" s="331">
        <f>C27+C28</f>
        <v>0</v>
      </c>
      <c r="D26" s="331">
        <f>D27+D28</f>
        <v>0</v>
      </c>
      <c r="E26" s="330">
        <f t="shared" si="1"/>
        <v>0</v>
      </c>
    </row>
    <row r="27" spans="1:5" ht="13.5">
      <c r="A27" s="318">
        <v>7.1</v>
      </c>
      <c r="B27" s="320" t="s">
        <v>198</v>
      </c>
      <c r="C27" s="319">
        <v>0</v>
      </c>
      <c r="D27" s="319"/>
      <c r="E27" s="330">
        <f t="shared" si="1"/>
        <v>0</v>
      </c>
    </row>
    <row r="28" spans="1:5" ht="13.5">
      <c r="A28" s="318">
        <v>7.2</v>
      </c>
      <c r="B28" s="320" t="s">
        <v>204</v>
      </c>
      <c r="C28" s="319">
        <v>0</v>
      </c>
      <c r="D28" s="319"/>
      <c r="E28" s="330">
        <f t="shared" si="1"/>
        <v>0</v>
      </c>
    </row>
    <row r="29" spans="1:5" ht="13.5">
      <c r="A29" s="318">
        <v>8</v>
      </c>
      <c r="B29" s="303" t="s">
        <v>43</v>
      </c>
      <c r="C29" s="331">
        <f>C30</f>
        <v>-9159009.1300000008</v>
      </c>
      <c r="D29" s="331">
        <f>D30+D31</f>
        <v>1848146.9299999997</v>
      </c>
      <c r="E29" s="330">
        <f t="shared" si="1"/>
        <v>-7310862.2000000011</v>
      </c>
    </row>
    <row r="30" spans="1:5" ht="13.5">
      <c r="A30" s="318">
        <v>8.1</v>
      </c>
      <c r="B30" s="320" t="s">
        <v>292</v>
      </c>
      <c r="C30" s="319">
        <v>-9159009.1300000008</v>
      </c>
      <c r="D30" s="319"/>
      <c r="E30" s="330">
        <f t="shared" si="1"/>
        <v>-9159009.1300000008</v>
      </c>
    </row>
    <row r="31" spans="1:5" ht="13.5">
      <c r="A31" s="318">
        <v>8.1999999999999993</v>
      </c>
      <c r="B31" s="320" t="s">
        <v>293</v>
      </c>
      <c r="C31" s="327" t="s">
        <v>280</v>
      </c>
      <c r="D31" s="331">
        <f>RI!H67</f>
        <v>1848146.9299999997</v>
      </c>
      <c r="E31" s="330">
        <f>D31</f>
        <v>1848146.9299999997</v>
      </c>
    </row>
    <row r="32" spans="1:5" ht="13.5">
      <c r="A32" s="318">
        <v>9</v>
      </c>
      <c r="B32" s="303" t="s">
        <v>294</v>
      </c>
      <c r="C32" s="319"/>
      <c r="D32" s="319"/>
      <c r="E32" s="330">
        <f>C32+D32</f>
        <v>0</v>
      </c>
    </row>
    <row r="33" spans="1:5" ht="13.5">
      <c r="A33" s="321">
        <v>10</v>
      </c>
      <c r="B33" s="322" t="s">
        <v>45</v>
      </c>
      <c r="C33" s="332">
        <f>SUM(C20+C21+C22+C23+C24+C25+C26+C29+C32)</f>
        <v>93840990.870000005</v>
      </c>
      <c r="D33" s="332">
        <f>SUM(D20+D21+D22+D23+D24+D25+D26+D29+D32)</f>
        <v>1848146.9299999997</v>
      </c>
      <c r="E33" s="333">
        <f>C33+D33</f>
        <v>95689137.800000012</v>
      </c>
    </row>
    <row r="34" spans="1:5" ht="13.5">
      <c r="A34" s="323"/>
      <c r="B34" s="323"/>
      <c r="C34" s="324"/>
      <c r="D34" s="324"/>
      <c r="E34" s="324"/>
    </row>
    <row r="35" spans="1:5" ht="13.5">
      <c r="A35" s="285"/>
      <c r="B35" s="282">
        <f>info!$B$30</f>
        <v>0</v>
      </c>
      <c r="C35" s="324"/>
      <c r="D35" s="324"/>
      <c r="E35" s="324"/>
    </row>
    <row r="36" spans="1:5" ht="13.5">
      <c r="A36" s="285"/>
      <c r="B36" s="282"/>
      <c r="C36" s="324"/>
      <c r="D36" s="324"/>
      <c r="E36" s="324"/>
    </row>
    <row r="37" spans="1:5" ht="13.5">
      <c r="A37" s="285"/>
      <c r="B37" s="282">
        <f>info!$B$32</f>
        <v>0</v>
      </c>
      <c r="C37" s="324"/>
      <c r="D37" s="324"/>
      <c r="E37" s="3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1"/>
  <sheetViews>
    <sheetView topLeftCell="A55" workbookViewId="0">
      <selection activeCell="B70" sqref="B70"/>
    </sheetView>
  </sheetViews>
  <sheetFormatPr defaultColWidth="9.140625" defaultRowHeight="15"/>
  <cols>
    <col min="1" max="1" width="5.7109375" style="33" customWidth="1"/>
    <col min="2" max="2" width="49.42578125" style="33" customWidth="1"/>
    <col min="3" max="3" width="13.42578125" style="33" bestFit="1" customWidth="1"/>
    <col min="4" max="4" width="12.7109375" style="33" bestFit="1" customWidth="1"/>
    <col min="5" max="5" width="13.42578125" style="33" bestFit="1" customWidth="1"/>
    <col min="6" max="6" width="12.5703125" style="34" bestFit="1" customWidth="1"/>
    <col min="7" max="7" width="12.7109375" style="34" bestFit="1" customWidth="1"/>
    <col min="8" max="8" width="13.28515625" style="34" bestFit="1" customWidth="1"/>
    <col min="9" max="9" width="9.140625" style="34" customWidth="1"/>
    <col min="10" max="10" width="9.140625" style="34"/>
    <col min="11" max="11" width="9.42578125" style="34" bestFit="1" customWidth="1"/>
    <col min="12" max="16384" width="9.140625" style="34"/>
  </cols>
  <sheetData>
    <row r="1" spans="1:8">
      <c r="D1" s="409"/>
      <c r="E1" s="410"/>
      <c r="F1" s="410"/>
      <c r="G1" s="410"/>
      <c r="H1" s="410"/>
    </row>
    <row r="2" spans="1:8">
      <c r="A2" s="7" t="s">
        <v>0</v>
      </c>
      <c r="B2" s="68" t="s">
        <v>1</v>
      </c>
      <c r="C2" s="3"/>
      <c r="D2" s="3"/>
      <c r="E2" s="3"/>
      <c r="H2" s="3"/>
    </row>
    <row r="3" spans="1:8">
      <c r="A3" s="7" t="s">
        <v>2</v>
      </c>
      <c r="B3" s="4" t="s">
        <v>356</v>
      </c>
      <c r="C3" s="3"/>
      <c r="D3" s="3"/>
      <c r="E3" s="3"/>
      <c r="H3" s="1"/>
    </row>
    <row r="4" spans="1:8" ht="15.75" thickBot="1">
      <c r="A4" s="36"/>
      <c r="B4" s="37" t="s">
        <v>47</v>
      </c>
      <c r="C4" s="3"/>
      <c r="D4" s="3"/>
      <c r="E4" s="3"/>
      <c r="H4" s="38" t="s">
        <v>4</v>
      </c>
    </row>
    <row r="5" spans="1:8" ht="18">
      <c r="A5" s="39"/>
      <c r="B5" s="40"/>
      <c r="C5" s="404" t="s">
        <v>5</v>
      </c>
      <c r="D5" s="407"/>
      <c r="E5" s="407"/>
      <c r="F5" s="404" t="s">
        <v>6</v>
      </c>
      <c r="G5" s="407"/>
      <c r="H5" s="408"/>
    </row>
    <row r="6" spans="1:8" s="36" customFormat="1" ht="12.75">
      <c r="A6" s="41" t="s">
        <v>7</v>
      </c>
      <c r="B6" s="42"/>
      <c r="C6" s="14" t="s">
        <v>9</v>
      </c>
      <c r="D6" s="14" t="s">
        <v>10</v>
      </c>
      <c r="E6" s="14" t="s">
        <v>11</v>
      </c>
      <c r="F6" s="14" t="s">
        <v>9</v>
      </c>
      <c r="G6" s="14" t="s">
        <v>10</v>
      </c>
      <c r="H6" s="103" t="s">
        <v>11</v>
      </c>
    </row>
    <row r="7" spans="1:8">
      <c r="A7" s="43"/>
      <c r="B7" s="44" t="s">
        <v>48</v>
      </c>
      <c r="C7" s="45"/>
      <c r="D7" s="45"/>
      <c r="E7" s="45"/>
      <c r="F7" s="22"/>
      <c r="G7" s="22"/>
      <c r="H7" s="46"/>
    </row>
    <row r="8" spans="1:8" ht="30">
      <c r="A8" s="43">
        <v>1</v>
      </c>
      <c r="B8" s="47" t="s">
        <v>49</v>
      </c>
      <c r="C8" s="22">
        <v>185057.6</v>
      </c>
      <c r="D8" s="22">
        <v>343746.95</v>
      </c>
      <c r="E8" s="48">
        <f>C8+D8</f>
        <v>528804.55000000005</v>
      </c>
      <c r="F8" s="110">
        <v>66656.160000000003</v>
      </c>
      <c r="G8" s="110">
        <v>260342.63</v>
      </c>
      <c r="H8" s="48">
        <f>F8+G8</f>
        <v>326998.79000000004</v>
      </c>
    </row>
    <row r="9" spans="1:8">
      <c r="A9" s="43">
        <v>2</v>
      </c>
      <c r="B9" s="47" t="s">
        <v>50</v>
      </c>
      <c r="C9" s="48">
        <f t="shared" ref="C9:H9" si="0">SUM(C10:C18)</f>
        <v>2102682.56</v>
      </c>
      <c r="D9" s="48">
        <f t="shared" si="0"/>
        <v>581970.24</v>
      </c>
      <c r="E9" s="48">
        <f t="shared" si="0"/>
        <v>2684652.8</v>
      </c>
      <c r="F9" s="48">
        <f t="shared" si="0"/>
        <v>2362764.9500000002</v>
      </c>
      <c r="G9" s="48">
        <f t="shared" si="0"/>
        <v>731497.4800000001</v>
      </c>
      <c r="H9" s="48">
        <f t="shared" si="0"/>
        <v>3094262.4299999997</v>
      </c>
    </row>
    <row r="10" spans="1:8">
      <c r="A10" s="43">
        <v>2.1</v>
      </c>
      <c r="B10" s="50" t="s">
        <v>51</v>
      </c>
      <c r="C10" s="22"/>
      <c r="D10" s="22">
        <v>32.880000000000003</v>
      </c>
      <c r="E10" s="48">
        <f t="shared" ref="E10:E21" si="1">C10+D10</f>
        <v>32.880000000000003</v>
      </c>
      <c r="F10" s="24"/>
      <c r="G10" s="22"/>
      <c r="H10" s="48">
        <f t="shared" ref="H10:H21" si="2">F10+G10</f>
        <v>0</v>
      </c>
    </row>
    <row r="11" spans="1:8" ht="30">
      <c r="A11" s="43">
        <v>2.2000000000000002</v>
      </c>
      <c r="B11" s="50" t="s">
        <v>52</v>
      </c>
      <c r="C11" s="22">
        <v>1149285.8500000001</v>
      </c>
      <c r="D11" s="22">
        <v>392608.4</v>
      </c>
      <c r="E11" s="48">
        <f t="shared" si="1"/>
        <v>1541894.25</v>
      </c>
      <c r="F11" s="110">
        <v>1265914.43</v>
      </c>
      <c r="G11" s="110">
        <v>519716.11</v>
      </c>
      <c r="H11" s="48">
        <f t="shared" si="2"/>
        <v>1785630.54</v>
      </c>
    </row>
    <row r="12" spans="1:8">
      <c r="A12" s="43">
        <v>2.2999999999999998</v>
      </c>
      <c r="B12" s="50" t="s">
        <v>53</v>
      </c>
      <c r="C12" s="22">
        <v>426279</v>
      </c>
      <c r="D12" s="22"/>
      <c r="E12" s="48">
        <f t="shared" si="1"/>
        <v>426279</v>
      </c>
      <c r="F12" s="24">
        <v>705738.65</v>
      </c>
      <c r="G12" s="22"/>
      <c r="H12" s="48">
        <f t="shared" si="2"/>
        <v>705738.65</v>
      </c>
    </row>
    <row r="13" spans="1:8" ht="30">
      <c r="A13" s="43">
        <v>2.4</v>
      </c>
      <c r="B13" s="50" t="s">
        <v>54</v>
      </c>
      <c r="C13" s="22"/>
      <c r="D13" s="22"/>
      <c r="E13" s="48">
        <f t="shared" si="1"/>
        <v>0</v>
      </c>
      <c r="F13" s="24"/>
      <c r="G13" s="22"/>
      <c r="H13" s="48">
        <f t="shared" si="2"/>
        <v>0</v>
      </c>
    </row>
    <row r="14" spans="1:8">
      <c r="A14" s="43">
        <v>2.5</v>
      </c>
      <c r="B14" s="50" t="s">
        <v>55</v>
      </c>
      <c r="C14" s="22"/>
      <c r="D14" s="22">
        <v>2880.2</v>
      </c>
      <c r="E14" s="48">
        <f t="shared" si="1"/>
        <v>2880.2</v>
      </c>
      <c r="F14" s="24">
        <v>82.19</v>
      </c>
      <c r="G14" s="22">
        <v>75510.41</v>
      </c>
      <c r="H14" s="48">
        <f t="shared" si="2"/>
        <v>75592.600000000006</v>
      </c>
    </row>
    <row r="15" spans="1:8" ht="30">
      <c r="A15" s="43">
        <v>2.6</v>
      </c>
      <c r="B15" s="50" t="s">
        <v>56</v>
      </c>
      <c r="C15" s="22"/>
      <c r="D15" s="22">
        <v>58632.04</v>
      </c>
      <c r="E15" s="48">
        <f t="shared" si="1"/>
        <v>58632.04</v>
      </c>
      <c r="F15" s="24"/>
      <c r="G15" s="22"/>
      <c r="H15" s="48">
        <f t="shared" si="2"/>
        <v>0</v>
      </c>
    </row>
    <row r="16" spans="1:8" ht="30">
      <c r="A16" s="43">
        <v>2.7</v>
      </c>
      <c r="B16" s="50" t="s">
        <v>57</v>
      </c>
      <c r="C16" s="22"/>
      <c r="D16" s="22"/>
      <c r="E16" s="48">
        <f t="shared" si="1"/>
        <v>0</v>
      </c>
      <c r="F16" s="24"/>
      <c r="G16" s="22"/>
      <c r="H16" s="48">
        <f t="shared" si="2"/>
        <v>0</v>
      </c>
    </row>
    <row r="17" spans="1:11">
      <c r="A17" s="43">
        <v>2.8</v>
      </c>
      <c r="B17" s="50" t="s">
        <v>58</v>
      </c>
      <c r="C17" s="22">
        <v>8575.75</v>
      </c>
      <c r="D17" s="22">
        <v>1829.89</v>
      </c>
      <c r="E17" s="48">
        <f t="shared" si="1"/>
        <v>10405.64</v>
      </c>
      <c r="F17" s="24">
        <v>6102.1</v>
      </c>
      <c r="G17" s="22">
        <v>58902.8</v>
      </c>
      <c r="H17" s="48">
        <f t="shared" si="2"/>
        <v>65004.9</v>
      </c>
    </row>
    <row r="18" spans="1:11">
      <c r="A18" s="43">
        <v>2.9</v>
      </c>
      <c r="B18" s="50" t="s">
        <v>59</v>
      </c>
      <c r="C18" s="22">
        <v>518541.96</v>
      </c>
      <c r="D18" s="22">
        <v>125986.83</v>
      </c>
      <c r="E18" s="48">
        <f t="shared" si="1"/>
        <v>644528.79</v>
      </c>
      <c r="F18" s="110">
        <v>384927.58</v>
      </c>
      <c r="G18" s="110">
        <v>77368.160000000003</v>
      </c>
      <c r="H18" s="48">
        <f t="shared" si="2"/>
        <v>462295.74</v>
      </c>
    </row>
    <row r="19" spans="1:11" ht="30">
      <c r="A19" s="43">
        <v>3</v>
      </c>
      <c r="B19" s="47" t="s">
        <v>60</v>
      </c>
      <c r="C19" s="22">
        <v>12971.39</v>
      </c>
      <c r="D19" s="22">
        <v>471.59</v>
      </c>
      <c r="E19" s="48">
        <f t="shared" si="1"/>
        <v>13442.98</v>
      </c>
      <c r="F19" s="24">
        <v>33797.17</v>
      </c>
      <c r="G19" s="22">
        <v>3618.92</v>
      </c>
      <c r="H19" s="48">
        <f t="shared" si="2"/>
        <v>37416.089999999997</v>
      </c>
    </row>
    <row r="20" spans="1:11" ht="30">
      <c r="A20" s="43">
        <v>4</v>
      </c>
      <c r="B20" s="47" t="s">
        <v>61</v>
      </c>
      <c r="C20" s="22">
        <v>1252577.32</v>
      </c>
      <c r="D20" s="22">
        <v>365419.87</v>
      </c>
      <c r="E20" s="48">
        <f t="shared" si="1"/>
        <v>1617997.19</v>
      </c>
      <c r="F20" s="110">
        <v>2056383.27</v>
      </c>
      <c r="G20" s="110">
        <v>404923.75</v>
      </c>
      <c r="H20" s="48">
        <f t="shared" si="2"/>
        <v>2461307.02</v>
      </c>
    </row>
    <row r="21" spans="1:11">
      <c r="A21" s="43">
        <v>5</v>
      </c>
      <c r="B21" s="47" t="s">
        <v>62</v>
      </c>
      <c r="C21" s="22"/>
      <c r="D21" s="22"/>
      <c r="E21" s="48">
        <f t="shared" si="1"/>
        <v>0</v>
      </c>
      <c r="F21" s="24"/>
      <c r="G21" s="22"/>
      <c r="H21" s="48">
        <f t="shared" si="2"/>
        <v>0</v>
      </c>
    </row>
    <row r="22" spans="1:11">
      <c r="A22" s="43">
        <v>6</v>
      </c>
      <c r="B22" s="51" t="s">
        <v>63</v>
      </c>
      <c r="C22" s="48">
        <f t="shared" ref="C22:H22" si="3">C8+C9+C19+C20+C21</f>
        <v>3553288.87</v>
      </c>
      <c r="D22" s="48">
        <f t="shared" si="3"/>
        <v>1291608.6499999999</v>
      </c>
      <c r="E22" s="48">
        <f t="shared" si="3"/>
        <v>4844897.5199999996</v>
      </c>
      <c r="F22" s="48">
        <f t="shared" si="3"/>
        <v>4519601.5500000007</v>
      </c>
      <c r="G22" s="48">
        <f t="shared" si="3"/>
        <v>1400382.7800000003</v>
      </c>
      <c r="H22" s="49">
        <f t="shared" si="3"/>
        <v>5919984.3300000001</v>
      </c>
    </row>
    <row r="23" spans="1:11">
      <c r="A23" s="43"/>
      <c r="B23" s="52" t="s">
        <v>64</v>
      </c>
      <c r="C23" s="22"/>
      <c r="D23" s="22"/>
      <c r="E23" s="22"/>
      <c r="F23" s="24"/>
      <c r="G23" s="22"/>
      <c r="H23" s="46"/>
    </row>
    <row r="24" spans="1:11" ht="30">
      <c r="A24" s="43">
        <v>7</v>
      </c>
      <c r="B24" s="47" t="s">
        <v>65</v>
      </c>
      <c r="C24" s="22">
        <v>28563.85</v>
      </c>
      <c r="D24" s="22">
        <v>8224.2000000000007</v>
      </c>
      <c r="E24" s="48">
        <f t="shared" ref="E24:E29" si="4">C24+D24</f>
        <v>36788.050000000003</v>
      </c>
      <c r="F24" s="24">
        <v>17060.62</v>
      </c>
      <c r="G24" s="22">
        <v>36616.26</v>
      </c>
      <c r="H24" s="48">
        <f t="shared" ref="H24:H29" si="5">F24+G24</f>
        <v>53676.880000000005</v>
      </c>
    </row>
    <row r="25" spans="1:11">
      <c r="A25" s="43">
        <v>8</v>
      </c>
      <c r="B25" s="47" t="s">
        <v>66</v>
      </c>
      <c r="C25" s="22">
        <v>10410.98</v>
      </c>
      <c r="D25" s="22">
        <v>175136.55</v>
      </c>
      <c r="E25" s="48">
        <f t="shared" si="4"/>
        <v>185547.53</v>
      </c>
      <c r="F25" s="24">
        <v>31211.86</v>
      </c>
      <c r="G25" s="22">
        <v>70607.149999999994</v>
      </c>
      <c r="H25" s="48">
        <f t="shared" si="5"/>
        <v>101819.01</v>
      </c>
    </row>
    <row r="26" spans="1:11">
      <c r="A26" s="43">
        <v>9</v>
      </c>
      <c r="B26" s="47" t="s">
        <v>67</v>
      </c>
      <c r="C26" s="22">
        <v>144394.51999999999</v>
      </c>
      <c r="D26" s="22">
        <v>473653.19</v>
      </c>
      <c r="E26" s="48">
        <f t="shared" si="4"/>
        <v>618047.71</v>
      </c>
      <c r="F26" s="24">
        <v>359046.52</v>
      </c>
      <c r="G26" s="22">
        <v>416112.98</v>
      </c>
      <c r="H26" s="48">
        <f t="shared" si="5"/>
        <v>775159.5</v>
      </c>
    </row>
    <row r="27" spans="1:11" ht="30">
      <c r="A27" s="43">
        <v>10</v>
      </c>
      <c r="B27" s="47" t="s">
        <v>68</v>
      </c>
      <c r="C27" s="22"/>
      <c r="D27" s="22"/>
      <c r="E27" s="48">
        <f t="shared" si="4"/>
        <v>0</v>
      </c>
      <c r="F27" s="24"/>
      <c r="G27" s="22"/>
      <c r="H27" s="48">
        <f t="shared" si="5"/>
        <v>0</v>
      </c>
    </row>
    <row r="28" spans="1:11">
      <c r="A28" s="43">
        <v>11</v>
      </c>
      <c r="B28" s="47" t="s">
        <v>69</v>
      </c>
      <c r="C28" s="22">
        <v>296245.65000000002</v>
      </c>
      <c r="D28" s="22">
        <v>24519.62</v>
      </c>
      <c r="E28" s="48">
        <f t="shared" si="4"/>
        <v>320765.27</v>
      </c>
      <c r="F28" s="24">
        <v>1256694.33</v>
      </c>
      <c r="G28" s="22">
        <v>48378.92</v>
      </c>
      <c r="H28" s="48">
        <f t="shared" si="5"/>
        <v>1305073.25</v>
      </c>
    </row>
    <row r="29" spans="1:11">
      <c r="A29" s="43">
        <v>12</v>
      </c>
      <c r="B29" s="47" t="s">
        <v>70</v>
      </c>
      <c r="C29" s="22">
        <v>2436.8000000000002</v>
      </c>
      <c r="D29" s="22">
        <v>3896.36</v>
      </c>
      <c r="E29" s="48">
        <f t="shared" si="4"/>
        <v>6333.16</v>
      </c>
      <c r="F29" s="24">
        <v>3295.27</v>
      </c>
      <c r="G29" s="22">
        <v>6761.64</v>
      </c>
      <c r="H29" s="48">
        <f t="shared" si="5"/>
        <v>10056.91</v>
      </c>
    </row>
    <row r="30" spans="1:11">
      <c r="A30" s="43">
        <v>13</v>
      </c>
      <c r="B30" s="54" t="s">
        <v>71</v>
      </c>
      <c r="C30" s="48">
        <f t="shared" ref="C30:H30" si="6">SUM(C24:C29)</f>
        <v>482051.8</v>
      </c>
      <c r="D30" s="48">
        <f t="shared" si="6"/>
        <v>685429.91999999993</v>
      </c>
      <c r="E30" s="48">
        <f t="shared" si="6"/>
        <v>1167481.72</v>
      </c>
      <c r="F30" s="48">
        <f t="shared" si="6"/>
        <v>1667308.6</v>
      </c>
      <c r="G30" s="48">
        <f t="shared" si="6"/>
        <v>578476.95000000007</v>
      </c>
      <c r="H30" s="49">
        <f t="shared" si="6"/>
        <v>2245785.5500000003</v>
      </c>
    </row>
    <row r="31" spans="1:11">
      <c r="A31" s="43">
        <v>14</v>
      </c>
      <c r="B31" s="54" t="s">
        <v>72</v>
      </c>
      <c r="C31" s="48">
        <f t="shared" ref="C31:H31" si="7">C22-C30</f>
        <v>3071237.0700000003</v>
      </c>
      <c r="D31" s="48">
        <f t="shared" si="7"/>
        <v>606178.73</v>
      </c>
      <c r="E31" s="48">
        <f t="shared" si="7"/>
        <v>3677415.8</v>
      </c>
      <c r="F31" s="48">
        <f t="shared" si="7"/>
        <v>2852292.9500000007</v>
      </c>
      <c r="G31" s="48">
        <f t="shared" si="7"/>
        <v>821905.83000000019</v>
      </c>
      <c r="H31" s="49">
        <f t="shared" si="7"/>
        <v>3674198.78</v>
      </c>
      <c r="K31" s="92"/>
    </row>
    <row r="32" spans="1:11">
      <c r="A32" s="43"/>
      <c r="B32" s="52"/>
      <c r="C32" s="22"/>
      <c r="D32" s="22"/>
      <c r="E32" s="48"/>
      <c r="F32" s="24"/>
      <c r="G32" s="22"/>
      <c r="H32" s="48"/>
    </row>
    <row r="33" spans="1:8">
      <c r="A33" s="43"/>
      <c r="B33" s="52" t="s">
        <v>73</v>
      </c>
      <c r="C33" s="22"/>
      <c r="D33" s="22"/>
      <c r="E33" s="48"/>
      <c r="F33" s="24"/>
      <c r="G33" s="22"/>
      <c r="H33" s="48"/>
    </row>
    <row r="34" spans="1:8">
      <c r="A34" s="43">
        <v>15</v>
      </c>
      <c r="B34" s="55" t="s">
        <v>74</v>
      </c>
      <c r="C34" s="104">
        <f t="shared" ref="C34:H34" si="8">C35-C36</f>
        <v>-22757.65</v>
      </c>
      <c r="D34" s="104">
        <f t="shared" si="8"/>
        <v>12224.429999999998</v>
      </c>
      <c r="E34" s="16">
        <f t="shared" si="8"/>
        <v>-10533.220000000001</v>
      </c>
      <c r="F34" s="104">
        <f t="shared" si="8"/>
        <v>-15409.26</v>
      </c>
      <c r="G34" s="104">
        <f t="shared" si="8"/>
        <v>7932.4399999999987</v>
      </c>
      <c r="H34" s="53">
        <f t="shared" si="8"/>
        <v>-7476.82</v>
      </c>
    </row>
    <row r="35" spans="1:8" ht="30">
      <c r="A35" s="43">
        <v>15.1</v>
      </c>
      <c r="B35" s="50" t="s">
        <v>75</v>
      </c>
      <c r="C35" s="22">
        <v>6486.42</v>
      </c>
      <c r="D35" s="22">
        <v>27204.03</v>
      </c>
      <c r="E35" s="48">
        <f t="shared" ref="E35:E44" si="9">C35+D35</f>
        <v>33690.449999999997</v>
      </c>
      <c r="F35" s="110">
        <v>2961.67</v>
      </c>
      <c r="G35" s="110">
        <v>25880.6</v>
      </c>
      <c r="H35" s="48">
        <f t="shared" ref="H35:H44" si="10">F35+G35</f>
        <v>28842.269999999997</v>
      </c>
    </row>
    <row r="36" spans="1:8" ht="30">
      <c r="A36" s="43">
        <v>15.2</v>
      </c>
      <c r="B36" s="50" t="s">
        <v>76</v>
      </c>
      <c r="C36" s="22">
        <v>29244.07</v>
      </c>
      <c r="D36" s="22">
        <v>14979.6</v>
      </c>
      <c r="E36" s="48">
        <f t="shared" si="9"/>
        <v>44223.67</v>
      </c>
      <c r="F36" s="110">
        <v>18370.93</v>
      </c>
      <c r="G36" s="110">
        <v>17948.16</v>
      </c>
      <c r="H36" s="48">
        <f t="shared" si="10"/>
        <v>36319.089999999997</v>
      </c>
    </row>
    <row r="37" spans="1:8">
      <c r="A37" s="43">
        <v>16</v>
      </c>
      <c r="B37" s="47" t="s">
        <v>77</v>
      </c>
      <c r="C37" s="22"/>
      <c r="D37" s="22"/>
      <c r="E37" s="48">
        <f t="shared" si="9"/>
        <v>0</v>
      </c>
      <c r="F37" s="22"/>
      <c r="G37" s="22"/>
      <c r="H37" s="48">
        <f t="shared" si="10"/>
        <v>0</v>
      </c>
    </row>
    <row r="38" spans="1:8" ht="30">
      <c r="A38" s="43">
        <v>17</v>
      </c>
      <c r="B38" s="47" t="s">
        <v>78</v>
      </c>
      <c r="C38" s="22"/>
      <c r="D38" s="22"/>
      <c r="E38" s="48">
        <f t="shared" si="9"/>
        <v>0</v>
      </c>
      <c r="F38" s="22"/>
      <c r="G38" s="22"/>
      <c r="H38" s="48">
        <f t="shared" si="10"/>
        <v>0</v>
      </c>
    </row>
    <row r="39" spans="1:8" ht="30">
      <c r="A39" s="43">
        <v>18</v>
      </c>
      <c r="B39" s="47" t="s">
        <v>79</v>
      </c>
      <c r="C39" s="22"/>
      <c r="D39" s="22"/>
      <c r="E39" s="48">
        <f t="shared" si="9"/>
        <v>0</v>
      </c>
      <c r="F39" s="22"/>
      <c r="G39" s="22"/>
      <c r="H39" s="48">
        <f t="shared" si="10"/>
        <v>0</v>
      </c>
    </row>
    <row r="40" spans="1:8" ht="30">
      <c r="A40" s="43">
        <v>19</v>
      </c>
      <c r="B40" s="47" t="s">
        <v>80</v>
      </c>
      <c r="C40" s="22">
        <v>330016.77</v>
      </c>
      <c r="D40" s="22">
        <v>0</v>
      </c>
      <c r="E40" s="48">
        <f t="shared" si="9"/>
        <v>330016.77</v>
      </c>
      <c r="F40" s="110">
        <v>108960.09</v>
      </c>
      <c r="G40" s="22">
        <v>0</v>
      </c>
      <c r="H40" s="48">
        <f t="shared" si="10"/>
        <v>108960.09</v>
      </c>
    </row>
    <row r="41" spans="1:8" ht="30">
      <c r="A41" s="43">
        <v>20</v>
      </c>
      <c r="B41" s="47" t="s">
        <v>81</v>
      </c>
      <c r="C41" s="22">
        <v>280297.25</v>
      </c>
      <c r="D41" s="22">
        <v>0</v>
      </c>
      <c r="E41" s="48">
        <f t="shared" si="9"/>
        <v>280297.25</v>
      </c>
      <c r="F41" s="110">
        <v>6374.31</v>
      </c>
      <c r="G41" s="22">
        <v>0</v>
      </c>
      <c r="H41" s="48">
        <f t="shared" si="10"/>
        <v>6374.31</v>
      </c>
    </row>
    <row r="42" spans="1:8">
      <c r="A42" s="43">
        <v>21</v>
      </c>
      <c r="B42" s="47" t="s">
        <v>82</v>
      </c>
      <c r="C42" s="22"/>
      <c r="D42" s="22"/>
      <c r="E42" s="48">
        <f t="shared" si="9"/>
        <v>0</v>
      </c>
      <c r="F42" s="22"/>
      <c r="G42" s="22"/>
      <c r="H42" s="48">
        <f t="shared" si="10"/>
        <v>0</v>
      </c>
    </row>
    <row r="43" spans="1:8" ht="30">
      <c r="A43" s="43">
        <v>22</v>
      </c>
      <c r="B43" s="47" t="s">
        <v>83</v>
      </c>
      <c r="C43" s="22">
        <v>44627.95</v>
      </c>
      <c r="D43" s="22">
        <v>45866.31</v>
      </c>
      <c r="E43" s="48">
        <f t="shared" si="9"/>
        <v>90494.26</v>
      </c>
      <c r="F43" s="22">
        <v>20095.53</v>
      </c>
      <c r="G43" s="22">
        <v>85711.99</v>
      </c>
      <c r="H43" s="48">
        <f t="shared" si="10"/>
        <v>105807.52</v>
      </c>
    </row>
    <row r="44" spans="1:8">
      <c r="A44" s="43">
        <v>23</v>
      </c>
      <c r="B44" s="47" t="s">
        <v>84</v>
      </c>
      <c r="C44" s="22">
        <v>2335.9299999999998</v>
      </c>
      <c r="D44" s="22"/>
      <c r="E44" s="48">
        <f t="shared" si="9"/>
        <v>2335.9299999999998</v>
      </c>
      <c r="F44" s="22"/>
      <c r="G44" s="22"/>
      <c r="H44" s="48">
        <f t="shared" si="10"/>
        <v>0</v>
      </c>
    </row>
    <row r="45" spans="1:8">
      <c r="A45" s="43">
        <v>24</v>
      </c>
      <c r="B45" s="54" t="s">
        <v>85</v>
      </c>
      <c r="C45" s="48">
        <f t="shared" ref="C45:H45" si="11">C34+C37+C38+C39+C40+C41+C42+C43+C44</f>
        <v>634520.25</v>
      </c>
      <c r="D45" s="48">
        <f t="shared" si="11"/>
        <v>58090.74</v>
      </c>
      <c r="E45" s="16">
        <f t="shared" si="11"/>
        <v>692610.99000000011</v>
      </c>
      <c r="F45" s="48">
        <f t="shared" si="11"/>
        <v>120020.67</v>
      </c>
      <c r="G45" s="48">
        <f t="shared" si="11"/>
        <v>93644.430000000008</v>
      </c>
      <c r="H45" s="53">
        <f t="shared" si="11"/>
        <v>213665.09999999998</v>
      </c>
    </row>
    <row r="46" spans="1:8">
      <c r="A46" s="43"/>
      <c r="B46" s="52" t="s">
        <v>86</v>
      </c>
      <c r="C46" s="22"/>
      <c r="D46" s="22"/>
      <c r="E46" s="48">
        <f t="shared" ref="E46:E52" si="12">C46+D46</f>
        <v>0</v>
      </c>
      <c r="F46" s="22"/>
      <c r="G46" s="22"/>
      <c r="H46" s="48">
        <f t="shared" ref="H46:H52" si="13">F46+G46</f>
        <v>0</v>
      </c>
    </row>
    <row r="47" spans="1:8" ht="30">
      <c r="A47" s="43">
        <v>25</v>
      </c>
      <c r="B47" s="47" t="s">
        <v>87</v>
      </c>
      <c r="C47" s="22">
        <v>433954.82</v>
      </c>
      <c r="D47" s="22">
        <v>14472.22</v>
      </c>
      <c r="E47" s="48">
        <f t="shared" si="12"/>
        <v>448427.04</v>
      </c>
      <c r="F47" s="110">
        <v>399559.94</v>
      </c>
      <c r="G47" s="22">
        <v>28544.560000000001</v>
      </c>
      <c r="H47" s="48">
        <f t="shared" si="13"/>
        <v>428104.5</v>
      </c>
    </row>
    <row r="48" spans="1:8" ht="30">
      <c r="A48" s="43">
        <v>26</v>
      </c>
      <c r="B48" s="47" t="s">
        <v>88</v>
      </c>
      <c r="C48" s="22">
        <v>585711.76</v>
      </c>
      <c r="D48" s="22"/>
      <c r="E48" s="48">
        <f t="shared" si="12"/>
        <v>585711.76</v>
      </c>
      <c r="F48" s="110">
        <v>369386.11</v>
      </c>
      <c r="G48" s="22"/>
      <c r="H48" s="48">
        <f t="shared" si="13"/>
        <v>369386.11</v>
      </c>
    </row>
    <row r="49" spans="1:8">
      <c r="A49" s="43">
        <v>27</v>
      </c>
      <c r="B49" s="47" t="s">
        <v>89</v>
      </c>
      <c r="C49" s="22">
        <v>1024629.03</v>
      </c>
      <c r="D49" s="22">
        <v>0</v>
      </c>
      <c r="E49" s="48">
        <f t="shared" si="12"/>
        <v>1024629.03</v>
      </c>
      <c r="F49" s="110">
        <v>913906.78</v>
      </c>
      <c r="G49" s="22">
        <v>0</v>
      </c>
      <c r="H49" s="48">
        <f t="shared" si="13"/>
        <v>913906.78</v>
      </c>
    </row>
    <row r="50" spans="1:8" ht="30">
      <c r="A50" s="43">
        <v>28</v>
      </c>
      <c r="B50" s="47" t="s">
        <v>90</v>
      </c>
      <c r="C50" s="22">
        <v>538</v>
      </c>
      <c r="D50" s="22">
        <v>0</v>
      </c>
      <c r="E50" s="48">
        <f t="shared" si="12"/>
        <v>538</v>
      </c>
      <c r="F50" s="110">
        <v>82.5</v>
      </c>
      <c r="G50" s="22">
        <v>0</v>
      </c>
      <c r="H50" s="48">
        <f t="shared" si="13"/>
        <v>82.5</v>
      </c>
    </row>
    <row r="51" spans="1:8">
      <c r="A51" s="43">
        <v>29</v>
      </c>
      <c r="B51" s="47" t="s">
        <v>91</v>
      </c>
      <c r="C51" s="22">
        <v>506310.8</v>
      </c>
      <c r="D51" s="22">
        <v>0</v>
      </c>
      <c r="E51" s="48">
        <f t="shared" si="12"/>
        <v>506310.8</v>
      </c>
      <c r="F51" s="110">
        <v>476039.77</v>
      </c>
      <c r="G51" s="22">
        <v>0</v>
      </c>
      <c r="H51" s="48">
        <f t="shared" si="13"/>
        <v>476039.77</v>
      </c>
    </row>
    <row r="52" spans="1:8">
      <c r="A52" s="43">
        <v>30</v>
      </c>
      <c r="B52" s="47" t="s">
        <v>92</v>
      </c>
      <c r="C52" s="22">
        <v>103486.78</v>
      </c>
      <c r="D52" s="22"/>
      <c r="E52" s="48">
        <f t="shared" si="12"/>
        <v>103486.78</v>
      </c>
      <c r="F52" s="110">
        <v>134359.29</v>
      </c>
      <c r="G52" s="22"/>
      <c r="H52" s="48">
        <f t="shared" si="13"/>
        <v>134359.29</v>
      </c>
    </row>
    <row r="53" spans="1:8">
      <c r="A53" s="43">
        <v>31</v>
      </c>
      <c r="B53" s="54" t="s">
        <v>93</v>
      </c>
      <c r="C53" s="48">
        <f t="shared" ref="C53:H53" si="14">SUM(C47:C52)</f>
        <v>2654631.19</v>
      </c>
      <c r="D53" s="48">
        <f t="shared" si="14"/>
        <v>14472.22</v>
      </c>
      <c r="E53" s="16">
        <f t="shared" si="14"/>
        <v>2669103.4099999997</v>
      </c>
      <c r="F53" s="48">
        <f t="shared" si="14"/>
        <v>2293334.39</v>
      </c>
      <c r="G53" s="48">
        <f t="shared" si="14"/>
        <v>28544.560000000001</v>
      </c>
      <c r="H53" s="53">
        <f t="shared" si="14"/>
        <v>2321878.9500000002</v>
      </c>
    </row>
    <row r="54" spans="1:8">
      <c r="A54" s="43">
        <v>32</v>
      </c>
      <c r="B54" s="54" t="s">
        <v>94</v>
      </c>
      <c r="C54" s="48">
        <f t="shared" ref="C54:H54" si="15">C45-C53</f>
        <v>-2020110.94</v>
      </c>
      <c r="D54" s="48">
        <f t="shared" si="15"/>
        <v>43618.52</v>
      </c>
      <c r="E54" s="16">
        <f t="shared" si="15"/>
        <v>-1976492.4199999995</v>
      </c>
      <c r="F54" s="48">
        <f t="shared" si="15"/>
        <v>-2173313.7200000002</v>
      </c>
      <c r="G54" s="48">
        <f t="shared" si="15"/>
        <v>65099.87000000001</v>
      </c>
      <c r="H54" s="53">
        <f t="shared" si="15"/>
        <v>-2108213.85</v>
      </c>
    </row>
    <row r="55" spans="1:8">
      <c r="A55" s="43"/>
      <c r="B55" s="52"/>
      <c r="C55" s="56"/>
      <c r="D55" s="56"/>
      <c r="E55" s="16"/>
      <c r="F55" s="56"/>
      <c r="G55" s="56"/>
      <c r="H55" s="53"/>
    </row>
    <row r="56" spans="1:8">
      <c r="A56" s="43">
        <v>33</v>
      </c>
      <c r="B56" s="54" t="s">
        <v>95</v>
      </c>
      <c r="C56" s="48">
        <f t="shared" ref="C56:H56" si="16">C31+C54</f>
        <v>1051126.1300000004</v>
      </c>
      <c r="D56" s="48">
        <f t="shared" si="16"/>
        <v>649797.25</v>
      </c>
      <c r="E56" s="16">
        <f t="shared" si="16"/>
        <v>1700923.3800000004</v>
      </c>
      <c r="F56" s="48">
        <f t="shared" si="16"/>
        <v>678979.23000000045</v>
      </c>
      <c r="G56" s="48">
        <f t="shared" si="16"/>
        <v>887005.70000000019</v>
      </c>
      <c r="H56" s="53">
        <f t="shared" si="16"/>
        <v>1565984.9299999997</v>
      </c>
    </row>
    <row r="57" spans="1:8">
      <c r="A57" s="43"/>
      <c r="B57" s="54"/>
      <c r="C57" s="48"/>
      <c r="D57" s="48"/>
      <c r="E57" s="16"/>
      <c r="F57" s="48"/>
      <c r="G57" s="48"/>
      <c r="H57" s="53"/>
    </row>
    <row r="58" spans="1:8" ht="30">
      <c r="A58" s="43">
        <v>34</v>
      </c>
      <c r="B58" s="47" t="s">
        <v>96</v>
      </c>
      <c r="C58" s="22">
        <v>222573.94</v>
      </c>
      <c r="D58" s="22">
        <v>0</v>
      </c>
      <c r="E58" s="48">
        <f>C58+D58</f>
        <v>222573.94</v>
      </c>
      <c r="F58" s="109">
        <v>-253865.54</v>
      </c>
      <c r="G58" s="22">
        <v>0</v>
      </c>
      <c r="H58" s="48">
        <f>F58+G58</f>
        <v>-253865.54</v>
      </c>
    </row>
    <row r="59" spans="1:8" ht="30">
      <c r="A59" s="43">
        <v>35</v>
      </c>
      <c r="B59" s="47" t="s">
        <v>97</v>
      </c>
      <c r="C59" s="22"/>
      <c r="D59" s="22">
        <v>0</v>
      </c>
      <c r="E59" s="48">
        <f>C59+D59</f>
        <v>0</v>
      </c>
      <c r="F59" s="22"/>
      <c r="G59" s="22">
        <v>0</v>
      </c>
      <c r="H59" s="48">
        <f>F59+G59</f>
        <v>0</v>
      </c>
    </row>
    <row r="60" spans="1:8" ht="30">
      <c r="A60" s="43">
        <v>36</v>
      </c>
      <c r="B60" s="47" t="s">
        <v>98</v>
      </c>
      <c r="C60" s="22">
        <v>54804.26</v>
      </c>
      <c r="D60" s="22">
        <v>0</v>
      </c>
      <c r="E60" s="48">
        <f>C60+D60</f>
        <v>54804.26</v>
      </c>
      <c r="F60" s="22">
        <v>-28296.46</v>
      </c>
      <c r="G60" s="22">
        <v>0</v>
      </c>
      <c r="H60" s="48">
        <f>F60+G60</f>
        <v>-28296.46</v>
      </c>
    </row>
    <row r="61" spans="1:8">
      <c r="A61" s="43">
        <v>37</v>
      </c>
      <c r="B61" s="54" t="s">
        <v>99</v>
      </c>
      <c r="C61" s="48">
        <f t="shared" ref="C61:H61" si="17">SUM(C58:C60)</f>
        <v>277378.2</v>
      </c>
      <c r="D61" s="48">
        <f t="shared" si="17"/>
        <v>0</v>
      </c>
      <c r="E61" s="16">
        <f t="shared" si="17"/>
        <v>277378.2</v>
      </c>
      <c r="F61" s="48">
        <f t="shared" si="17"/>
        <v>-282162</v>
      </c>
      <c r="G61" s="48">
        <f t="shared" si="17"/>
        <v>0</v>
      </c>
      <c r="H61" s="53">
        <f t="shared" si="17"/>
        <v>-282162</v>
      </c>
    </row>
    <row r="62" spans="1:8">
      <c r="A62" s="43"/>
      <c r="B62" s="57"/>
      <c r="C62" s="22"/>
      <c r="D62" s="22"/>
      <c r="E62" s="16"/>
      <c r="F62" s="22"/>
      <c r="G62" s="22"/>
      <c r="H62" s="53"/>
    </row>
    <row r="63" spans="1:8" ht="30">
      <c r="A63" s="43">
        <v>38</v>
      </c>
      <c r="B63" s="58" t="s">
        <v>100</v>
      </c>
      <c r="C63" s="48">
        <f t="shared" ref="C63:H63" si="18">C56-C61</f>
        <v>773747.9300000004</v>
      </c>
      <c r="D63" s="48">
        <f t="shared" si="18"/>
        <v>649797.25</v>
      </c>
      <c r="E63" s="16">
        <f t="shared" si="18"/>
        <v>1423545.1800000004</v>
      </c>
      <c r="F63" s="48">
        <f t="shared" si="18"/>
        <v>961141.23000000045</v>
      </c>
      <c r="G63" s="48">
        <f t="shared" si="18"/>
        <v>887005.70000000019</v>
      </c>
      <c r="H63" s="53">
        <f t="shared" si="18"/>
        <v>1848146.9299999997</v>
      </c>
    </row>
    <row r="64" spans="1:8" s="60" customFormat="1">
      <c r="A64" s="41">
        <v>39</v>
      </c>
      <c r="B64" s="47" t="s">
        <v>101</v>
      </c>
      <c r="C64" s="59"/>
      <c r="D64" s="59">
        <v>0</v>
      </c>
      <c r="E64" s="48">
        <f>C64+D64</f>
        <v>0</v>
      </c>
      <c r="F64" s="59"/>
      <c r="G64" s="59">
        <v>0</v>
      </c>
      <c r="H64" s="48">
        <f>F64+G64</f>
        <v>0</v>
      </c>
    </row>
    <row r="65" spans="1:8">
      <c r="A65" s="43">
        <v>40</v>
      </c>
      <c r="B65" s="54" t="s">
        <v>102</v>
      </c>
      <c r="C65" s="48">
        <f t="shared" ref="C65:H65" si="19">C63-C64</f>
        <v>773747.9300000004</v>
      </c>
      <c r="D65" s="48">
        <f t="shared" si="19"/>
        <v>649797.25</v>
      </c>
      <c r="E65" s="16">
        <f t="shared" si="19"/>
        <v>1423545.1800000004</v>
      </c>
      <c r="F65" s="48">
        <f t="shared" si="19"/>
        <v>961141.23000000045</v>
      </c>
      <c r="G65" s="48">
        <f t="shared" si="19"/>
        <v>887005.70000000019</v>
      </c>
      <c r="H65" s="53">
        <f t="shared" si="19"/>
        <v>1848146.9299999997</v>
      </c>
    </row>
    <row r="66" spans="1:8" s="60" customFormat="1">
      <c r="A66" s="41">
        <v>41</v>
      </c>
      <c r="B66" s="47" t="s">
        <v>103</v>
      </c>
      <c r="C66" s="59"/>
      <c r="D66" s="59">
        <v>0</v>
      </c>
      <c r="E66" s="48">
        <f>C66+D66</f>
        <v>0</v>
      </c>
      <c r="F66" s="59"/>
      <c r="G66" s="59">
        <v>0</v>
      </c>
      <c r="H66" s="48">
        <f>F66+G66</f>
        <v>0</v>
      </c>
    </row>
    <row r="67" spans="1:8" ht="15.75" thickBot="1">
      <c r="A67" s="61">
        <v>42</v>
      </c>
      <c r="B67" s="62" t="s">
        <v>104</v>
      </c>
      <c r="C67" s="63">
        <f t="shared" ref="C67:H67" si="20">C65+C66</f>
        <v>773747.9300000004</v>
      </c>
      <c r="D67" s="63">
        <f t="shared" si="20"/>
        <v>649797.25</v>
      </c>
      <c r="E67" s="63">
        <f t="shared" si="20"/>
        <v>1423545.1800000004</v>
      </c>
      <c r="F67" s="63">
        <f t="shared" si="20"/>
        <v>961141.23000000045</v>
      </c>
      <c r="G67" s="63">
        <f t="shared" si="20"/>
        <v>887005.70000000019</v>
      </c>
      <c r="H67" s="64">
        <f t="shared" si="20"/>
        <v>1848146.9299999997</v>
      </c>
    </row>
    <row r="68" spans="1:8">
      <c r="A68" s="65"/>
      <c r="B68" s="66"/>
      <c r="C68" s="67"/>
      <c r="D68" s="67"/>
      <c r="E68" s="67"/>
      <c r="F68" s="67"/>
      <c r="G68" s="67"/>
      <c r="H68" s="67"/>
    </row>
    <row r="69" spans="1:8">
      <c r="A69" s="30"/>
      <c r="B69" s="32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69" s="68"/>
      <c r="D69" s="68"/>
      <c r="E69" s="68"/>
    </row>
    <row r="70" spans="1:8">
      <c r="A70" s="30"/>
      <c r="B70" s="3"/>
      <c r="C70" s="68"/>
      <c r="D70" s="68"/>
      <c r="E70" s="69"/>
    </row>
    <row r="71" spans="1:8">
      <c r="A71" s="68"/>
      <c r="B71" s="68"/>
      <c r="C71" s="68"/>
      <c r="D71" s="68"/>
      <c r="E71" s="68"/>
    </row>
  </sheetData>
  <mergeCells count="3">
    <mergeCell ref="C5:E5"/>
    <mergeCell ref="F5:H5"/>
    <mergeCell ref="D1:H1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71"/>
  <sheetViews>
    <sheetView workbookViewId="0">
      <selection activeCell="L26" sqref="L26"/>
    </sheetView>
  </sheetViews>
  <sheetFormatPr defaultColWidth="9.140625" defaultRowHeight="15"/>
  <cols>
    <col min="1" max="1" width="8" style="33" bestFit="1" customWidth="1"/>
    <col min="2" max="2" width="47.28515625" style="33" customWidth="1"/>
    <col min="3" max="3" width="14.85546875" style="33" bestFit="1" customWidth="1"/>
    <col min="4" max="4" width="17" style="33" customWidth="1"/>
    <col min="5" max="5" width="15.140625" style="33" bestFit="1" customWidth="1"/>
    <col min="6" max="6" width="14" style="33" bestFit="1" customWidth="1"/>
    <col min="7" max="7" width="15.140625" style="33" bestFit="1" customWidth="1"/>
    <col min="8" max="8" width="15.42578125" style="33" bestFit="1" customWidth="1"/>
    <col min="9" max="9" width="9.140625" style="33" customWidth="1"/>
    <col min="10" max="16384" width="9.140625" style="33"/>
  </cols>
  <sheetData>
    <row r="1" spans="1:48">
      <c r="A1" s="375" t="s">
        <v>0</v>
      </c>
      <c r="B1" s="376" t="str">
        <f>'RC'!B2</f>
        <v>სს " პაშა ბანკი საქართველო"</v>
      </c>
      <c r="C1" s="377"/>
      <c r="D1" s="377"/>
      <c r="E1" s="377"/>
      <c r="F1" s="378"/>
      <c r="G1" s="378"/>
      <c r="H1" s="37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>
      <c r="A2" s="375" t="s">
        <v>2</v>
      </c>
      <c r="B2" s="376" t="str">
        <f>'RC'!B3</f>
        <v>31.03.2017</v>
      </c>
      <c r="C2" s="377"/>
      <c r="D2" s="377"/>
      <c r="E2" s="377"/>
      <c r="F2" s="378"/>
      <c r="G2" s="378"/>
      <c r="H2" s="379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ht="15.75">
      <c r="A3" s="380"/>
      <c r="B3" s="381" t="s">
        <v>312</v>
      </c>
      <c r="C3" s="382"/>
      <c r="D3" s="382"/>
      <c r="E3" s="382"/>
      <c r="F3" s="380"/>
      <c r="G3" s="380"/>
      <c r="H3" s="383" t="s">
        <v>4</v>
      </c>
    </row>
    <row r="4" spans="1:48" ht="18">
      <c r="A4" s="384"/>
      <c r="B4" s="385"/>
      <c r="C4" s="411" t="s">
        <v>5</v>
      </c>
      <c r="D4" s="407"/>
      <c r="E4" s="407"/>
      <c r="F4" s="411" t="s">
        <v>6</v>
      </c>
      <c r="G4" s="407"/>
      <c r="H4" s="408"/>
    </row>
    <row r="5" spans="1:48" s="72" customFormat="1" ht="12.75">
      <c r="A5" s="386" t="s">
        <v>7</v>
      </c>
      <c r="B5" s="387"/>
      <c r="C5" s="388" t="s">
        <v>9</v>
      </c>
      <c r="D5" s="388" t="s">
        <v>10</v>
      </c>
      <c r="E5" s="388" t="s">
        <v>11</v>
      </c>
      <c r="F5" s="388" t="s">
        <v>9</v>
      </c>
      <c r="G5" s="388" t="s">
        <v>10</v>
      </c>
      <c r="H5" s="388" t="s">
        <v>11</v>
      </c>
      <c r="I5" s="71"/>
      <c r="J5" s="71"/>
      <c r="K5" s="71"/>
      <c r="L5" s="71"/>
    </row>
    <row r="6" spans="1:48">
      <c r="A6" s="386">
        <v>1</v>
      </c>
      <c r="B6" s="389" t="s">
        <v>105</v>
      </c>
      <c r="C6" s="390">
        <f t="shared" ref="C6:H6" si="0">SUM(C7:C8)+C9+C12+C13+C26</f>
        <v>193664044.7931</v>
      </c>
      <c r="D6" s="390">
        <f t="shared" si="0"/>
        <v>242724827.62630001</v>
      </c>
      <c r="E6" s="390">
        <f t="shared" si="0"/>
        <v>436388872.41940004</v>
      </c>
      <c r="F6" s="390">
        <f t="shared" si="0"/>
        <v>188369005.35189998</v>
      </c>
      <c r="G6" s="390">
        <f t="shared" si="0"/>
        <v>281469931.86330003</v>
      </c>
      <c r="H6" s="390">
        <f t="shared" si="0"/>
        <v>469838937.21520001</v>
      </c>
      <c r="I6" s="68"/>
      <c r="J6" s="68"/>
      <c r="K6" s="68"/>
      <c r="L6" s="68"/>
    </row>
    <row r="7" spans="1:48">
      <c r="A7" s="386">
        <v>1.1000000000000001</v>
      </c>
      <c r="B7" s="391" t="s">
        <v>106</v>
      </c>
      <c r="C7" s="392"/>
      <c r="D7" s="392"/>
      <c r="E7" s="390">
        <f t="shared" ref="E7:E38" si="1">C7+D7</f>
        <v>0</v>
      </c>
      <c r="F7" s="392"/>
      <c r="G7" s="392"/>
      <c r="H7" s="390">
        <f t="shared" ref="H7:H38" si="2">F7+G7</f>
        <v>0</v>
      </c>
      <c r="I7" s="68"/>
      <c r="J7" s="68"/>
      <c r="K7" s="68"/>
      <c r="L7" s="68"/>
    </row>
    <row r="8" spans="1:48">
      <c r="A8" s="386">
        <v>1.2</v>
      </c>
      <c r="B8" s="391" t="s">
        <v>107</v>
      </c>
      <c r="C8" s="392">
        <v>4896694.3099999996</v>
      </c>
      <c r="D8" s="392">
        <v>8072486.2000000002</v>
      </c>
      <c r="E8" s="390">
        <f t="shared" si="1"/>
        <v>12969180.51</v>
      </c>
      <c r="F8" s="392">
        <v>8352018.3799999999</v>
      </c>
      <c r="G8" s="392">
        <v>12279077.3532</v>
      </c>
      <c r="H8" s="390">
        <f t="shared" si="2"/>
        <v>20631095.733199999</v>
      </c>
      <c r="I8" s="68"/>
      <c r="J8" s="68"/>
      <c r="K8" s="68"/>
      <c r="L8" s="68"/>
    </row>
    <row r="9" spans="1:48">
      <c r="A9" s="386">
        <v>1.3</v>
      </c>
      <c r="B9" s="391" t="s">
        <v>313</v>
      </c>
      <c r="C9" s="390">
        <f>SUM(C10:C11)</f>
        <v>88297807.223700002</v>
      </c>
      <c r="D9" s="390">
        <f>SUM(D10:D11)</f>
        <v>33065060.6701</v>
      </c>
      <c r="E9" s="390">
        <f t="shared" si="1"/>
        <v>121362867.89380001</v>
      </c>
      <c r="F9" s="390">
        <f>SUM(F10:F11)</f>
        <v>74080914.281900004</v>
      </c>
      <c r="G9" s="390">
        <f>SUM(G10:G11)</f>
        <v>112213954.85100001</v>
      </c>
      <c r="H9" s="390">
        <f t="shared" si="2"/>
        <v>186294869.1329</v>
      </c>
      <c r="I9" s="68"/>
      <c r="J9" s="68"/>
      <c r="K9" s="68"/>
      <c r="L9" s="68"/>
    </row>
    <row r="10" spans="1:48">
      <c r="A10" s="393" t="s">
        <v>314</v>
      </c>
      <c r="B10" s="394" t="s">
        <v>315</v>
      </c>
      <c r="C10" s="392">
        <v>81978500.093700007</v>
      </c>
      <c r="D10" s="392">
        <v>14412025.970100001</v>
      </c>
      <c r="E10" s="390">
        <f t="shared" si="1"/>
        <v>96390526.063800007</v>
      </c>
      <c r="F10" s="392">
        <v>69733244.284500003</v>
      </c>
      <c r="G10" s="392">
        <v>90568110.876300007</v>
      </c>
      <c r="H10" s="390">
        <f t="shared" si="2"/>
        <v>160301355.16080001</v>
      </c>
      <c r="I10" s="68"/>
      <c r="J10" s="68"/>
      <c r="K10" s="68"/>
      <c r="L10" s="68"/>
    </row>
    <row r="11" spans="1:48">
      <c r="A11" s="393" t="s">
        <v>316</v>
      </c>
      <c r="B11" s="395" t="s">
        <v>317</v>
      </c>
      <c r="C11" s="392">
        <v>6319307.1299999999</v>
      </c>
      <c r="D11" s="392">
        <v>18653034.699999999</v>
      </c>
      <c r="E11" s="390">
        <f t="shared" si="1"/>
        <v>24972341.829999998</v>
      </c>
      <c r="F11" s="392">
        <v>4347669.9973999998</v>
      </c>
      <c r="G11" s="392">
        <v>21645843.9747</v>
      </c>
      <c r="H11" s="390">
        <f t="shared" si="2"/>
        <v>25993513.972100001</v>
      </c>
      <c r="I11" s="68"/>
      <c r="J11" s="68"/>
      <c r="K11" s="68"/>
      <c r="L11" s="68"/>
    </row>
    <row r="12" spans="1:48">
      <c r="A12" s="386">
        <v>1.4</v>
      </c>
      <c r="B12" s="396" t="s">
        <v>108</v>
      </c>
      <c r="C12" s="392"/>
      <c r="D12" s="392"/>
      <c r="E12" s="390">
        <f t="shared" si="1"/>
        <v>0</v>
      </c>
      <c r="F12" s="392"/>
      <c r="G12" s="392"/>
      <c r="H12" s="390">
        <f t="shared" si="2"/>
        <v>0</v>
      </c>
      <c r="I12" s="68"/>
      <c r="J12" s="68"/>
      <c r="K12" s="68"/>
      <c r="L12" s="68"/>
    </row>
    <row r="13" spans="1:48">
      <c r="A13" s="386">
        <v>1.5</v>
      </c>
      <c r="B13" s="396" t="s">
        <v>318</v>
      </c>
      <c r="C13" s="390">
        <f>SUM(C14:C16)+SUM(C22:C25)</f>
        <v>100469543.2594</v>
      </c>
      <c r="D13" s="390">
        <f>SUM(D14:D16)+SUM(D22:D25)</f>
        <v>201587280.75620002</v>
      </c>
      <c r="E13" s="390">
        <f t="shared" si="1"/>
        <v>302056824.01560003</v>
      </c>
      <c r="F13" s="390">
        <f>SUM(F14:F16)+SUM(F22:F25)</f>
        <v>105936072.69</v>
      </c>
      <c r="G13" s="390">
        <f>SUM(G14:G16)+SUM(G22:G25)</f>
        <v>156976899.6591</v>
      </c>
      <c r="H13" s="390">
        <f t="shared" si="2"/>
        <v>262912972.34909999</v>
      </c>
      <c r="I13" s="68"/>
      <c r="J13" s="68"/>
      <c r="K13" s="68"/>
      <c r="L13" s="68"/>
    </row>
    <row r="14" spans="1:48">
      <c r="A14" s="386" t="s">
        <v>319</v>
      </c>
      <c r="B14" s="397" t="s">
        <v>320</v>
      </c>
      <c r="C14" s="392">
        <v>650189.75</v>
      </c>
      <c r="D14" s="392">
        <v>25894668</v>
      </c>
      <c r="E14" s="390">
        <f t="shared" si="1"/>
        <v>26544857.75</v>
      </c>
      <c r="F14" s="392">
        <v>8162270.3899999997</v>
      </c>
      <c r="G14" s="392">
        <v>18742252.9023</v>
      </c>
      <c r="H14" s="390">
        <f t="shared" si="2"/>
        <v>26904523.292300001</v>
      </c>
      <c r="I14" s="68"/>
      <c r="J14" s="68"/>
      <c r="K14" s="68"/>
      <c r="L14" s="68"/>
    </row>
    <row r="15" spans="1:48">
      <c r="A15" s="386" t="s">
        <v>321</v>
      </c>
      <c r="B15" s="397" t="s">
        <v>322</v>
      </c>
      <c r="C15" s="392"/>
      <c r="D15" s="392"/>
      <c r="E15" s="390">
        <f t="shared" si="1"/>
        <v>0</v>
      </c>
      <c r="F15" s="392"/>
      <c r="G15" s="392"/>
      <c r="H15" s="390">
        <f t="shared" si="2"/>
        <v>0</v>
      </c>
      <c r="I15" s="68"/>
      <c r="J15" s="68"/>
      <c r="K15" s="68"/>
      <c r="L15" s="68"/>
    </row>
    <row r="16" spans="1:48">
      <c r="A16" s="386" t="s">
        <v>323</v>
      </c>
      <c r="B16" s="397" t="s">
        <v>324</v>
      </c>
      <c r="C16" s="390">
        <f>SUM(C17:C21)</f>
        <v>42377299.999799997</v>
      </c>
      <c r="D16" s="390">
        <f>SUM(D17:D21)</f>
        <v>143518606.45590001</v>
      </c>
      <c r="E16" s="390">
        <f t="shared" si="1"/>
        <v>185895906.45570001</v>
      </c>
      <c r="F16" s="390">
        <f>SUM(F17:F21)</f>
        <v>80062371.599999994</v>
      </c>
      <c r="G16" s="390">
        <f>SUM(G17:G21)</f>
        <v>33351594.455600001</v>
      </c>
      <c r="H16" s="390">
        <f t="shared" si="2"/>
        <v>113413966.05559999</v>
      </c>
      <c r="I16" s="68"/>
      <c r="J16" s="68"/>
      <c r="K16" s="68"/>
      <c r="L16" s="68"/>
    </row>
    <row r="17" spans="1:12">
      <c r="A17" s="386" t="s">
        <v>325</v>
      </c>
      <c r="B17" s="395" t="s">
        <v>326</v>
      </c>
      <c r="C17" s="392">
        <v>0</v>
      </c>
      <c r="D17" s="392">
        <v>92917.6</v>
      </c>
      <c r="E17" s="390">
        <f t="shared" si="1"/>
        <v>92917.6</v>
      </c>
      <c r="F17" s="392">
        <v>0</v>
      </c>
      <c r="G17" s="392">
        <v>441613.35</v>
      </c>
      <c r="H17" s="390">
        <f t="shared" si="2"/>
        <v>441613.35</v>
      </c>
      <c r="I17" s="68"/>
      <c r="J17" s="68"/>
      <c r="K17" s="68"/>
      <c r="L17" s="68"/>
    </row>
    <row r="18" spans="1:12">
      <c r="A18" s="386" t="s">
        <v>327</v>
      </c>
      <c r="B18" s="395" t="s">
        <v>328</v>
      </c>
      <c r="C18" s="392">
        <v>377300</v>
      </c>
      <c r="D18" s="392">
        <v>7666527.0104</v>
      </c>
      <c r="E18" s="390">
        <f t="shared" si="1"/>
        <v>8043827.0104</v>
      </c>
      <c r="F18" s="392">
        <v>186000</v>
      </c>
      <c r="G18" s="392">
        <v>19148930.2557</v>
      </c>
      <c r="H18" s="390">
        <f t="shared" si="2"/>
        <v>19334930.2557</v>
      </c>
      <c r="I18" s="68"/>
      <c r="J18" s="68"/>
      <c r="K18" s="68"/>
      <c r="L18" s="68"/>
    </row>
    <row r="19" spans="1:12">
      <c r="A19" s="386" t="s">
        <v>329</v>
      </c>
      <c r="B19" s="398" t="s">
        <v>330</v>
      </c>
      <c r="C19" s="392"/>
      <c r="D19" s="392"/>
      <c r="E19" s="390">
        <f t="shared" si="1"/>
        <v>0</v>
      </c>
      <c r="F19" s="392"/>
      <c r="G19" s="392"/>
      <c r="H19" s="390">
        <f t="shared" si="2"/>
        <v>0</v>
      </c>
      <c r="I19" s="68"/>
      <c r="J19" s="68"/>
      <c r="K19" s="68"/>
      <c r="L19" s="68"/>
    </row>
    <row r="20" spans="1:12">
      <c r="A20" s="386" t="s">
        <v>331</v>
      </c>
      <c r="B20" s="395" t="s">
        <v>332</v>
      </c>
      <c r="C20" s="392">
        <v>0</v>
      </c>
      <c r="D20" s="392">
        <v>7819749.5998999998</v>
      </c>
      <c r="E20" s="390">
        <f t="shared" si="1"/>
        <v>7819749.5998999998</v>
      </c>
      <c r="F20" s="392">
        <v>21200000</v>
      </c>
      <c r="G20" s="392">
        <v>4999820.8499999996</v>
      </c>
      <c r="H20" s="390">
        <f t="shared" si="2"/>
        <v>26199820.850000001</v>
      </c>
      <c r="I20" s="68"/>
      <c r="J20" s="68"/>
      <c r="K20" s="68"/>
      <c r="L20" s="68"/>
    </row>
    <row r="21" spans="1:12">
      <c r="A21" s="386" t="s">
        <v>333</v>
      </c>
      <c r="B21" s="395" t="s">
        <v>334</v>
      </c>
      <c r="C21" s="392">
        <v>41999999.999799997</v>
      </c>
      <c r="D21" s="392">
        <v>127939412.2456</v>
      </c>
      <c r="E21" s="390">
        <f t="shared" si="1"/>
        <v>169939412.24540001</v>
      </c>
      <c r="F21" s="392">
        <v>58676371.600000001</v>
      </c>
      <c r="G21" s="392">
        <v>8761229.9999000002</v>
      </c>
      <c r="H21" s="390">
        <f t="shared" si="2"/>
        <v>67437601.599900007</v>
      </c>
      <c r="I21" s="68"/>
      <c r="J21" s="68"/>
      <c r="K21" s="68"/>
      <c r="L21" s="68"/>
    </row>
    <row r="22" spans="1:12">
      <c r="A22" s="386" t="s">
        <v>335</v>
      </c>
      <c r="B22" s="397" t="s">
        <v>336</v>
      </c>
      <c r="C22" s="392">
        <v>26000000.000100002</v>
      </c>
      <c r="D22" s="392">
        <v>28946341.737799998</v>
      </c>
      <c r="E22" s="390">
        <f t="shared" si="1"/>
        <v>54946341.737900004</v>
      </c>
      <c r="F22" s="392">
        <v>16000000</v>
      </c>
      <c r="G22" s="392">
        <v>76468252.230100006</v>
      </c>
      <c r="H22" s="390">
        <f t="shared" si="2"/>
        <v>92468252.230100006</v>
      </c>
      <c r="I22" s="68"/>
      <c r="J22" s="68"/>
      <c r="K22" s="68"/>
      <c r="L22" s="68"/>
    </row>
    <row r="23" spans="1:12">
      <c r="A23" s="386" t="s">
        <v>337</v>
      </c>
      <c r="B23" s="397" t="s">
        <v>338</v>
      </c>
      <c r="C23" s="392">
        <v>28079661.999600001</v>
      </c>
      <c r="D23" s="392">
        <v>0.26900000000000002</v>
      </c>
      <c r="E23" s="390">
        <f t="shared" si="1"/>
        <v>28079662.268600002</v>
      </c>
      <c r="F23" s="392">
        <v>0</v>
      </c>
      <c r="G23" s="392">
        <v>28414800</v>
      </c>
      <c r="H23" s="390">
        <f t="shared" si="2"/>
        <v>28414800</v>
      </c>
      <c r="I23" s="68"/>
      <c r="J23" s="68"/>
      <c r="K23" s="68"/>
      <c r="L23" s="68"/>
    </row>
    <row r="24" spans="1:12">
      <c r="A24" s="386" t="s">
        <v>339</v>
      </c>
      <c r="B24" s="397" t="s">
        <v>340</v>
      </c>
      <c r="C24" s="392">
        <v>1082564.51</v>
      </c>
      <c r="D24" s="392">
        <v>3227664</v>
      </c>
      <c r="E24" s="390">
        <f t="shared" si="1"/>
        <v>4310228.51</v>
      </c>
      <c r="F24" s="392">
        <v>1711430.7</v>
      </c>
      <c r="G24" s="392">
        <v>2.3699999999999999E-2</v>
      </c>
      <c r="H24" s="390">
        <f t="shared" si="2"/>
        <v>1711430.7237</v>
      </c>
      <c r="I24" s="68"/>
      <c r="J24" s="68"/>
      <c r="K24" s="68"/>
      <c r="L24" s="68"/>
    </row>
    <row r="25" spans="1:12">
      <c r="A25" s="386" t="s">
        <v>341</v>
      </c>
      <c r="B25" s="397" t="s">
        <v>342</v>
      </c>
      <c r="C25" s="392">
        <v>2279826.9999000002</v>
      </c>
      <c r="D25" s="392">
        <v>0.29349999999999998</v>
      </c>
      <c r="E25" s="390">
        <f t="shared" si="1"/>
        <v>2279827.2934000003</v>
      </c>
      <c r="F25" s="392">
        <v>0</v>
      </c>
      <c r="G25" s="392">
        <v>4.7399999999999998E-2</v>
      </c>
      <c r="H25" s="390">
        <f t="shared" si="2"/>
        <v>4.7399999999999998E-2</v>
      </c>
      <c r="I25" s="68"/>
      <c r="J25" s="68"/>
      <c r="K25" s="68"/>
      <c r="L25" s="68"/>
    </row>
    <row r="26" spans="1:12">
      <c r="A26" s="386">
        <v>1.6</v>
      </c>
      <c r="B26" s="391" t="s">
        <v>109</v>
      </c>
      <c r="C26" s="392"/>
      <c r="D26" s="392"/>
      <c r="E26" s="390">
        <f t="shared" si="1"/>
        <v>0</v>
      </c>
      <c r="F26" s="392"/>
      <c r="G26" s="392"/>
      <c r="H26" s="390">
        <f t="shared" si="2"/>
        <v>0</v>
      </c>
      <c r="I26" s="68"/>
      <c r="J26" s="68"/>
      <c r="K26" s="68"/>
      <c r="L26" s="68"/>
    </row>
    <row r="27" spans="1:12">
      <c r="A27" s="386">
        <v>2</v>
      </c>
      <c r="B27" s="389" t="s">
        <v>110</v>
      </c>
      <c r="C27" s="390">
        <f>SUM(C28:C34)</f>
        <v>104348.72</v>
      </c>
      <c r="D27" s="390">
        <f>SUM(D28:D34)</f>
        <v>3480967</v>
      </c>
      <c r="E27" s="390">
        <f t="shared" si="1"/>
        <v>3585315.72</v>
      </c>
      <c r="F27" s="390">
        <f>SUM(F28:F34)</f>
        <v>1045668.77</v>
      </c>
      <c r="G27" s="390">
        <f>SUM(G28:G34)</f>
        <v>639333</v>
      </c>
      <c r="H27" s="390">
        <f t="shared" si="2"/>
        <v>1685001.77</v>
      </c>
      <c r="I27" s="68"/>
      <c r="J27" s="68"/>
      <c r="K27" s="68"/>
      <c r="L27" s="68"/>
    </row>
    <row r="28" spans="1:12">
      <c r="A28" s="386">
        <v>2.1</v>
      </c>
      <c r="B28" s="399" t="s">
        <v>111</v>
      </c>
      <c r="C28" s="392">
        <v>104348.72</v>
      </c>
      <c r="D28" s="392">
        <v>3480967</v>
      </c>
      <c r="E28" s="390">
        <f t="shared" si="1"/>
        <v>3585315.72</v>
      </c>
      <c r="F28" s="392">
        <v>1045668.77</v>
      </c>
      <c r="G28" s="392">
        <v>639333</v>
      </c>
      <c r="H28" s="390">
        <f t="shared" si="2"/>
        <v>1685001.77</v>
      </c>
      <c r="I28" s="68"/>
      <c r="J28" s="68"/>
      <c r="K28" s="68"/>
      <c r="L28" s="68"/>
    </row>
    <row r="29" spans="1:12">
      <c r="A29" s="386">
        <v>2.2000000000000002</v>
      </c>
      <c r="B29" s="399" t="s">
        <v>112</v>
      </c>
      <c r="C29" s="392"/>
      <c r="D29" s="392"/>
      <c r="E29" s="390">
        <f t="shared" si="1"/>
        <v>0</v>
      </c>
      <c r="F29" s="392"/>
      <c r="G29" s="392"/>
      <c r="H29" s="390">
        <f t="shared" si="2"/>
        <v>0</v>
      </c>
      <c r="I29" s="68"/>
      <c r="J29" s="68"/>
      <c r="K29" s="68"/>
      <c r="L29" s="68"/>
    </row>
    <row r="30" spans="1:12">
      <c r="A30" s="386">
        <v>2.2999999999999998</v>
      </c>
      <c r="B30" s="399" t="s">
        <v>113</v>
      </c>
      <c r="C30" s="392"/>
      <c r="D30" s="392"/>
      <c r="E30" s="390">
        <f t="shared" si="1"/>
        <v>0</v>
      </c>
      <c r="F30" s="392"/>
      <c r="G30" s="392"/>
      <c r="H30" s="390">
        <f t="shared" si="2"/>
        <v>0</v>
      </c>
      <c r="I30" s="68"/>
      <c r="J30" s="68"/>
      <c r="K30" s="68"/>
      <c r="L30" s="68"/>
    </row>
    <row r="31" spans="1:12" s="74" customFormat="1">
      <c r="A31" s="386">
        <v>2.4</v>
      </c>
      <c r="B31" s="399" t="s">
        <v>114</v>
      </c>
      <c r="C31" s="392"/>
      <c r="D31" s="392"/>
      <c r="E31" s="390">
        <f t="shared" si="1"/>
        <v>0</v>
      </c>
      <c r="F31" s="392"/>
      <c r="G31" s="392"/>
      <c r="H31" s="390">
        <f t="shared" si="2"/>
        <v>0</v>
      </c>
      <c r="I31" s="73"/>
      <c r="J31" s="73"/>
      <c r="K31" s="73"/>
      <c r="L31" s="73"/>
    </row>
    <row r="32" spans="1:12" s="74" customFormat="1">
      <c r="A32" s="386">
        <v>2.5</v>
      </c>
      <c r="B32" s="399" t="s">
        <v>115</v>
      </c>
      <c r="C32" s="392"/>
      <c r="D32" s="392"/>
      <c r="E32" s="390">
        <f t="shared" si="1"/>
        <v>0</v>
      </c>
      <c r="F32" s="392"/>
      <c r="G32" s="392"/>
      <c r="H32" s="390">
        <f t="shared" si="2"/>
        <v>0</v>
      </c>
      <c r="I32" s="73"/>
      <c r="J32" s="73"/>
      <c r="K32" s="73"/>
      <c r="L32" s="73"/>
    </row>
    <row r="33" spans="1:12">
      <c r="A33" s="386">
        <v>2.6</v>
      </c>
      <c r="B33" s="399" t="s">
        <v>116</v>
      </c>
      <c r="C33" s="392"/>
      <c r="D33" s="392"/>
      <c r="E33" s="390">
        <f t="shared" si="1"/>
        <v>0</v>
      </c>
      <c r="F33" s="392"/>
      <c r="G33" s="392"/>
      <c r="H33" s="390">
        <f t="shared" si="2"/>
        <v>0</v>
      </c>
      <c r="I33" s="68"/>
      <c r="J33" s="68"/>
      <c r="K33" s="68"/>
      <c r="L33" s="68"/>
    </row>
    <row r="34" spans="1:12">
      <c r="A34" s="386">
        <v>2.7</v>
      </c>
      <c r="B34" s="399" t="s">
        <v>117</v>
      </c>
      <c r="C34" s="392"/>
      <c r="D34" s="392"/>
      <c r="E34" s="390">
        <f t="shared" si="1"/>
        <v>0</v>
      </c>
      <c r="F34" s="392"/>
      <c r="G34" s="392"/>
      <c r="H34" s="390">
        <f t="shared" si="2"/>
        <v>0</v>
      </c>
      <c r="I34" s="68"/>
      <c r="J34" s="68"/>
      <c r="K34" s="68"/>
      <c r="L34" s="68"/>
    </row>
    <row r="35" spans="1:12">
      <c r="A35" s="386">
        <v>3</v>
      </c>
      <c r="B35" s="389" t="s">
        <v>34</v>
      </c>
      <c r="C35" s="390">
        <f>SUM(C36:C38)</f>
        <v>4896694.3099999996</v>
      </c>
      <c r="D35" s="390">
        <f>SUM(D36:D38)</f>
        <v>8072486.2000000002</v>
      </c>
      <c r="E35" s="390">
        <f t="shared" si="1"/>
        <v>12969180.51</v>
      </c>
      <c r="F35" s="390">
        <f>SUM(F36:F38)</f>
        <v>8352018.3799999999</v>
      </c>
      <c r="G35" s="390">
        <f>SUM(G36:G38)</f>
        <v>12279077.3532</v>
      </c>
      <c r="H35" s="390">
        <f t="shared" si="2"/>
        <v>20631095.733199999</v>
      </c>
      <c r="I35" s="68"/>
      <c r="J35" s="68"/>
      <c r="K35" s="68"/>
      <c r="L35" s="68"/>
    </row>
    <row r="36" spans="1:12">
      <c r="A36" s="386">
        <v>3.1</v>
      </c>
      <c r="B36" s="399" t="s">
        <v>118</v>
      </c>
      <c r="C36" s="392"/>
      <c r="D36" s="392"/>
      <c r="E36" s="390">
        <f t="shared" si="1"/>
        <v>0</v>
      </c>
      <c r="F36" s="392"/>
      <c r="G36" s="392"/>
      <c r="H36" s="390">
        <f t="shared" si="2"/>
        <v>0</v>
      </c>
      <c r="I36" s="68"/>
      <c r="J36" s="68"/>
      <c r="K36" s="68"/>
      <c r="L36" s="68"/>
    </row>
    <row r="37" spans="1:12">
      <c r="A37" s="386">
        <v>3.2</v>
      </c>
      <c r="B37" s="399" t="s">
        <v>119</v>
      </c>
      <c r="C37" s="392">
        <v>4896694.3099999996</v>
      </c>
      <c r="D37" s="392">
        <v>8072486.2000000002</v>
      </c>
      <c r="E37" s="390">
        <f t="shared" si="1"/>
        <v>12969180.51</v>
      </c>
      <c r="F37" s="392">
        <v>8352018.3799999999</v>
      </c>
      <c r="G37" s="392">
        <v>12279077.3532</v>
      </c>
      <c r="H37" s="390">
        <f t="shared" si="2"/>
        <v>20631095.733199999</v>
      </c>
      <c r="I37" s="68"/>
      <c r="J37" s="68"/>
      <c r="K37" s="68"/>
      <c r="L37" s="68"/>
    </row>
    <row r="38" spans="1:12">
      <c r="A38" s="386">
        <v>3.3</v>
      </c>
      <c r="B38" s="399" t="s">
        <v>120</v>
      </c>
      <c r="C38" s="392"/>
      <c r="D38" s="392"/>
      <c r="E38" s="390">
        <f t="shared" si="1"/>
        <v>0</v>
      </c>
      <c r="F38" s="392"/>
      <c r="G38" s="392"/>
      <c r="H38" s="390">
        <f t="shared" si="2"/>
        <v>0</v>
      </c>
      <c r="I38" s="68"/>
      <c r="J38" s="68"/>
      <c r="K38" s="68"/>
      <c r="L38" s="68"/>
    </row>
    <row r="39" spans="1:12">
      <c r="A39" s="386">
        <v>4</v>
      </c>
      <c r="B39" s="389" t="s">
        <v>343</v>
      </c>
      <c r="C39" s="390">
        <f>SUM(C40:C42)</f>
        <v>1</v>
      </c>
      <c r="D39" s="390">
        <f>SUM(D40:D42)</f>
        <v>0</v>
      </c>
      <c r="E39" s="390">
        <f t="shared" ref="E39:E68" si="3">C39+D39</f>
        <v>1</v>
      </c>
      <c r="F39" s="390">
        <f>SUM(F40:F42)</f>
        <v>1</v>
      </c>
      <c r="G39" s="390">
        <f>SUM(G40:G42)</f>
        <v>0</v>
      </c>
      <c r="H39" s="390">
        <f t="shared" ref="H39:H68" si="4">F39+G39</f>
        <v>1</v>
      </c>
      <c r="I39" s="68"/>
      <c r="J39" s="68"/>
      <c r="K39" s="68"/>
      <c r="L39" s="68"/>
    </row>
    <row r="40" spans="1:12">
      <c r="A40" s="386">
        <v>4.0999999999999996</v>
      </c>
      <c r="B40" s="399" t="s">
        <v>121</v>
      </c>
      <c r="C40" s="392"/>
      <c r="D40" s="392"/>
      <c r="E40" s="390">
        <f t="shared" si="3"/>
        <v>0</v>
      </c>
      <c r="F40" s="392"/>
      <c r="G40" s="392"/>
      <c r="H40" s="390">
        <f t="shared" si="4"/>
        <v>0</v>
      </c>
      <c r="I40" s="68"/>
      <c r="J40" s="68"/>
      <c r="K40" s="68"/>
      <c r="L40" s="68"/>
    </row>
    <row r="41" spans="1:12">
      <c r="A41" s="386">
        <v>4.2</v>
      </c>
      <c r="B41" s="399" t="s">
        <v>122</v>
      </c>
      <c r="C41" s="392"/>
      <c r="D41" s="392"/>
      <c r="E41" s="390">
        <f t="shared" si="3"/>
        <v>0</v>
      </c>
      <c r="F41" s="392"/>
      <c r="G41" s="392"/>
      <c r="H41" s="390">
        <f t="shared" si="4"/>
        <v>0</v>
      </c>
      <c r="I41" s="68"/>
      <c r="J41" s="68"/>
      <c r="K41" s="68"/>
      <c r="L41" s="68"/>
    </row>
    <row r="42" spans="1:12">
      <c r="A42" s="386">
        <v>4.3</v>
      </c>
      <c r="B42" s="399" t="s">
        <v>123</v>
      </c>
      <c r="C42" s="392">
        <v>1</v>
      </c>
      <c r="D42" s="392"/>
      <c r="E42" s="390">
        <f t="shared" si="3"/>
        <v>1</v>
      </c>
      <c r="F42" s="392">
        <v>1</v>
      </c>
      <c r="G42" s="392"/>
      <c r="H42" s="390">
        <f t="shared" si="4"/>
        <v>1</v>
      </c>
      <c r="I42" s="68"/>
      <c r="J42" s="68"/>
      <c r="K42" s="68"/>
      <c r="L42" s="68"/>
    </row>
    <row r="43" spans="1:12">
      <c r="A43" s="386">
        <v>5</v>
      </c>
      <c r="B43" s="389" t="s">
        <v>124</v>
      </c>
      <c r="C43" s="390">
        <f>SUM(C44:C47)</f>
        <v>0</v>
      </c>
      <c r="D43" s="390">
        <f>SUM(D44:D47)</f>
        <v>0</v>
      </c>
      <c r="E43" s="390">
        <f t="shared" si="3"/>
        <v>0</v>
      </c>
      <c r="F43" s="390">
        <f>SUM(F44:F47)</f>
        <v>0</v>
      </c>
      <c r="G43" s="390">
        <f>SUM(G44:G47)</f>
        <v>0</v>
      </c>
      <c r="H43" s="390">
        <f t="shared" si="4"/>
        <v>0</v>
      </c>
      <c r="I43" s="68"/>
      <c r="J43" s="68"/>
      <c r="K43" s="68"/>
      <c r="L43" s="68"/>
    </row>
    <row r="44" spans="1:12">
      <c r="A44" s="386">
        <v>5.0999999999999996</v>
      </c>
      <c r="B44" s="399" t="s">
        <v>344</v>
      </c>
      <c r="C44" s="392"/>
      <c r="D44" s="392"/>
      <c r="E44" s="390">
        <f t="shared" si="3"/>
        <v>0</v>
      </c>
      <c r="F44" s="392"/>
      <c r="G44" s="392"/>
      <c r="H44" s="390">
        <f t="shared" si="4"/>
        <v>0</v>
      </c>
      <c r="I44" s="68"/>
      <c r="J44" s="68"/>
      <c r="K44" s="68"/>
      <c r="L44" s="68"/>
    </row>
    <row r="45" spans="1:12">
      <c r="A45" s="386">
        <v>5.2</v>
      </c>
      <c r="B45" s="399" t="s">
        <v>125</v>
      </c>
      <c r="C45" s="392"/>
      <c r="D45" s="392"/>
      <c r="E45" s="390">
        <f t="shared" si="3"/>
        <v>0</v>
      </c>
      <c r="F45" s="392"/>
      <c r="G45" s="392"/>
      <c r="H45" s="390">
        <f t="shared" si="4"/>
        <v>0</v>
      </c>
      <c r="I45" s="68"/>
      <c r="J45" s="68"/>
      <c r="K45" s="68"/>
      <c r="L45" s="68"/>
    </row>
    <row r="46" spans="1:12">
      <c r="A46" s="386">
        <v>5.3</v>
      </c>
      <c r="B46" s="399" t="s">
        <v>345</v>
      </c>
      <c r="C46" s="392"/>
      <c r="D46" s="392"/>
      <c r="E46" s="390">
        <f t="shared" si="3"/>
        <v>0</v>
      </c>
      <c r="F46" s="392"/>
      <c r="G46" s="392"/>
      <c r="H46" s="390">
        <f t="shared" si="4"/>
        <v>0</v>
      </c>
      <c r="I46" s="68"/>
      <c r="J46" s="68"/>
      <c r="K46" s="68"/>
      <c r="L46" s="68"/>
    </row>
    <row r="47" spans="1:12">
      <c r="A47" s="386">
        <v>5.4</v>
      </c>
      <c r="B47" s="399" t="s">
        <v>126</v>
      </c>
      <c r="C47" s="392"/>
      <c r="D47" s="392"/>
      <c r="E47" s="390">
        <f t="shared" si="3"/>
        <v>0</v>
      </c>
      <c r="F47" s="392"/>
      <c r="G47" s="392"/>
      <c r="H47" s="390">
        <f t="shared" si="4"/>
        <v>0</v>
      </c>
      <c r="I47" s="68"/>
      <c r="J47" s="68"/>
      <c r="K47" s="68"/>
      <c r="L47" s="68"/>
    </row>
    <row r="48" spans="1:12">
      <c r="A48" s="386">
        <v>6</v>
      </c>
      <c r="B48" s="389" t="s">
        <v>127</v>
      </c>
      <c r="C48" s="390">
        <f>SUM(C49:C52)</f>
        <v>0</v>
      </c>
      <c r="D48" s="390">
        <f>SUM(D49:D52)</f>
        <v>0</v>
      </c>
      <c r="E48" s="390">
        <f t="shared" si="3"/>
        <v>0</v>
      </c>
      <c r="F48" s="390">
        <f>SUM(F49:F52)</f>
        <v>0</v>
      </c>
      <c r="G48" s="390">
        <f>SUM(G49:G52)</f>
        <v>0</v>
      </c>
      <c r="H48" s="390">
        <f t="shared" si="4"/>
        <v>0</v>
      </c>
      <c r="I48" s="68"/>
      <c r="J48" s="68"/>
      <c r="K48" s="68"/>
      <c r="L48" s="68"/>
    </row>
    <row r="49" spans="1:12">
      <c r="A49" s="386">
        <v>6.1</v>
      </c>
      <c r="B49" s="399" t="s">
        <v>128</v>
      </c>
      <c r="C49" s="392"/>
      <c r="D49" s="392"/>
      <c r="E49" s="390">
        <f t="shared" si="3"/>
        <v>0</v>
      </c>
      <c r="F49" s="392"/>
      <c r="G49" s="392"/>
      <c r="H49" s="390">
        <f t="shared" si="4"/>
        <v>0</v>
      </c>
      <c r="I49" s="68"/>
      <c r="J49" s="68"/>
      <c r="K49" s="68"/>
      <c r="L49" s="68"/>
    </row>
    <row r="50" spans="1:12">
      <c r="A50" s="386">
        <v>6.2</v>
      </c>
      <c r="B50" s="399" t="s">
        <v>129</v>
      </c>
      <c r="C50" s="392"/>
      <c r="D50" s="392"/>
      <c r="E50" s="390">
        <f t="shared" si="3"/>
        <v>0</v>
      </c>
      <c r="F50" s="392"/>
      <c r="G50" s="392"/>
      <c r="H50" s="390">
        <f t="shared" si="4"/>
        <v>0</v>
      </c>
      <c r="I50" s="68"/>
      <c r="J50" s="68"/>
      <c r="K50" s="68"/>
      <c r="L50" s="68"/>
    </row>
    <row r="51" spans="1:12">
      <c r="A51" s="386">
        <v>6.3</v>
      </c>
      <c r="B51" s="399" t="s">
        <v>130</v>
      </c>
      <c r="C51" s="392"/>
      <c r="D51" s="392"/>
      <c r="E51" s="390">
        <f t="shared" si="3"/>
        <v>0</v>
      </c>
      <c r="F51" s="392"/>
      <c r="G51" s="392"/>
      <c r="H51" s="390">
        <f t="shared" si="4"/>
        <v>0</v>
      </c>
      <c r="I51" s="68"/>
      <c r="J51" s="68"/>
      <c r="K51" s="68"/>
      <c r="L51" s="68"/>
    </row>
    <row r="52" spans="1:12">
      <c r="A52" s="386">
        <v>6.4</v>
      </c>
      <c r="B52" s="399" t="s">
        <v>126</v>
      </c>
      <c r="C52" s="392"/>
      <c r="D52" s="392"/>
      <c r="E52" s="390">
        <f t="shared" si="3"/>
        <v>0</v>
      </c>
      <c r="F52" s="392"/>
      <c r="G52" s="392"/>
      <c r="H52" s="390">
        <f t="shared" si="4"/>
        <v>0</v>
      </c>
      <c r="I52" s="68"/>
      <c r="J52" s="68"/>
      <c r="K52" s="68"/>
      <c r="L52" s="68"/>
    </row>
    <row r="53" spans="1:12">
      <c r="A53" s="386">
        <v>7</v>
      </c>
      <c r="B53" s="389" t="s">
        <v>131</v>
      </c>
      <c r="C53" s="400">
        <f>SUM(C54:C56)</f>
        <v>14116946.109999999</v>
      </c>
      <c r="D53" s="400">
        <f>SUM(D54:D56)</f>
        <v>0</v>
      </c>
      <c r="E53" s="390">
        <f t="shared" si="3"/>
        <v>14116946.109999999</v>
      </c>
      <c r="F53" s="400">
        <f>SUM(F54:F56)</f>
        <v>658701.38</v>
      </c>
      <c r="G53" s="400">
        <f>SUM(G54:G56)</f>
        <v>0</v>
      </c>
      <c r="H53" s="390">
        <f t="shared" si="4"/>
        <v>658701.38</v>
      </c>
      <c r="I53" s="68"/>
      <c r="J53" s="68"/>
      <c r="K53" s="68"/>
      <c r="L53" s="68"/>
    </row>
    <row r="54" spans="1:12">
      <c r="A54" s="386" t="s">
        <v>132</v>
      </c>
      <c r="B54" s="399" t="s">
        <v>133</v>
      </c>
      <c r="C54" s="392">
        <v>14116946.109999999</v>
      </c>
      <c r="D54" s="392"/>
      <c r="E54" s="390">
        <f t="shared" si="3"/>
        <v>14116946.109999999</v>
      </c>
      <c r="F54" s="392">
        <v>658701.38</v>
      </c>
      <c r="G54" s="392"/>
      <c r="H54" s="390">
        <f t="shared" si="4"/>
        <v>658701.38</v>
      </c>
      <c r="I54" s="68"/>
      <c r="J54" s="68"/>
      <c r="K54" s="68"/>
      <c r="L54" s="68"/>
    </row>
    <row r="55" spans="1:12">
      <c r="A55" s="386" t="s">
        <v>134</v>
      </c>
      <c r="B55" s="399" t="s">
        <v>135</v>
      </c>
      <c r="C55" s="392"/>
      <c r="D55" s="392"/>
      <c r="E55" s="390">
        <f t="shared" si="3"/>
        <v>0</v>
      </c>
      <c r="F55" s="392"/>
      <c r="G55" s="392"/>
      <c r="H55" s="390">
        <f t="shared" si="4"/>
        <v>0</v>
      </c>
      <c r="I55" s="68"/>
    </row>
    <row r="56" spans="1:12">
      <c r="A56" s="386" t="s">
        <v>136</v>
      </c>
      <c r="B56" s="399" t="s">
        <v>137</v>
      </c>
      <c r="C56" s="392"/>
      <c r="D56" s="392"/>
      <c r="E56" s="390">
        <f t="shared" si="3"/>
        <v>0</v>
      </c>
      <c r="F56" s="392"/>
      <c r="G56" s="392"/>
      <c r="H56" s="390">
        <f t="shared" si="4"/>
        <v>0</v>
      </c>
      <c r="I56" s="68"/>
    </row>
    <row r="57" spans="1:12">
      <c r="A57" s="386">
        <v>8</v>
      </c>
      <c r="B57" s="389" t="s">
        <v>138</v>
      </c>
      <c r="C57" s="400">
        <f>SUM(C58:C62)</f>
        <v>5606.71</v>
      </c>
      <c r="D57" s="400">
        <f>SUM(D58:D62)</f>
        <v>7278712.3241999997</v>
      </c>
      <c r="E57" s="390">
        <f t="shared" si="3"/>
        <v>7284319.0341999996</v>
      </c>
      <c r="F57" s="400">
        <f>SUM(F58:F62)</f>
        <v>0</v>
      </c>
      <c r="G57" s="400">
        <f>SUM(G58:G62)</f>
        <v>6227208.9099000003</v>
      </c>
      <c r="H57" s="390">
        <f t="shared" si="4"/>
        <v>6227208.9099000003</v>
      </c>
      <c r="I57" s="68"/>
    </row>
    <row r="58" spans="1:12">
      <c r="A58" s="386" t="s">
        <v>139</v>
      </c>
      <c r="B58" s="399" t="s">
        <v>346</v>
      </c>
      <c r="C58" s="392"/>
      <c r="D58" s="392"/>
      <c r="E58" s="390">
        <f t="shared" si="3"/>
        <v>0</v>
      </c>
      <c r="F58" s="392"/>
      <c r="G58" s="392"/>
      <c r="H58" s="390">
        <f t="shared" si="4"/>
        <v>0</v>
      </c>
      <c r="I58" s="68"/>
    </row>
    <row r="59" spans="1:12">
      <c r="A59" s="386" t="s">
        <v>140</v>
      </c>
      <c r="B59" s="399" t="s">
        <v>347</v>
      </c>
      <c r="C59" s="392">
        <v>5606.71</v>
      </c>
      <c r="D59" s="392">
        <v>990284.38439999998</v>
      </c>
      <c r="E59" s="390">
        <f t="shared" si="3"/>
        <v>995891.09439999994</v>
      </c>
      <c r="F59" s="392"/>
      <c r="G59" s="392">
        <v>137576.7659</v>
      </c>
      <c r="H59" s="390">
        <f t="shared" si="4"/>
        <v>137576.7659</v>
      </c>
    </row>
    <row r="60" spans="1:12">
      <c r="A60" s="386" t="s">
        <v>141</v>
      </c>
      <c r="B60" s="399" t="s">
        <v>142</v>
      </c>
      <c r="C60" s="392"/>
      <c r="D60" s="392"/>
      <c r="E60" s="390">
        <f t="shared" si="3"/>
        <v>0</v>
      </c>
      <c r="F60" s="392"/>
      <c r="G60" s="392"/>
      <c r="H60" s="390">
        <f t="shared" si="4"/>
        <v>0</v>
      </c>
    </row>
    <row r="61" spans="1:12">
      <c r="A61" s="386" t="s">
        <v>143</v>
      </c>
      <c r="B61" s="399" t="s">
        <v>348</v>
      </c>
      <c r="C61" s="392"/>
      <c r="D61" s="392">
        <v>6288427.9397999998</v>
      </c>
      <c r="E61" s="390">
        <f t="shared" si="3"/>
        <v>6288427.9397999998</v>
      </c>
      <c r="F61" s="392"/>
      <c r="G61" s="392">
        <v>6089632.1440000003</v>
      </c>
      <c r="H61" s="390">
        <f t="shared" si="4"/>
        <v>6089632.1440000003</v>
      </c>
    </row>
    <row r="62" spans="1:12">
      <c r="A62" s="386" t="s">
        <v>144</v>
      </c>
      <c r="B62" s="399" t="s">
        <v>145</v>
      </c>
      <c r="C62" s="392"/>
      <c r="D62" s="392"/>
      <c r="E62" s="390">
        <f t="shared" si="3"/>
        <v>0</v>
      </c>
      <c r="F62" s="392"/>
      <c r="G62" s="392"/>
      <c r="H62" s="390">
        <f t="shared" si="4"/>
        <v>0</v>
      </c>
    </row>
    <row r="63" spans="1:12">
      <c r="A63" s="386">
        <v>9</v>
      </c>
      <c r="B63" s="389" t="s">
        <v>146</v>
      </c>
      <c r="C63" s="400">
        <f>SUM(C64:C67)</f>
        <v>33603.93</v>
      </c>
      <c r="D63" s="400">
        <f>SUM(D64:D67)</f>
        <v>0</v>
      </c>
      <c r="E63" s="390">
        <f t="shared" si="3"/>
        <v>33603.93</v>
      </c>
      <c r="F63" s="400">
        <f>SUM(F64:F67)</f>
        <v>30763.23</v>
      </c>
      <c r="G63" s="400">
        <f>SUM(G64:G67)</f>
        <v>0</v>
      </c>
      <c r="H63" s="390">
        <f t="shared" si="4"/>
        <v>30763.23</v>
      </c>
    </row>
    <row r="64" spans="1:12">
      <c r="A64" s="386" t="s">
        <v>147</v>
      </c>
      <c r="B64" s="399" t="s">
        <v>148</v>
      </c>
      <c r="C64" s="392"/>
      <c r="D64" s="392"/>
      <c r="E64" s="390">
        <f t="shared" si="3"/>
        <v>0</v>
      </c>
      <c r="F64" s="392"/>
      <c r="G64" s="392"/>
      <c r="H64" s="390">
        <f t="shared" si="4"/>
        <v>0</v>
      </c>
    </row>
    <row r="65" spans="1:8">
      <c r="A65" s="386" t="s">
        <v>149</v>
      </c>
      <c r="B65" s="399" t="s">
        <v>150</v>
      </c>
      <c r="C65" s="392">
        <v>33556.93</v>
      </c>
      <c r="D65" s="392"/>
      <c r="E65" s="390">
        <f t="shared" si="3"/>
        <v>33556.93</v>
      </c>
      <c r="F65" s="392">
        <v>30712.23</v>
      </c>
      <c r="G65" s="392"/>
      <c r="H65" s="390">
        <f t="shared" si="4"/>
        <v>30712.23</v>
      </c>
    </row>
    <row r="66" spans="1:8">
      <c r="A66" s="386" t="s">
        <v>151</v>
      </c>
      <c r="B66" s="399" t="s">
        <v>152</v>
      </c>
      <c r="C66" s="392">
        <v>47</v>
      </c>
      <c r="D66" s="392"/>
      <c r="E66" s="390">
        <f t="shared" si="3"/>
        <v>47</v>
      </c>
      <c r="F66" s="392">
        <v>51</v>
      </c>
      <c r="G66" s="392"/>
      <c r="H66" s="390">
        <f t="shared" si="4"/>
        <v>51</v>
      </c>
    </row>
    <row r="67" spans="1:8">
      <c r="A67" s="386" t="s">
        <v>153</v>
      </c>
      <c r="B67" s="399" t="s">
        <v>154</v>
      </c>
      <c r="C67" s="392"/>
      <c r="D67" s="392"/>
      <c r="E67" s="390">
        <f t="shared" si="3"/>
        <v>0</v>
      </c>
      <c r="F67" s="392"/>
      <c r="G67" s="392"/>
      <c r="H67" s="390">
        <f t="shared" si="4"/>
        <v>0</v>
      </c>
    </row>
    <row r="68" spans="1:8">
      <c r="A68" s="386">
        <v>10</v>
      </c>
      <c r="B68" s="389" t="s">
        <v>11</v>
      </c>
      <c r="C68" s="400">
        <f>C6+C27+C35+C39+C43+C48+C53+C57+C63</f>
        <v>212821245.5731</v>
      </c>
      <c r="D68" s="400">
        <f>D6+D27+D35+D39+D43+D48+D53+D57+D63</f>
        <v>261556993.1505</v>
      </c>
      <c r="E68" s="390">
        <f t="shared" si="3"/>
        <v>474378238.72360003</v>
      </c>
      <c r="F68" s="400">
        <f>F6+F27+F35+F39+F43+F48+F53+F57+F63</f>
        <v>198456158.11189997</v>
      </c>
      <c r="G68" s="400">
        <f>G6+G27+G35+G39+G43+G48+G53+G57+G63</f>
        <v>300615551.12640005</v>
      </c>
      <c r="H68" s="390">
        <f t="shared" si="4"/>
        <v>499071709.23830003</v>
      </c>
    </row>
    <row r="69" spans="1:8">
      <c r="A69" s="380"/>
      <c r="B69" s="380"/>
      <c r="C69" s="380"/>
      <c r="D69" s="380"/>
      <c r="E69" s="380"/>
      <c r="F69" s="380"/>
      <c r="G69" s="380"/>
      <c r="H69" s="380"/>
    </row>
    <row r="70" spans="1:8">
      <c r="A70" s="380" t="str">
        <f>'RC'!A43</f>
        <v>*</v>
      </c>
      <c r="B70" s="380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380"/>
      <c r="D70" s="380"/>
      <c r="E70" s="380"/>
      <c r="F70" s="380"/>
      <c r="G70" s="380"/>
      <c r="H70" s="380"/>
    </row>
    <row r="71" spans="1:8">
      <c r="A71" s="380" t="s">
        <v>349</v>
      </c>
      <c r="B71" s="380" t="s">
        <v>350</v>
      </c>
      <c r="C71" s="380"/>
      <c r="D71" s="380"/>
      <c r="E71" s="380"/>
      <c r="F71" s="380"/>
      <c r="G71" s="380"/>
      <c r="H71" s="380"/>
    </row>
  </sheetData>
  <mergeCells count="2">
    <mergeCell ref="C4:E4"/>
    <mergeCell ref="F4:H4"/>
  </mergeCells>
  <pageMargins left="0.42" right="0.26" top="0.17" bottom="0.16" header="0.17" footer="0.16"/>
  <pageSetup scale="7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43"/>
  <sheetViews>
    <sheetView workbookViewId="0">
      <selection activeCell="E12" sqref="E12"/>
    </sheetView>
  </sheetViews>
  <sheetFormatPr defaultColWidth="9.140625" defaultRowHeight="15"/>
  <cols>
    <col min="1" max="1" width="7.7109375" style="32" customWidth="1"/>
    <col min="2" max="2" width="59.7109375" style="32" customWidth="1"/>
    <col min="3" max="4" width="17.7109375" style="32" customWidth="1"/>
    <col min="5" max="5" width="12.42578125" style="32" customWidth="1"/>
    <col min="6" max="9" width="11.85546875" style="32" customWidth="1"/>
    <col min="10" max="10" width="9.140625" style="32"/>
    <col min="11" max="11" width="13.5703125" style="32" bestFit="1" customWidth="1"/>
    <col min="12" max="16384" width="9.140625" style="32"/>
  </cols>
  <sheetData>
    <row r="2" spans="1:11">
      <c r="A2" s="7" t="s">
        <v>0</v>
      </c>
      <c r="B2" s="35" t="s">
        <v>1</v>
      </c>
      <c r="C2" s="3"/>
      <c r="D2" s="75"/>
    </row>
    <row r="3" spans="1:11">
      <c r="A3" s="7" t="s">
        <v>2</v>
      </c>
      <c r="B3" s="70" t="str">
        <f>'RC'!B3</f>
        <v>31.03.2017</v>
      </c>
      <c r="C3" s="3"/>
      <c r="D3" s="76"/>
    </row>
    <row r="4" spans="1:11" ht="16.5" thickBot="1">
      <c r="B4" s="77" t="s">
        <v>155</v>
      </c>
      <c r="C4" s="3"/>
      <c r="D4" s="78"/>
    </row>
    <row r="5" spans="1:11" ht="54">
      <c r="A5" s="79"/>
      <c r="B5" s="80"/>
      <c r="C5" s="81" t="s">
        <v>5</v>
      </c>
      <c r="D5" s="82" t="s">
        <v>6</v>
      </c>
    </row>
    <row r="6" spans="1:11">
      <c r="A6" s="83"/>
      <c r="B6" s="84" t="s">
        <v>156</v>
      </c>
      <c r="C6" s="85"/>
      <c r="D6" s="86"/>
    </row>
    <row r="7" spans="1:11">
      <c r="A7" s="83">
        <v>1</v>
      </c>
      <c r="B7" s="117" t="s">
        <v>309</v>
      </c>
      <c r="C7" s="113">
        <f>ROUND('A-CAn'!I6,4)</f>
        <v>0.46779999999999999</v>
      </c>
      <c r="D7" s="113">
        <v>0.43509999999999999</v>
      </c>
    </row>
    <row r="8" spans="1:11">
      <c r="A8" s="83">
        <v>2</v>
      </c>
      <c r="B8" s="117" t="s">
        <v>310</v>
      </c>
      <c r="C8" s="113">
        <f>ROUND('A-CAn'!I7,4)</f>
        <v>0.48570000000000002</v>
      </c>
      <c r="D8" s="113">
        <v>0.45400000000000001</v>
      </c>
    </row>
    <row r="9" spans="1:11">
      <c r="A9" s="83">
        <v>3</v>
      </c>
      <c r="B9" s="374" t="s">
        <v>157</v>
      </c>
      <c r="C9" s="113">
        <f>ROUND('A-CAn'!J77/'RC'!E20,4)</f>
        <v>0.80259999999999998</v>
      </c>
      <c r="D9" s="113">
        <v>0.78859999999999997</v>
      </c>
      <c r="E9" s="115"/>
    </row>
    <row r="10" spans="1:11">
      <c r="A10" s="83">
        <v>4</v>
      </c>
      <c r="B10" s="374" t="s">
        <v>158</v>
      </c>
      <c r="C10" s="113"/>
      <c r="D10" s="87">
        <v>0</v>
      </c>
      <c r="F10" s="116"/>
    </row>
    <row r="11" spans="1:11">
      <c r="A11" s="83"/>
      <c r="B11" s="373" t="s">
        <v>159</v>
      </c>
      <c r="C11" s="113"/>
      <c r="D11" s="87"/>
      <c r="F11" s="116"/>
    </row>
    <row r="12" spans="1:11" ht="30">
      <c r="A12" s="83">
        <v>5</v>
      </c>
      <c r="B12" s="374" t="s">
        <v>160</v>
      </c>
      <c r="C12" s="97">
        <v>7.2602E-2</v>
      </c>
      <c r="D12" s="87">
        <v>8.2299999999999998E-2</v>
      </c>
      <c r="F12" s="116"/>
    </row>
    <row r="13" spans="1:11">
      <c r="A13" s="83">
        <v>6</v>
      </c>
      <c r="B13" s="374" t="s">
        <v>161</v>
      </c>
      <c r="C13" s="118">
        <v>1.7495E-2</v>
      </c>
      <c r="D13" s="87">
        <v>3.1199999999999999E-2</v>
      </c>
      <c r="F13" s="116"/>
      <c r="K13" s="114"/>
    </row>
    <row r="14" spans="1:11">
      <c r="A14" s="83">
        <v>7</v>
      </c>
      <c r="B14" s="374" t="s">
        <v>162</v>
      </c>
      <c r="C14" s="113">
        <f>ROUND((RI!E31+RI!E45-RI!E38-RI!E39-RI!E41-RI!E42-RI!E53)*0.000000014985,4)</f>
        <v>2.1299999999999999E-2</v>
      </c>
      <c r="D14" s="113">
        <v>2.1700000000000001E-2</v>
      </c>
      <c r="F14" s="116"/>
      <c r="K14" s="114"/>
    </row>
    <row r="15" spans="1:11">
      <c r="A15" s="83">
        <v>8</v>
      </c>
      <c r="B15" s="374" t="s">
        <v>163</v>
      </c>
      <c r="C15" s="113">
        <v>5.5107000000000003E-2</v>
      </c>
      <c r="D15" s="87">
        <v>5.11E-2</v>
      </c>
    </row>
    <row r="16" spans="1:11">
      <c r="A16" s="83">
        <v>9</v>
      </c>
      <c r="B16" s="374" t="s">
        <v>164</v>
      </c>
      <c r="C16" s="113">
        <v>2.1332E-2</v>
      </c>
      <c r="D16" s="87">
        <v>2.5700000000000001E-2</v>
      </c>
    </row>
    <row r="17" spans="1:4">
      <c r="A17" s="83">
        <v>10</v>
      </c>
      <c r="B17" s="374" t="s">
        <v>165</v>
      </c>
      <c r="C17" s="113">
        <v>5.5627000000000003E-2</v>
      </c>
      <c r="D17" s="87">
        <v>7.7799999999999994E-2</v>
      </c>
    </row>
    <row r="18" spans="1:4">
      <c r="A18" s="83"/>
      <c r="B18" s="373" t="s">
        <v>166</v>
      </c>
      <c r="C18" s="113"/>
      <c r="D18" s="87"/>
    </row>
    <row r="19" spans="1:4">
      <c r="A19" s="83">
        <v>11</v>
      </c>
      <c r="B19" s="374" t="s">
        <v>167</v>
      </c>
      <c r="C19" s="97">
        <v>6.4499999999999996E-4</v>
      </c>
      <c r="D19" s="87">
        <v>1.2800000000000001E-2</v>
      </c>
    </row>
    <row r="20" spans="1:4">
      <c r="A20" s="83">
        <v>12</v>
      </c>
      <c r="B20" s="374" t="s">
        <v>168</v>
      </c>
      <c r="C20" s="97">
        <f>-'RC'!E13/'RC'!E12</f>
        <v>2.5008885068513224E-2</v>
      </c>
      <c r="D20" s="97">
        <v>3.7499999999999999E-2</v>
      </c>
    </row>
    <row r="21" spans="1:4">
      <c r="A21" s="83">
        <v>13</v>
      </c>
      <c r="B21" s="374" t="s">
        <v>169</v>
      </c>
      <c r="C21" s="97">
        <f>'RC'!D12/'RC'!E12</f>
        <v>0.25883850710855372</v>
      </c>
      <c r="D21" s="97">
        <v>0.26829999999999998</v>
      </c>
    </row>
    <row r="22" spans="1:4">
      <c r="A22" s="83">
        <v>14</v>
      </c>
      <c r="B22" s="374" t="s">
        <v>170</v>
      </c>
      <c r="C22" s="97">
        <f>'RC'!D20/'RC'!E20</f>
        <v>0.41397520129976528</v>
      </c>
      <c r="D22" s="97">
        <v>0.40179999999999999</v>
      </c>
    </row>
    <row r="23" spans="1:4">
      <c r="A23" s="83">
        <v>15</v>
      </c>
      <c r="B23" s="374" t="s">
        <v>171</v>
      </c>
      <c r="C23" s="97">
        <v>0.12778400000000001</v>
      </c>
      <c r="D23" s="87">
        <v>-7.4499999999999997E-2</v>
      </c>
    </row>
    <row r="24" spans="1:4">
      <c r="A24" s="83"/>
      <c r="B24" s="373" t="s">
        <v>172</v>
      </c>
      <c r="C24" s="113"/>
      <c r="D24" s="87"/>
    </row>
    <row r="25" spans="1:4">
      <c r="A25" s="83">
        <v>16</v>
      </c>
      <c r="B25" s="374" t="s">
        <v>173</v>
      </c>
      <c r="C25" s="402">
        <v>0.12470000000000001</v>
      </c>
      <c r="D25" s="87">
        <v>0.1042</v>
      </c>
    </row>
    <row r="26" spans="1:4" ht="30">
      <c r="A26" s="83">
        <v>17</v>
      </c>
      <c r="B26" s="374" t="s">
        <v>174</v>
      </c>
      <c r="C26" s="97">
        <f>'RC'!D31/'RC'!E31</f>
        <v>0.70263321954580837</v>
      </c>
      <c r="D26" s="97">
        <v>0.64449999999999996</v>
      </c>
    </row>
    <row r="27" spans="1:4" ht="15.75" thickBot="1">
      <c r="A27" s="88">
        <v>18</v>
      </c>
      <c r="B27" s="89" t="s">
        <v>175</v>
      </c>
      <c r="C27" s="99">
        <f>('RC'!E23+'RC'!E24)/'RC'!E20</f>
        <v>2.3627481159976614E-2</v>
      </c>
      <c r="D27" s="99">
        <v>9.6299999999999997E-2</v>
      </c>
    </row>
    <row r="28" spans="1:4">
      <c r="A28" s="90"/>
      <c r="B28" s="91"/>
      <c r="C28" s="90"/>
      <c r="D28" s="90"/>
    </row>
    <row r="29" spans="1:4">
      <c r="A29" s="32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B29" s="90"/>
      <c r="C29" s="90"/>
    </row>
    <row r="30" spans="1:4">
      <c r="A30" s="90"/>
      <c r="B30" s="30"/>
      <c r="C30" s="90"/>
      <c r="D30" s="90"/>
    </row>
    <row r="31" spans="1:4">
      <c r="A31" s="90"/>
      <c r="B31" s="30"/>
      <c r="C31" s="92"/>
      <c r="D31" s="90"/>
    </row>
    <row r="32" spans="1:4">
      <c r="A32" s="90"/>
      <c r="B32" s="91"/>
      <c r="C32" s="90"/>
      <c r="D32" s="90"/>
    </row>
    <row r="33" spans="1:5">
      <c r="A33" s="90"/>
      <c r="B33" s="91"/>
      <c r="C33" s="90"/>
      <c r="D33" s="90"/>
    </row>
    <row r="34" spans="1:5">
      <c r="A34" s="90"/>
      <c r="B34" s="91"/>
      <c r="C34" s="90"/>
      <c r="D34" s="90"/>
    </row>
    <row r="35" spans="1:5">
      <c r="A35" s="90"/>
      <c r="B35" s="91"/>
      <c r="C35" s="90"/>
      <c r="D35" s="90"/>
    </row>
    <row r="36" spans="1:5">
      <c r="A36" s="90"/>
      <c r="B36" s="91"/>
      <c r="C36" s="90"/>
      <c r="D36" s="90"/>
    </row>
    <row r="37" spans="1:5">
      <c r="A37" s="90"/>
      <c r="B37" s="91"/>
      <c r="C37" s="92"/>
      <c r="D37" s="90"/>
    </row>
    <row r="38" spans="1:5">
      <c r="C38" s="90"/>
      <c r="D38" s="90"/>
      <c r="E38" s="90"/>
    </row>
    <row r="39" spans="1:5">
      <c r="C39" s="92"/>
      <c r="D39" s="90"/>
      <c r="E39" s="90"/>
    </row>
    <row r="40" spans="1:5">
      <c r="C40" s="90"/>
      <c r="D40" s="90"/>
      <c r="E40" s="90"/>
    </row>
    <row r="41" spans="1:5">
      <c r="B41" s="93"/>
      <c r="C41" s="92"/>
      <c r="D41" s="90"/>
      <c r="E41" s="90"/>
    </row>
    <row r="42" spans="1:5">
      <c r="B42" s="94"/>
      <c r="C42" s="90"/>
      <c r="D42" s="90"/>
      <c r="E42" s="90"/>
    </row>
    <row r="43" spans="1:5">
      <c r="C43" s="90"/>
      <c r="D43" s="90"/>
      <c r="E43" s="90"/>
    </row>
  </sheetData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1"/>
  <sheetViews>
    <sheetView workbookViewId="0"/>
  </sheetViews>
  <sheetFormatPr defaultColWidth="9.140625" defaultRowHeight="15"/>
  <cols>
    <col min="1" max="1" width="5.28515625" style="32" customWidth="1"/>
    <col min="2" max="2" width="55" style="32" customWidth="1"/>
    <col min="3" max="3" width="21.85546875" style="32" customWidth="1"/>
    <col min="4" max="4" width="9.140625" style="32" customWidth="1"/>
    <col min="5" max="16384" width="9.140625" style="32"/>
  </cols>
  <sheetData>
    <row r="1" spans="1:3">
      <c r="B1" s="7" t="s">
        <v>0</v>
      </c>
      <c r="C1" s="68" t="s">
        <v>1</v>
      </c>
    </row>
    <row r="2" spans="1:3">
      <c r="B2" s="7" t="s">
        <v>2</v>
      </c>
      <c r="C2" s="32" t="str">
        <f>ratio!B3</f>
        <v>31.03.2017</v>
      </c>
    </row>
    <row r="3" spans="1:3" ht="30.75">
      <c r="A3" s="91"/>
      <c r="B3" s="95" t="s">
        <v>176</v>
      </c>
      <c r="C3"/>
    </row>
    <row r="4" spans="1:3">
      <c r="A4" s="79"/>
      <c r="B4" s="412" t="s">
        <v>177</v>
      </c>
      <c r="C4" s="413"/>
    </row>
    <row r="5" spans="1:3">
      <c r="A5" s="83">
        <v>1</v>
      </c>
      <c r="B5" s="414" t="s">
        <v>186</v>
      </c>
      <c r="C5" s="415"/>
    </row>
    <row r="6" spans="1:3">
      <c r="A6" s="83">
        <v>2</v>
      </c>
      <c r="B6" s="414" t="s">
        <v>353</v>
      </c>
      <c r="C6" s="415"/>
    </row>
    <row r="7" spans="1:3">
      <c r="A7" s="83">
        <v>3</v>
      </c>
      <c r="B7" s="414" t="s">
        <v>354</v>
      </c>
      <c r="C7" s="415"/>
    </row>
    <row r="8" spans="1:3">
      <c r="A8" s="83">
        <v>4</v>
      </c>
      <c r="B8" s="414" t="s">
        <v>355</v>
      </c>
      <c r="C8" s="415"/>
    </row>
    <row r="9" spans="1:3">
      <c r="A9" s="83">
        <v>5</v>
      </c>
      <c r="B9" s="414"/>
      <c r="C9" s="415"/>
    </row>
    <row r="10" spans="1:3">
      <c r="A10" s="83"/>
      <c r="B10" s="416" t="s">
        <v>178</v>
      </c>
      <c r="C10" s="417"/>
    </row>
    <row r="11" spans="1:3">
      <c r="A11" s="83">
        <v>1</v>
      </c>
      <c r="B11" s="414" t="s">
        <v>311</v>
      </c>
      <c r="C11" s="415"/>
    </row>
    <row r="12" spans="1:3">
      <c r="A12" s="83">
        <v>2</v>
      </c>
      <c r="B12" s="414" t="s">
        <v>187</v>
      </c>
      <c r="C12" s="415"/>
    </row>
    <row r="13" spans="1:3">
      <c r="A13" s="83">
        <v>3</v>
      </c>
      <c r="B13" s="414" t="s">
        <v>181</v>
      </c>
      <c r="C13" s="415"/>
    </row>
    <row r="14" spans="1:3">
      <c r="A14" s="83">
        <v>4</v>
      </c>
      <c r="B14" s="414"/>
      <c r="C14" s="415"/>
    </row>
    <row r="15" spans="1:3">
      <c r="A15" s="83">
        <v>5</v>
      </c>
      <c r="B15" s="414"/>
      <c r="C15" s="415"/>
    </row>
    <row r="16" spans="1:3">
      <c r="A16" s="83">
        <v>6</v>
      </c>
      <c r="B16" s="414"/>
      <c r="C16" s="415"/>
    </row>
    <row r="17" spans="1:3">
      <c r="A17" s="83">
        <v>7</v>
      </c>
      <c r="B17" s="414"/>
      <c r="C17" s="415"/>
    </row>
    <row r="18" spans="1:3">
      <c r="A18" s="83">
        <v>8</v>
      </c>
      <c r="B18" s="414"/>
      <c r="C18" s="415"/>
    </row>
    <row r="19" spans="1:3" ht="36.75" customHeight="1">
      <c r="A19" s="83"/>
      <c r="B19" s="416" t="s">
        <v>179</v>
      </c>
      <c r="C19" s="417"/>
    </row>
    <row r="20" spans="1:3">
      <c r="A20" s="83">
        <v>1</v>
      </c>
      <c r="B20" s="111" t="s">
        <v>182</v>
      </c>
      <c r="C20" s="112">
        <v>1</v>
      </c>
    </row>
    <row r="21" spans="1:3">
      <c r="A21" s="83">
        <v>2</v>
      </c>
      <c r="B21" s="96"/>
      <c r="C21" s="97"/>
    </row>
    <row r="22" spans="1:3">
      <c r="A22" s="83">
        <v>3</v>
      </c>
      <c r="B22" s="96"/>
      <c r="C22" s="97"/>
    </row>
    <row r="23" spans="1:3">
      <c r="A23" s="83">
        <v>4</v>
      </c>
      <c r="B23" s="96"/>
      <c r="C23" s="97"/>
    </row>
    <row r="24" spans="1:3">
      <c r="A24" s="83">
        <v>5</v>
      </c>
      <c r="B24" s="96"/>
      <c r="C24" s="97"/>
    </row>
    <row r="25" spans="1:3">
      <c r="A25" s="83">
        <v>6</v>
      </c>
      <c r="B25" s="96"/>
      <c r="C25" s="97"/>
    </row>
    <row r="26" spans="1:3" ht="51.75" customHeight="1">
      <c r="A26" s="83"/>
      <c r="B26" s="418" t="s">
        <v>180</v>
      </c>
      <c r="C26" s="419"/>
    </row>
    <row r="27" spans="1:3">
      <c r="A27" s="83">
        <v>1</v>
      </c>
      <c r="B27" s="96" t="s">
        <v>183</v>
      </c>
      <c r="C27" s="97">
        <v>0.1</v>
      </c>
    </row>
    <row r="28" spans="1:3">
      <c r="A28" s="83">
        <v>2</v>
      </c>
      <c r="B28" s="96" t="s">
        <v>184</v>
      </c>
      <c r="C28" s="97">
        <v>0.45</v>
      </c>
    </row>
    <row r="29" spans="1:3">
      <c r="A29" s="88">
        <v>3</v>
      </c>
      <c r="B29" s="98" t="s">
        <v>185</v>
      </c>
      <c r="C29" s="99">
        <v>0.45</v>
      </c>
    </row>
    <row r="31" spans="1:3" ht="24" customHeight="1">
      <c r="B31" s="420"/>
      <c r="C31" s="420"/>
    </row>
  </sheetData>
  <mergeCells count="18"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12:C12"/>
    <mergeCell ref="B10:C10"/>
    <mergeCell ref="B9:C9"/>
    <mergeCell ref="B8:C8"/>
    <mergeCell ref="B11:C11"/>
  </mergeCells>
  <pageMargins left="0.75" right="0.75" top="0.44" bottom="0.31" header="0.28999999999999998" footer="0.18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J116"/>
  <sheetViews>
    <sheetView workbookViewId="0">
      <selection activeCell="M22" sqref="M22"/>
    </sheetView>
  </sheetViews>
  <sheetFormatPr defaultColWidth="9.140625" defaultRowHeight="12.75"/>
  <cols>
    <col min="9" max="9" width="10.85546875" bestFit="1" customWidth="1"/>
  </cols>
  <sheetData>
    <row r="1" spans="1:10">
      <c r="A1" s="119" t="s">
        <v>0</v>
      </c>
      <c r="B1" s="120">
        <f>'RC'!B1</f>
        <v>0</v>
      </c>
      <c r="C1" s="121"/>
      <c r="D1" s="121"/>
      <c r="E1" s="121"/>
      <c r="F1" s="122"/>
      <c r="G1" s="122"/>
      <c r="H1" s="122"/>
      <c r="I1" s="122"/>
      <c r="J1" s="122"/>
    </row>
    <row r="2" spans="1:10">
      <c r="A2" s="119" t="s">
        <v>2</v>
      </c>
      <c r="B2" s="123" t="str">
        <f>'RC'!B2</f>
        <v>სს " პაშა ბანკი საქართველო"</v>
      </c>
      <c r="C2" s="121"/>
      <c r="D2" s="121"/>
      <c r="E2" s="121"/>
      <c r="F2" s="122"/>
      <c r="G2" s="122"/>
      <c r="H2" s="122"/>
      <c r="I2" s="122"/>
      <c r="J2" s="122"/>
    </row>
    <row r="3" spans="1:10">
      <c r="A3" s="121"/>
      <c r="B3" s="124"/>
      <c r="C3" s="121"/>
      <c r="D3" s="121"/>
      <c r="E3" s="121"/>
      <c r="F3" s="122"/>
      <c r="G3" s="122"/>
      <c r="H3" s="122"/>
      <c r="I3" s="122"/>
      <c r="J3" s="122"/>
    </row>
    <row r="4" spans="1:10">
      <c r="A4" s="125" t="s">
        <v>188</v>
      </c>
      <c r="B4" s="126" t="s">
        <v>189</v>
      </c>
      <c r="C4" s="126"/>
      <c r="D4" s="127"/>
      <c r="E4" s="127"/>
      <c r="F4" s="127"/>
      <c r="G4" s="127"/>
      <c r="H4" s="127"/>
      <c r="I4" s="127"/>
      <c r="J4" s="128" t="s">
        <v>190</v>
      </c>
    </row>
    <row r="5" spans="1:10">
      <c r="A5" s="129"/>
      <c r="B5" s="130"/>
      <c r="C5" s="130"/>
      <c r="D5" s="130"/>
      <c r="E5" s="130"/>
      <c r="F5" s="130"/>
      <c r="G5" s="130"/>
      <c r="H5" s="130"/>
      <c r="I5" s="130"/>
      <c r="J5" s="122"/>
    </row>
    <row r="6" spans="1:10">
      <c r="A6" s="131">
        <v>1</v>
      </c>
      <c r="B6" s="474" t="s">
        <v>191</v>
      </c>
      <c r="C6" s="474"/>
      <c r="D6" s="474"/>
      <c r="E6" s="474"/>
      <c r="F6" s="474"/>
      <c r="G6" s="474"/>
      <c r="H6" s="475"/>
      <c r="I6" s="132">
        <f>IFERROR(I20/J77,0)</f>
        <v>0.46780613435669949</v>
      </c>
      <c r="J6" s="133"/>
    </row>
    <row r="7" spans="1:10">
      <c r="A7" s="134">
        <v>2</v>
      </c>
      <c r="B7" s="476" t="s">
        <v>192</v>
      </c>
      <c r="C7" s="476"/>
      <c r="D7" s="476"/>
      <c r="E7" s="476"/>
      <c r="F7" s="476"/>
      <c r="G7" s="476"/>
      <c r="H7" s="477"/>
      <c r="I7" s="135">
        <f>IFERROR(I32/J77,0)</f>
        <v>0.48571978065375548</v>
      </c>
      <c r="J7" s="133"/>
    </row>
    <row r="8" spans="1:10">
      <c r="A8" s="129"/>
      <c r="B8" s="130"/>
      <c r="C8" s="130"/>
      <c r="D8" s="130"/>
      <c r="E8" s="130"/>
      <c r="F8" s="130"/>
      <c r="G8" s="130"/>
      <c r="H8" s="130"/>
      <c r="I8" s="130"/>
      <c r="J8" s="130"/>
    </row>
    <row r="9" spans="1:10">
      <c r="A9" s="129"/>
      <c r="B9" s="130"/>
      <c r="C9" s="130"/>
      <c r="D9" s="130"/>
      <c r="E9" s="130"/>
      <c r="F9" s="130"/>
      <c r="G9" s="130"/>
      <c r="H9" s="130"/>
      <c r="I9" s="130"/>
      <c r="J9" s="130"/>
    </row>
    <row r="10" spans="1:10">
      <c r="A10" s="125" t="s">
        <v>193</v>
      </c>
      <c r="B10" s="136" t="s">
        <v>194</v>
      </c>
      <c r="C10" s="137"/>
      <c r="D10" s="138"/>
      <c r="E10" s="138"/>
      <c r="F10" s="138"/>
      <c r="G10" s="138"/>
      <c r="H10" s="138"/>
      <c r="I10" s="138"/>
      <c r="J10" s="130"/>
    </row>
    <row r="11" spans="1:10">
      <c r="A11" s="125"/>
      <c r="B11" s="137"/>
      <c r="C11" s="137"/>
      <c r="D11" s="138"/>
      <c r="E11" s="138"/>
      <c r="F11" s="138"/>
      <c r="G11" s="138"/>
      <c r="H11" s="138"/>
      <c r="I11" s="138"/>
      <c r="J11" s="138"/>
    </row>
    <row r="12" spans="1:10">
      <c r="A12" s="139" t="s">
        <v>7</v>
      </c>
      <c r="B12" s="478"/>
      <c r="C12" s="478"/>
      <c r="D12" s="478"/>
      <c r="E12" s="478"/>
      <c r="F12" s="478"/>
      <c r="G12" s="478"/>
      <c r="H12" s="478"/>
      <c r="I12" s="140" t="s">
        <v>9</v>
      </c>
      <c r="J12" s="141"/>
    </row>
    <row r="13" spans="1:10">
      <c r="A13" s="142">
        <v>1</v>
      </c>
      <c r="B13" s="472" t="s">
        <v>195</v>
      </c>
      <c r="C13" s="472"/>
      <c r="D13" s="472"/>
      <c r="E13" s="472"/>
      <c r="F13" s="472"/>
      <c r="G13" s="472"/>
      <c r="H13" s="472"/>
      <c r="I13" s="143">
        <f>'RI-C'!E20+'RI-C'!E22</f>
        <v>103000000</v>
      </c>
      <c r="J13" s="144"/>
    </row>
    <row r="14" spans="1:10">
      <c r="A14" s="142">
        <v>2</v>
      </c>
      <c r="B14" s="472" t="s">
        <v>196</v>
      </c>
      <c r="C14" s="472"/>
      <c r="D14" s="472"/>
      <c r="E14" s="472"/>
      <c r="F14" s="472"/>
      <c r="G14" s="472"/>
      <c r="H14" s="472"/>
      <c r="I14" s="145">
        <v>0</v>
      </c>
      <c r="J14" s="146"/>
    </row>
    <row r="15" spans="1:10">
      <c r="A15" s="142">
        <v>3</v>
      </c>
      <c r="B15" s="472" t="s">
        <v>197</v>
      </c>
      <c r="C15" s="472"/>
      <c r="D15" s="472"/>
      <c r="E15" s="472"/>
      <c r="F15" s="472"/>
      <c r="G15" s="472"/>
      <c r="H15" s="472"/>
      <c r="I15" s="143">
        <f>'RI-C'!E24+'RI-C'!E25</f>
        <v>0</v>
      </c>
      <c r="J15" s="144"/>
    </row>
    <row r="16" spans="1:10">
      <c r="A16" s="142">
        <v>4</v>
      </c>
      <c r="B16" s="472" t="s">
        <v>198</v>
      </c>
      <c r="C16" s="472"/>
      <c r="D16" s="472"/>
      <c r="E16" s="472"/>
      <c r="F16" s="472"/>
      <c r="G16" s="472"/>
      <c r="H16" s="472"/>
      <c r="I16" s="143">
        <f>'RI-C'!E27</f>
        <v>0</v>
      </c>
      <c r="J16" s="144"/>
    </row>
    <row r="17" spans="1:10">
      <c r="A17" s="142">
        <v>5</v>
      </c>
      <c r="B17" s="472" t="s">
        <v>199</v>
      </c>
      <c r="C17" s="472"/>
      <c r="D17" s="472"/>
      <c r="E17" s="472"/>
      <c r="F17" s="472"/>
      <c r="G17" s="472"/>
      <c r="H17" s="472"/>
      <c r="I17" s="143">
        <f>'RI-C'!E30</f>
        <v>-1794631.59</v>
      </c>
      <c r="J17" s="144"/>
    </row>
    <row r="18" spans="1:10">
      <c r="A18" s="142">
        <v>6</v>
      </c>
      <c r="B18" s="467" t="s">
        <v>200</v>
      </c>
      <c r="C18" s="467"/>
      <c r="D18" s="467"/>
      <c r="E18" s="467"/>
      <c r="F18" s="467"/>
      <c r="G18" s="467"/>
      <c r="H18" s="467"/>
      <c r="I18" s="145">
        <v>0</v>
      </c>
      <c r="J18" s="146"/>
    </row>
    <row r="19" spans="1:10">
      <c r="A19" s="147">
        <v>7</v>
      </c>
      <c r="B19" s="468" t="s">
        <v>201</v>
      </c>
      <c r="C19" s="468"/>
      <c r="D19" s="468"/>
      <c r="E19" s="468"/>
      <c r="F19" s="468"/>
      <c r="G19" s="468"/>
      <c r="H19" s="468"/>
      <c r="I19" s="148">
        <v>-2186046.08</v>
      </c>
      <c r="J19" s="149"/>
    </row>
    <row r="20" spans="1:10">
      <c r="A20" s="150">
        <v>8</v>
      </c>
      <c r="B20" s="469" t="s">
        <v>202</v>
      </c>
      <c r="C20" s="469"/>
      <c r="D20" s="469"/>
      <c r="E20" s="469"/>
      <c r="F20" s="469"/>
      <c r="G20" s="469"/>
      <c r="H20" s="469"/>
      <c r="I20" s="151">
        <f>SUM(I13:I19)</f>
        <v>99019322.329999998</v>
      </c>
      <c r="J20" s="152"/>
    </row>
    <row r="21" spans="1:10">
      <c r="A21" s="153">
        <v>9</v>
      </c>
      <c r="B21" s="473" t="s">
        <v>203</v>
      </c>
      <c r="C21" s="473"/>
      <c r="D21" s="473"/>
      <c r="E21" s="473"/>
      <c r="F21" s="473"/>
      <c r="G21" s="473"/>
      <c r="H21" s="473"/>
      <c r="I21" s="154">
        <f>'RI-C'!E31</f>
        <v>1423545.1800000004</v>
      </c>
      <c r="J21" s="144"/>
    </row>
    <row r="22" spans="1:10">
      <c r="A22" s="142">
        <v>10</v>
      </c>
      <c r="B22" s="472" t="s">
        <v>204</v>
      </c>
      <c r="C22" s="472"/>
      <c r="D22" s="472"/>
      <c r="E22" s="472"/>
      <c r="F22" s="472"/>
      <c r="G22" s="472"/>
      <c r="H22" s="472"/>
      <c r="I22" s="143">
        <f>'RI-C'!E28</f>
        <v>0</v>
      </c>
      <c r="J22" s="144"/>
    </row>
    <row r="23" spans="1:10">
      <c r="A23" s="142">
        <v>11</v>
      </c>
      <c r="B23" s="472" t="s">
        <v>205</v>
      </c>
      <c r="C23" s="472"/>
      <c r="D23" s="472"/>
      <c r="E23" s="472"/>
      <c r="F23" s="472"/>
      <c r="G23" s="472"/>
      <c r="H23" s="472"/>
      <c r="I23" s="145">
        <v>2368190.2987000002</v>
      </c>
      <c r="J23" s="146"/>
    </row>
    <row r="24" spans="1:10">
      <c r="A24" s="142">
        <v>12</v>
      </c>
      <c r="B24" s="472" t="s">
        <v>206</v>
      </c>
      <c r="C24" s="472"/>
      <c r="D24" s="472"/>
      <c r="E24" s="472"/>
      <c r="F24" s="472"/>
      <c r="G24" s="472"/>
      <c r="H24" s="472"/>
      <c r="I24" s="145">
        <v>0</v>
      </c>
      <c r="J24" s="146"/>
    </row>
    <row r="25" spans="1:10">
      <c r="A25" s="142">
        <v>13</v>
      </c>
      <c r="B25" s="472" t="s">
        <v>207</v>
      </c>
      <c r="C25" s="472"/>
      <c r="D25" s="472"/>
      <c r="E25" s="472"/>
      <c r="F25" s="472"/>
      <c r="G25" s="472"/>
      <c r="H25" s="472"/>
      <c r="I25" s="145"/>
      <c r="J25" s="146"/>
    </row>
    <row r="26" spans="1:10">
      <c r="A26" s="142">
        <v>14</v>
      </c>
      <c r="B26" s="472" t="s">
        <v>208</v>
      </c>
      <c r="C26" s="472"/>
      <c r="D26" s="472"/>
      <c r="E26" s="472"/>
      <c r="F26" s="472"/>
      <c r="G26" s="472"/>
      <c r="H26" s="472"/>
      <c r="I26" s="155"/>
      <c r="J26" s="146"/>
    </row>
    <row r="27" spans="1:10">
      <c r="A27" s="142">
        <v>15</v>
      </c>
      <c r="B27" s="466" t="s">
        <v>209</v>
      </c>
      <c r="C27" s="466"/>
      <c r="D27" s="466"/>
      <c r="E27" s="466"/>
      <c r="F27" s="466"/>
      <c r="G27" s="466"/>
      <c r="H27" s="466"/>
      <c r="I27" s="156">
        <f>SUM(I21:I26)</f>
        <v>3791735.4787000008</v>
      </c>
      <c r="J27" s="157"/>
    </row>
    <row r="28" spans="1:10">
      <c r="A28" s="142">
        <v>16</v>
      </c>
      <c r="B28" s="466" t="s">
        <v>210</v>
      </c>
      <c r="C28" s="466"/>
      <c r="D28" s="466"/>
      <c r="E28" s="466"/>
      <c r="F28" s="466"/>
      <c r="G28" s="466"/>
      <c r="H28" s="466"/>
      <c r="I28" s="156">
        <f>IF(I27&lt;=I20,I27,I20)</f>
        <v>3791735.4787000008</v>
      </c>
      <c r="J28" s="157"/>
    </row>
    <row r="29" spans="1:10">
      <c r="A29" s="142">
        <v>17</v>
      </c>
      <c r="B29" s="466" t="s">
        <v>211</v>
      </c>
      <c r="C29" s="466"/>
      <c r="D29" s="466"/>
      <c r="E29" s="466"/>
      <c r="F29" s="466"/>
      <c r="G29" s="466"/>
      <c r="H29" s="466"/>
      <c r="I29" s="156">
        <f>I20+I28</f>
        <v>102811057.8087</v>
      </c>
      <c r="J29" s="157"/>
    </row>
    <row r="30" spans="1:10">
      <c r="A30" s="142">
        <v>18</v>
      </c>
      <c r="B30" s="467" t="s">
        <v>212</v>
      </c>
      <c r="C30" s="467"/>
      <c r="D30" s="467"/>
      <c r="E30" s="467"/>
      <c r="F30" s="467"/>
      <c r="G30" s="467"/>
      <c r="H30" s="467"/>
      <c r="I30" s="145"/>
      <c r="J30" s="146"/>
    </row>
    <row r="31" spans="1:10">
      <c r="A31" s="147">
        <v>19</v>
      </c>
      <c r="B31" s="468" t="s">
        <v>213</v>
      </c>
      <c r="C31" s="468"/>
      <c r="D31" s="468"/>
      <c r="E31" s="468"/>
      <c r="F31" s="468"/>
      <c r="G31" s="468"/>
      <c r="H31" s="468"/>
      <c r="I31" s="158"/>
      <c r="J31" s="146"/>
    </row>
    <row r="32" spans="1:10">
      <c r="A32" s="150">
        <v>20</v>
      </c>
      <c r="B32" s="469" t="s">
        <v>194</v>
      </c>
      <c r="C32" s="469"/>
      <c r="D32" s="469"/>
      <c r="E32" s="469"/>
      <c r="F32" s="469"/>
      <c r="G32" s="469"/>
      <c r="H32" s="469"/>
      <c r="I32" s="159">
        <f>I29+I30+I31</f>
        <v>102811057.8087</v>
      </c>
      <c r="J32" s="157"/>
    </row>
    <row r="33" spans="1:10">
      <c r="A33" s="121"/>
      <c r="B33" s="124"/>
      <c r="C33" s="121"/>
      <c r="D33" s="121"/>
      <c r="E33" s="121"/>
      <c r="F33" s="122"/>
      <c r="G33" s="122"/>
      <c r="H33" s="122"/>
      <c r="I33" s="122"/>
      <c r="J33" s="122"/>
    </row>
    <row r="34" spans="1:10">
      <c r="A34" s="125" t="s">
        <v>214</v>
      </c>
      <c r="B34" s="160" t="s">
        <v>215</v>
      </c>
      <c r="C34" s="161"/>
      <c r="D34" s="162"/>
      <c r="E34" s="162"/>
      <c r="F34" s="162"/>
      <c r="G34" s="162"/>
      <c r="H34" s="162"/>
      <c r="I34" s="162"/>
      <c r="J34" s="162"/>
    </row>
    <row r="35" spans="1:10">
      <c r="A35" s="125"/>
      <c r="B35" s="160"/>
      <c r="C35" s="161"/>
      <c r="D35" s="162"/>
      <c r="E35" s="162"/>
      <c r="F35" s="162"/>
      <c r="G35" s="162"/>
      <c r="H35" s="162"/>
      <c r="I35" s="162"/>
      <c r="J35" s="162"/>
    </row>
    <row r="36" spans="1:10">
      <c r="A36" s="125"/>
      <c r="B36" s="163" t="s">
        <v>216</v>
      </c>
      <c r="C36" s="161"/>
      <c r="D36" s="162"/>
      <c r="E36" s="162"/>
      <c r="F36" s="162"/>
      <c r="G36" s="162"/>
      <c r="H36" s="162"/>
      <c r="I36" s="162"/>
      <c r="J36" s="162"/>
    </row>
    <row r="37" spans="1:10">
      <c r="A37" s="421" t="s">
        <v>7</v>
      </c>
      <c r="B37" s="464" t="s">
        <v>8</v>
      </c>
      <c r="C37" s="464"/>
      <c r="D37" s="435" t="s">
        <v>217</v>
      </c>
      <c r="E37" s="435" t="s">
        <v>218</v>
      </c>
      <c r="F37" s="435" t="s">
        <v>219</v>
      </c>
      <c r="G37" s="470" t="s">
        <v>220</v>
      </c>
      <c r="H37" s="470"/>
      <c r="I37" s="470"/>
      <c r="J37" s="471"/>
    </row>
    <row r="38" spans="1:10">
      <c r="A38" s="422"/>
      <c r="B38" s="465"/>
      <c r="C38" s="465"/>
      <c r="D38" s="436"/>
      <c r="E38" s="436"/>
      <c r="F38" s="436"/>
      <c r="G38" s="164">
        <v>0</v>
      </c>
      <c r="H38" s="164">
        <v>0.2</v>
      </c>
      <c r="I38" s="164">
        <v>0.5</v>
      </c>
      <c r="J38" s="165">
        <v>1</v>
      </c>
    </row>
    <row r="39" spans="1:10" ht="25.5">
      <c r="A39" s="142">
        <v>1</v>
      </c>
      <c r="B39" s="166" t="s">
        <v>12</v>
      </c>
      <c r="C39" s="167"/>
      <c r="D39" s="168">
        <v>813982.6</v>
      </c>
      <c r="E39" s="169">
        <v>0</v>
      </c>
      <c r="F39" s="170">
        <f t="shared" ref="F39:F49" si="0">IF(ABS(D39-E39-(G39+H39+I39+J39))&gt;1,"Error",D39-E39)</f>
        <v>813982.6</v>
      </c>
      <c r="G39" s="169">
        <v>813982.6</v>
      </c>
      <c r="H39" s="169"/>
      <c r="I39" s="169"/>
      <c r="J39" s="171">
        <v>0</v>
      </c>
    </row>
    <row r="40" spans="1:10" ht="114.75">
      <c r="A40" s="142">
        <v>2</v>
      </c>
      <c r="B40" s="166" t="s">
        <v>13</v>
      </c>
      <c r="C40" s="167"/>
      <c r="D40" s="168">
        <v>18359893.751400001</v>
      </c>
      <c r="E40" s="169">
        <v>0</v>
      </c>
      <c r="F40" s="170">
        <f t="shared" si="0"/>
        <v>18359893.751400001</v>
      </c>
      <c r="G40" s="169">
        <v>18359893.751400001</v>
      </c>
      <c r="H40" s="169">
        <v>0</v>
      </c>
      <c r="I40" s="169">
        <v>0</v>
      </c>
      <c r="J40" s="171">
        <v>0</v>
      </c>
    </row>
    <row r="41" spans="1:10" ht="76.5">
      <c r="A41" s="142">
        <v>3</v>
      </c>
      <c r="B41" s="166" t="s">
        <v>14</v>
      </c>
      <c r="C41" s="167"/>
      <c r="D41" s="168">
        <v>36725285.593699999</v>
      </c>
      <c r="E41" s="169">
        <v>0</v>
      </c>
      <c r="F41" s="170">
        <f t="shared" si="0"/>
        <v>36725285.593699999</v>
      </c>
      <c r="G41" s="169"/>
      <c r="H41" s="169">
        <v>5000000</v>
      </c>
      <c r="I41" s="169">
        <v>31725285.593699999</v>
      </c>
      <c r="J41" s="171">
        <v>0</v>
      </c>
    </row>
    <row r="42" spans="1:10" ht="114.75">
      <c r="A42" s="142">
        <v>4</v>
      </c>
      <c r="B42" s="166" t="s">
        <v>221</v>
      </c>
      <c r="C42" s="167"/>
      <c r="D42" s="168">
        <v>0</v>
      </c>
      <c r="E42" s="169">
        <v>0</v>
      </c>
      <c r="F42" s="170">
        <f t="shared" si="0"/>
        <v>0</v>
      </c>
      <c r="G42" s="169"/>
      <c r="H42" s="169"/>
      <c r="I42" s="169"/>
      <c r="J42" s="171">
        <v>0</v>
      </c>
    </row>
    <row r="43" spans="1:10" ht="89.25">
      <c r="A43" s="142">
        <v>5</v>
      </c>
      <c r="B43" s="166" t="s">
        <v>16</v>
      </c>
      <c r="C43" s="167"/>
      <c r="D43" s="168">
        <v>94926309.332699999</v>
      </c>
      <c r="E43" s="169">
        <v>0</v>
      </c>
      <c r="F43" s="170">
        <f t="shared" si="0"/>
        <v>94926309.332699999</v>
      </c>
      <c r="G43" s="169">
        <v>36673981.210000001</v>
      </c>
      <c r="H43" s="169"/>
      <c r="I43" s="169"/>
      <c r="J43" s="171">
        <v>58252328.122699998</v>
      </c>
    </row>
    <row r="44" spans="1:10" ht="51">
      <c r="A44" s="142">
        <v>6</v>
      </c>
      <c r="B44" s="166" t="s">
        <v>17</v>
      </c>
      <c r="C44" s="167"/>
      <c r="D44" s="168">
        <v>108321201.0201</v>
      </c>
      <c r="E44" s="169">
        <v>0</v>
      </c>
      <c r="F44" s="170">
        <f t="shared" si="0"/>
        <v>108321201.0201</v>
      </c>
      <c r="G44" s="169"/>
      <c r="H44" s="169"/>
      <c r="I44" s="169"/>
      <c r="J44" s="171">
        <v>108321201.0201</v>
      </c>
    </row>
    <row r="45" spans="1:10" ht="127.5">
      <c r="A45" s="142">
        <v>7</v>
      </c>
      <c r="B45" s="166" t="s">
        <v>222</v>
      </c>
      <c r="C45" s="167"/>
      <c r="D45" s="168">
        <v>2887258.5175000001</v>
      </c>
      <c r="E45" s="169">
        <v>0</v>
      </c>
      <c r="F45" s="170">
        <f t="shared" si="0"/>
        <v>2887258.5175000001</v>
      </c>
      <c r="G45" s="169">
        <v>1046341.21</v>
      </c>
      <c r="H45" s="169"/>
      <c r="I45" s="169">
        <v>1141919.7187000001</v>
      </c>
      <c r="J45" s="171">
        <v>698997.58880000003</v>
      </c>
    </row>
    <row r="46" spans="1:10" ht="102">
      <c r="A46" s="142">
        <v>8</v>
      </c>
      <c r="B46" s="166" t="s">
        <v>21</v>
      </c>
      <c r="C46" s="167"/>
      <c r="D46" s="168"/>
      <c r="E46" s="169">
        <v>0</v>
      </c>
      <c r="F46" s="170">
        <f t="shared" si="0"/>
        <v>0</v>
      </c>
      <c r="G46" s="169"/>
      <c r="H46" s="169"/>
      <c r="I46" s="169"/>
      <c r="J46" s="171"/>
    </row>
    <row r="47" spans="1:10" ht="76.5">
      <c r="A47" s="142">
        <v>9</v>
      </c>
      <c r="B47" s="166" t="s">
        <v>22</v>
      </c>
      <c r="C47" s="172"/>
      <c r="D47" s="173"/>
      <c r="E47" s="169">
        <v>0</v>
      </c>
      <c r="F47" s="170">
        <f t="shared" si="0"/>
        <v>0</v>
      </c>
      <c r="G47" s="169">
        <v>0</v>
      </c>
      <c r="H47" s="169">
        <v>0</v>
      </c>
      <c r="I47" s="169">
        <v>0</v>
      </c>
      <c r="J47" s="171">
        <v>0</v>
      </c>
    </row>
    <row r="48" spans="1:10" ht="127.5">
      <c r="A48" s="142">
        <v>10</v>
      </c>
      <c r="B48" s="166" t="s">
        <v>23</v>
      </c>
      <c r="C48" s="167"/>
      <c r="D48" s="168">
        <v>3397799.86</v>
      </c>
      <c r="E48" s="169">
        <v>2186046.08</v>
      </c>
      <c r="F48" s="170">
        <f t="shared" si="0"/>
        <v>1211753.7799999998</v>
      </c>
      <c r="G48" s="169">
        <v>0</v>
      </c>
      <c r="H48" s="169">
        <v>0</v>
      </c>
      <c r="I48" s="169">
        <v>0</v>
      </c>
      <c r="J48" s="171">
        <v>1211753.78</v>
      </c>
    </row>
    <row r="49" spans="1:10" ht="38.25">
      <c r="A49" s="147">
        <v>11</v>
      </c>
      <c r="B49" s="166" t="s">
        <v>24</v>
      </c>
      <c r="C49" s="174"/>
      <c r="D49" s="175">
        <v>1016812.8846</v>
      </c>
      <c r="E49" s="176">
        <v>0</v>
      </c>
      <c r="F49" s="170">
        <f t="shared" si="0"/>
        <v>1016812.8846</v>
      </c>
      <c r="G49" s="176">
        <v>0</v>
      </c>
      <c r="H49" s="176">
        <v>0</v>
      </c>
      <c r="I49" s="176">
        <v>0</v>
      </c>
      <c r="J49" s="177">
        <v>1016812.8846</v>
      </c>
    </row>
    <row r="50" spans="1:10">
      <c r="A50" s="150">
        <v>12</v>
      </c>
      <c r="B50" s="178" t="s">
        <v>223</v>
      </c>
      <c r="C50" s="179"/>
      <c r="D50" s="180">
        <f t="shared" ref="D50:J50" si="1">SUM(D39:D49)</f>
        <v>266448543.56000003</v>
      </c>
      <c r="E50" s="180">
        <f t="shared" si="1"/>
        <v>2186046.08</v>
      </c>
      <c r="F50" s="180">
        <f t="shared" si="1"/>
        <v>264262497.48000002</v>
      </c>
      <c r="G50" s="180">
        <f t="shared" si="1"/>
        <v>56894198.771400005</v>
      </c>
      <c r="H50" s="180">
        <f t="shared" si="1"/>
        <v>5000000</v>
      </c>
      <c r="I50" s="180">
        <f t="shared" si="1"/>
        <v>32867205.312399998</v>
      </c>
      <c r="J50" s="180">
        <f t="shared" si="1"/>
        <v>169501093.39620003</v>
      </c>
    </row>
    <row r="51" spans="1:10">
      <c r="A51" s="181"/>
      <c r="B51" s="182"/>
      <c r="C51" s="182"/>
      <c r="D51" s="183"/>
      <c r="E51" s="184"/>
      <c r="F51" s="185"/>
      <c r="G51" s="185"/>
      <c r="H51" s="185"/>
      <c r="I51" s="185"/>
      <c r="J51" s="184"/>
    </row>
    <row r="52" spans="1:10">
      <c r="A52" s="421" t="s">
        <v>7</v>
      </c>
      <c r="B52" s="464" t="s">
        <v>224</v>
      </c>
      <c r="C52" s="464"/>
      <c r="D52" s="435" t="s">
        <v>217</v>
      </c>
      <c r="E52" s="435" t="s">
        <v>225</v>
      </c>
      <c r="F52" s="435" t="s">
        <v>226</v>
      </c>
      <c r="G52" s="470" t="s">
        <v>227</v>
      </c>
      <c r="H52" s="470"/>
      <c r="I52" s="470"/>
      <c r="J52" s="471"/>
    </row>
    <row r="53" spans="1:10">
      <c r="A53" s="422"/>
      <c r="B53" s="465"/>
      <c r="C53" s="465"/>
      <c r="D53" s="436"/>
      <c r="E53" s="436"/>
      <c r="F53" s="436"/>
      <c r="G53" s="164">
        <v>0</v>
      </c>
      <c r="H53" s="164">
        <v>0.2</v>
      </c>
      <c r="I53" s="164">
        <v>0.5</v>
      </c>
      <c r="J53" s="165">
        <v>1</v>
      </c>
    </row>
    <row r="54" spans="1:10">
      <c r="A54" s="142">
        <v>13</v>
      </c>
      <c r="B54" s="456" t="s">
        <v>228</v>
      </c>
      <c r="C54" s="456"/>
      <c r="D54" s="186">
        <f>H82</f>
        <v>12377786.530000001</v>
      </c>
      <c r="E54" s="187"/>
      <c r="F54" s="188">
        <f>IF(ABS(J82-G54-H54-I54-J54)&gt;1,"Error",J82)</f>
        <v>6188893.2650000006</v>
      </c>
      <c r="G54" s="189"/>
      <c r="H54" s="189"/>
      <c r="I54" s="189">
        <v>6188893.2649999997</v>
      </c>
      <c r="J54" s="190">
        <v>0</v>
      </c>
    </row>
    <row r="55" spans="1:10">
      <c r="A55" s="142">
        <v>14</v>
      </c>
      <c r="B55" s="456" t="s">
        <v>229</v>
      </c>
      <c r="C55" s="456"/>
      <c r="D55" s="191">
        <f>H88</f>
        <v>1062522.7</v>
      </c>
      <c r="E55" s="187"/>
      <c r="F55" s="188">
        <f>IF(ABS(J88-G55-H55-I55-J55)&gt;1,"Error",J88)</f>
        <v>1062522.7</v>
      </c>
      <c r="G55" s="189"/>
      <c r="H55" s="189"/>
      <c r="I55" s="189">
        <v>0</v>
      </c>
      <c r="J55" s="190">
        <v>1062522.7</v>
      </c>
    </row>
    <row r="56" spans="1:10">
      <c r="A56" s="142">
        <v>15</v>
      </c>
      <c r="B56" s="456" t="s">
        <v>230</v>
      </c>
      <c r="C56" s="456"/>
      <c r="D56" s="191">
        <f>H94</f>
        <v>3114187</v>
      </c>
      <c r="E56" s="187"/>
      <c r="F56" s="188">
        <f>IF(ABS(J94-G56-H56-I56-J56)&gt;1,"Error",J94)</f>
        <v>622837.4</v>
      </c>
      <c r="G56" s="189"/>
      <c r="H56" s="189">
        <v>622837.4</v>
      </c>
      <c r="I56" s="189"/>
      <c r="J56" s="190"/>
    </row>
    <row r="57" spans="1:10">
      <c r="A57" s="142">
        <v>16</v>
      </c>
      <c r="B57" s="456" t="s">
        <v>231</v>
      </c>
      <c r="C57" s="456"/>
      <c r="D57" s="191">
        <f>H96</f>
        <v>0</v>
      </c>
      <c r="E57" s="192"/>
      <c r="F57" s="188">
        <f>IF(ABS(J96-G57-H57-I57-J57)&gt;1,"Error",J96)</f>
        <v>0</v>
      </c>
      <c r="G57" s="189"/>
      <c r="H57" s="189"/>
      <c r="I57" s="189"/>
      <c r="J57" s="190"/>
    </row>
    <row r="58" spans="1:10">
      <c r="A58" s="147">
        <v>17</v>
      </c>
      <c r="B58" s="457" t="s">
        <v>232</v>
      </c>
      <c r="C58" s="457"/>
      <c r="D58" s="193">
        <f>I110</f>
        <v>0</v>
      </c>
      <c r="E58" s="194"/>
      <c r="F58" s="188">
        <f>IF(ABS(J110-G58-H58-I58-J58)&gt;1,"Error",J110)</f>
        <v>0</v>
      </c>
      <c r="G58" s="195"/>
      <c r="H58" s="195"/>
      <c r="I58" s="195"/>
      <c r="J58" s="196"/>
    </row>
    <row r="59" spans="1:10">
      <c r="A59" s="150">
        <v>18</v>
      </c>
      <c r="B59" s="463" t="s">
        <v>233</v>
      </c>
      <c r="C59" s="463"/>
      <c r="D59" s="180">
        <f>SUM(D54:D58)</f>
        <v>16554496.23</v>
      </c>
      <c r="E59" s="197"/>
      <c r="F59" s="198">
        <f>SUM(F54:F58)</f>
        <v>7874253.3650000012</v>
      </c>
      <c r="G59" s="198">
        <f>SUM(G54:G58)</f>
        <v>0</v>
      </c>
      <c r="H59" s="198">
        <f>SUM(H54:H58)</f>
        <v>622837.4</v>
      </c>
      <c r="I59" s="198">
        <f>SUM(I54:I58)</f>
        <v>6188893.2649999997</v>
      </c>
      <c r="J59" s="199">
        <f>SUM(J54:J58)</f>
        <v>1062522.7</v>
      </c>
    </row>
    <row r="60" spans="1:10">
      <c r="A60" s="200"/>
      <c r="B60" s="201"/>
      <c r="C60" s="201"/>
      <c r="D60" s="183"/>
      <c r="E60" s="202"/>
      <c r="F60" s="202"/>
      <c r="G60" s="202"/>
      <c r="H60" s="202"/>
      <c r="I60" s="202"/>
      <c r="J60" s="202"/>
    </row>
    <row r="61" spans="1:10">
      <c r="A61" s="139">
        <v>19</v>
      </c>
      <c r="B61" s="458" t="s">
        <v>234</v>
      </c>
      <c r="C61" s="458"/>
      <c r="D61" s="203">
        <f>D59+D50</f>
        <v>283003039.79000002</v>
      </c>
      <c r="E61" s="204"/>
      <c r="F61" s="203">
        <f>F50+F59</f>
        <v>272136750.84500003</v>
      </c>
      <c r="G61" s="205">
        <f>G50+G59</f>
        <v>56894198.771400005</v>
      </c>
      <c r="H61" s="205">
        <f>H50+H59</f>
        <v>5622837.4000000004</v>
      </c>
      <c r="I61" s="205">
        <f>I50+I59</f>
        <v>39056098.577399999</v>
      </c>
      <c r="J61" s="206">
        <f>J50+J59</f>
        <v>170563616.09620002</v>
      </c>
    </row>
    <row r="62" spans="1:10">
      <c r="A62" s="142">
        <v>20</v>
      </c>
      <c r="B62" s="459" t="s">
        <v>235</v>
      </c>
      <c r="C62" s="460"/>
      <c r="D62" s="207"/>
      <c r="E62" s="208"/>
      <c r="F62" s="209"/>
      <c r="G62" s="210">
        <v>0</v>
      </c>
      <c r="H62" s="211">
        <v>0.2</v>
      </c>
      <c r="I62" s="211">
        <v>0.5</v>
      </c>
      <c r="J62" s="212">
        <v>1</v>
      </c>
    </row>
    <row r="63" spans="1:10">
      <c r="A63" s="142">
        <v>21</v>
      </c>
      <c r="B63" s="461" t="s">
        <v>236</v>
      </c>
      <c r="C63" s="462"/>
      <c r="D63" s="213"/>
      <c r="E63" s="214"/>
      <c r="F63" s="215"/>
      <c r="G63" s="216">
        <f>+G61*G62</f>
        <v>0</v>
      </c>
      <c r="H63" s="216">
        <f>+H61*H62</f>
        <v>1124567.4800000002</v>
      </c>
      <c r="I63" s="216">
        <f>+I61*I62</f>
        <v>19528049.288699999</v>
      </c>
      <c r="J63" s="216">
        <f>+J61*J62</f>
        <v>170563616.09620002</v>
      </c>
    </row>
    <row r="64" spans="1:10">
      <c r="A64" s="217">
        <v>22</v>
      </c>
      <c r="B64" s="442" t="s">
        <v>237</v>
      </c>
      <c r="C64" s="442"/>
      <c r="D64" s="218"/>
      <c r="E64" s="218"/>
      <c r="F64" s="218"/>
      <c r="G64" s="218"/>
      <c r="H64" s="218"/>
      <c r="I64" s="218"/>
      <c r="J64" s="219">
        <f>+G63+H63+I63+J63</f>
        <v>191216232.86490002</v>
      </c>
    </row>
    <row r="65" spans="1:10">
      <c r="A65" s="200"/>
      <c r="B65" s="201"/>
      <c r="C65" s="201"/>
      <c r="D65" s="220"/>
      <c r="E65" s="220"/>
      <c r="F65" s="220"/>
      <c r="G65" s="202"/>
      <c r="H65" s="202"/>
      <c r="I65" s="202"/>
      <c r="J65" s="202"/>
    </row>
    <row r="66" spans="1:10">
      <c r="A66" s="200"/>
      <c r="B66" s="221" t="s">
        <v>238</v>
      </c>
      <c r="C66" s="222"/>
      <c r="D66" s="223"/>
      <c r="E66" s="224"/>
      <c r="F66" s="223"/>
      <c r="G66" s="225"/>
      <c r="H66" s="225"/>
      <c r="I66" s="225"/>
      <c r="J66" s="226"/>
    </row>
    <row r="67" spans="1:10">
      <c r="A67" s="421" t="s">
        <v>7</v>
      </c>
      <c r="B67" s="443" t="s">
        <v>8</v>
      </c>
      <c r="C67" s="444"/>
      <c r="D67" s="435" t="s">
        <v>217</v>
      </c>
      <c r="E67" s="435" t="s">
        <v>218</v>
      </c>
      <c r="F67" s="435" t="s">
        <v>219</v>
      </c>
      <c r="G67" s="437" t="s">
        <v>239</v>
      </c>
      <c r="H67" s="438"/>
      <c r="I67" s="438"/>
      <c r="J67" s="439"/>
    </row>
    <row r="68" spans="1:10">
      <c r="A68" s="422"/>
      <c r="B68" s="445"/>
      <c r="C68" s="446"/>
      <c r="D68" s="436"/>
      <c r="E68" s="436"/>
      <c r="F68" s="436"/>
      <c r="G68" s="227"/>
      <c r="H68" s="227"/>
      <c r="I68" s="227"/>
      <c r="J68" s="228">
        <v>0.75</v>
      </c>
    </row>
    <row r="69" spans="1:10">
      <c r="A69" s="142">
        <v>23</v>
      </c>
      <c r="B69" s="440" t="s">
        <v>240</v>
      </c>
      <c r="C69" s="441"/>
      <c r="D69" s="168">
        <v>28037697.960099999</v>
      </c>
      <c r="E69" s="169">
        <v>0</v>
      </c>
      <c r="F69" s="229">
        <f>D69-E69</f>
        <v>28037697.960099999</v>
      </c>
      <c r="G69" s="207" t="s">
        <v>241</v>
      </c>
      <c r="H69" s="208"/>
      <c r="I69" s="209"/>
      <c r="J69" s="230">
        <f>F69*J$68</f>
        <v>21028273.470075</v>
      </c>
    </row>
    <row r="70" spans="1:10">
      <c r="A70" s="142">
        <v>24</v>
      </c>
      <c r="B70" s="440" t="s">
        <v>242</v>
      </c>
      <c r="C70" s="441"/>
      <c r="D70" s="168"/>
      <c r="E70" s="169">
        <v>0</v>
      </c>
      <c r="F70" s="229">
        <f>D70-E70</f>
        <v>0</v>
      </c>
      <c r="G70" s="207" t="s">
        <v>241</v>
      </c>
      <c r="H70" s="208"/>
      <c r="I70" s="209"/>
      <c r="J70" s="230">
        <f>F70*J$68</f>
        <v>0</v>
      </c>
    </row>
    <row r="71" spans="1:10">
      <c r="A71" s="147">
        <v>25</v>
      </c>
      <c r="B71" s="440" t="s">
        <v>243</v>
      </c>
      <c r="C71" s="441"/>
      <c r="D71" s="175">
        <v>113857.9715</v>
      </c>
      <c r="E71" s="176">
        <v>0</v>
      </c>
      <c r="F71" s="231">
        <f>D71-E71</f>
        <v>113857.9715</v>
      </c>
      <c r="G71" s="232"/>
      <c r="H71" s="232"/>
      <c r="I71" s="232"/>
      <c r="J71" s="230">
        <f>F71*J$68</f>
        <v>85393.478625000003</v>
      </c>
    </row>
    <row r="72" spans="1:10">
      <c r="A72" s="150">
        <v>26</v>
      </c>
      <c r="B72" s="447" t="s">
        <v>244</v>
      </c>
      <c r="C72" s="449"/>
      <c r="D72" s="180">
        <f>SUM(D69:D71)</f>
        <v>28151555.931600001</v>
      </c>
      <c r="E72" s="180">
        <f>SUM(E69:E71)</f>
        <v>0</v>
      </c>
      <c r="F72" s="180">
        <f>SUM(F69:F71)</f>
        <v>28151555.931600001</v>
      </c>
      <c r="G72" s="233"/>
      <c r="H72" s="233"/>
      <c r="I72" s="233"/>
      <c r="J72" s="219">
        <f>SUM(J69:J71)</f>
        <v>21113666.9487</v>
      </c>
    </row>
    <row r="73" spans="1:10">
      <c r="A73" s="200"/>
      <c r="B73" s="234"/>
      <c r="C73" s="234"/>
      <c r="D73" s="183"/>
      <c r="E73" s="235"/>
      <c r="F73" s="235"/>
      <c r="G73" s="236"/>
      <c r="H73" s="236"/>
      <c r="I73" s="236"/>
      <c r="J73" s="237"/>
    </row>
    <row r="74" spans="1:10">
      <c r="A74" s="139">
        <v>27</v>
      </c>
      <c r="B74" s="450" t="s">
        <v>245</v>
      </c>
      <c r="C74" s="451"/>
      <c r="D74" s="238"/>
      <c r="E74" s="239"/>
      <c r="F74" s="239"/>
      <c r="G74" s="239"/>
      <c r="H74" s="239"/>
      <c r="I74" s="240"/>
      <c r="J74" s="241">
        <f>J64+J72</f>
        <v>212329899.81360003</v>
      </c>
    </row>
    <row r="75" spans="1:10">
      <c r="A75" s="142">
        <v>28</v>
      </c>
      <c r="B75" s="440" t="s">
        <v>246</v>
      </c>
      <c r="C75" s="452"/>
      <c r="D75" s="242"/>
      <c r="E75" s="242"/>
      <c r="F75" s="242"/>
      <c r="G75" s="242"/>
      <c r="H75" s="242"/>
      <c r="I75" s="242"/>
      <c r="J75" s="243"/>
    </row>
    <row r="76" spans="1:10">
      <c r="A76" s="147">
        <v>29</v>
      </c>
      <c r="B76" s="453" t="s">
        <v>247</v>
      </c>
      <c r="C76" s="454"/>
      <c r="D76" s="244"/>
      <c r="E76" s="245"/>
      <c r="F76" s="245"/>
      <c r="G76" s="245"/>
      <c r="H76" s="245"/>
      <c r="I76" s="246"/>
      <c r="J76" s="148">
        <v>-662469.53040000005</v>
      </c>
    </row>
    <row r="77" spans="1:10">
      <c r="A77" s="150">
        <v>30</v>
      </c>
      <c r="B77" s="447" t="s">
        <v>248</v>
      </c>
      <c r="C77" s="448"/>
      <c r="D77" s="233"/>
      <c r="E77" s="233"/>
      <c r="F77" s="233"/>
      <c r="G77" s="233"/>
      <c r="H77" s="233"/>
      <c r="I77" s="233"/>
      <c r="J77" s="247">
        <f>SUM(J74:J76)</f>
        <v>211667430.28320003</v>
      </c>
    </row>
    <row r="78" spans="1:10">
      <c r="A78" s="181"/>
      <c r="B78" s="201"/>
      <c r="C78" s="201"/>
      <c r="D78" s="220"/>
      <c r="E78" s="220"/>
      <c r="F78" s="220"/>
      <c r="G78" s="220"/>
      <c r="H78" s="220"/>
      <c r="I78" s="220"/>
      <c r="J78" s="202"/>
    </row>
    <row r="79" spans="1:10">
      <c r="A79" s="125" t="s">
        <v>249</v>
      </c>
      <c r="B79" s="160" t="s">
        <v>250</v>
      </c>
      <c r="C79" s="201"/>
      <c r="D79" s="220"/>
      <c r="E79" s="220"/>
      <c r="F79" s="220"/>
      <c r="G79" s="220"/>
      <c r="H79" s="220"/>
      <c r="I79" s="220"/>
      <c r="J79" s="202"/>
    </row>
    <row r="80" spans="1:10">
      <c r="A80" s="181"/>
      <c r="B80" s="201"/>
      <c r="C80" s="201"/>
      <c r="D80" s="220"/>
      <c r="E80" s="220"/>
      <c r="F80" s="220"/>
      <c r="G80" s="220"/>
      <c r="H80" s="220"/>
      <c r="I80" s="220"/>
      <c r="J80" s="202"/>
    </row>
    <row r="81" spans="1:10" ht="63.75">
      <c r="A81" s="248" t="s">
        <v>7</v>
      </c>
      <c r="B81" s="455" t="s">
        <v>224</v>
      </c>
      <c r="C81" s="455"/>
      <c r="D81" s="455"/>
      <c r="E81" s="455"/>
      <c r="F81" s="455"/>
      <c r="G81" s="455"/>
      <c r="H81" s="249" t="s">
        <v>217</v>
      </c>
      <c r="I81" s="249" t="s">
        <v>225</v>
      </c>
      <c r="J81" s="249" t="s">
        <v>226</v>
      </c>
    </row>
    <row r="82" spans="1:10">
      <c r="A82" s="142">
        <v>1</v>
      </c>
      <c r="B82" s="433" t="s">
        <v>228</v>
      </c>
      <c r="C82" s="433"/>
      <c r="D82" s="433"/>
      <c r="E82" s="433"/>
      <c r="F82" s="433"/>
      <c r="G82" s="433"/>
      <c r="H82" s="250">
        <f>SUM(H83:H87)</f>
        <v>12377786.530000001</v>
      </c>
      <c r="I82" s="251"/>
      <c r="J82" s="252">
        <f>SUM(J83:J87)</f>
        <v>6188893.2650000006</v>
      </c>
    </row>
    <row r="83" spans="1:10">
      <c r="A83" s="142">
        <v>1.1000000000000001</v>
      </c>
      <c r="B83" s="428" t="s">
        <v>251</v>
      </c>
      <c r="C83" s="428"/>
      <c r="D83" s="428"/>
      <c r="E83" s="428"/>
      <c r="F83" s="428"/>
      <c r="G83" s="428"/>
      <c r="H83" s="189">
        <v>11906657.810000001</v>
      </c>
      <c r="I83" s="253">
        <v>0.5</v>
      </c>
      <c r="J83" s="254">
        <f>H83*I83</f>
        <v>5953328.9050000003</v>
      </c>
    </row>
    <row r="84" spans="1:10">
      <c r="A84" s="142">
        <v>1.2</v>
      </c>
      <c r="B84" s="428" t="s">
        <v>252</v>
      </c>
      <c r="C84" s="428"/>
      <c r="D84" s="428"/>
      <c r="E84" s="428"/>
      <c r="F84" s="428"/>
      <c r="G84" s="428"/>
      <c r="H84" s="189"/>
      <c r="I84" s="251">
        <v>0.5</v>
      </c>
      <c r="J84" s="254">
        <f>H84*I84</f>
        <v>0</v>
      </c>
    </row>
    <row r="85" spans="1:10">
      <c r="A85" s="142">
        <v>1.3</v>
      </c>
      <c r="B85" s="428" t="s">
        <v>253</v>
      </c>
      <c r="C85" s="428"/>
      <c r="D85" s="428"/>
      <c r="E85" s="428"/>
      <c r="F85" s="428"/>
      <c r="G85" s="428"/>
      <c r="H85" s="189">
        <v>471128.72</v>
      </c>
      <c r="I85" s="251">
        <v>0.5</v>
      </c>
      <c r="J85" s="254">
        <f>H85*I85</f>
        <v>235564.36</v>
      </c>
    </row>
    <row r="86" spans="1:10">
      <c r="A86" s="142">
        <v>1.4</v>
      </c>
      <c r="B86" s="429" t="s">
        <v>254</v>
      </c>
      <c r="C86" s="429"/>
      <c r="D86" s="429"/>
      <c r="E86" s="429"/>
      <c r="F86" s="429"/>
      <c r="G86" s="429"/>
      <c r="H86" s="189"/>
      <c r="I86" s="251">
        <v>1</v>
      </c>
      <c r="J86" s="254">
        <f>H86*I86</f>
        <v>0</v>
      </c>
    </row>
    <row r="87" spans="1:10">
      <c r="A87" s="142">
        <v>1.5</v>
      </c>
      <c r="B87" s="429" t="s">
        <v>255</v>
      </c>
      <c r="C87" s="429"/>
      <c r="D87" s="429"/>
      <c r="E87" s="429"/>
      <c r="F87" s="429"/>
      <c r="G87" s="429"/>
      <c r="H87" s="189"/>
      <c r="I87" s="251">
        <v>1</v>
      </c>
      <c r="J87" s="254">
        <f>H87*I87</f>
        <v>0</v>
      </c>
    </row>
    <row r="88" spans="1:10">
      <c r="A88" s="142">
        <v>2</v>
      </c>
      <c r="B88" s="433" t="s">
        <v>256</v>
      </c>
      <c r="C88" s="433"/>
      <c r="D88" s="433"/>
      <c r="E88" s="433"/>
      <c r="F88" s="433"/>
      <c r="G88" s="433"/>
      <c r="H88" s="250">
        <f>SUM(H89:H93)</f>
        <v>1062522.7</v>
      </c>
      <c r="I88" s="251"/>
      <c r="J88" s="252">
        <f>SUM(J89:J93)</f>
        <v>1062522.7</v>
      </c>
    </row>
    <row r="89" spans="1:10">
      <c r="A89" s="142">
        <v>2.1</v>
      </c>
      <c r="B89" s="428" t="s">
        <v>257</v>
      </c>
      <c r="C89" s="428"/>
      <c r="D89" s="428"/>
      <c r="E89" s="428"/>
      <c r="F89" s="428"/>
      <c r="G89" s="428"/>
      <c r="H89" s="189">
        <v>1062522.7</v>
      </c>
      <c r="I89" s="253">
        <v>1</v>
      </c>
      <c r="J89" s="254">
        <f>H89*I89</f>
        <v>1062522.7</v>
      </c>
    </row>
    <row r="90" spans="1:10">
      <c r="A90" s="142">
        <v>2.2000000000000002</v>
      </c>
      <c r="B90" s="429" t="s">
        <v>258</v>
      </c>
      <c r="C90" s="429"/>
      <c r="D90" s="429"/>
      <c r="E90" s="429"/>
      <c r="F90" s="429"/>
      <c r="G90" s="429"/>
      <c r="H90" s="168"/>
      <c r="I90" s="251">
        <v>1</v>
      </c>
      <c r="J90" s="254">
        <f>H90*I90</f>
        <v>0</v>
      </c>
    </row>
    <row r="91" spans="1:10">
      <c r="A91" s="142">
        <v>2.2999999999999998</v>
      </c>
      <c r="B91" s="429" t="s">
        <v>259</v>
      </c>
      <c r="C91" s="429"/>
      <c r="D91" s="429"/>
      <c r="E91" s="429"/>
      <c r="F91" s="429"/>
      <c r="G91" s="429"/>
      <c r="H91" s="168"/>
      <c r="I91" s="251">
        <v>1</v>
      </c>
      <c r="J91" s="254">
        <f>H91*I91</f>
        <v>0</v>
      </c>
    </row>
    <row r="92" spans="1:10">
      <c r="A92" s="142">
        <v>2.4</v>
      </c>
      <c r="B92" s="434" t="s">
        <v>260</v>
      </c>
      <c r="C92" s="434"/>
      <c r="D92" s="434"/>
      <c r="E92" s="434"/>
      <c r="F92" s="434"/>
      <c r="G92" s="434"/>
      <c r="H92" s="168"/>
      <c r="I92" s="251">
        <v>0.5</v>
      </c>
      <c r="J92" s="254">
        <f>H92*I92</f>
        <v>0</v>
      </c>
    </row>
    <row r="93" spans="1:10">
      <c r="A93" s="142">
        <v>2.5</v>
      </c>
      <c r="B93" s="434" t="s">
        <v>261</v>
      </c>
      <c r="C93" s="434"/>
      <c r="D93" s="434"/>
      <c r="E93" s="434"/>
      <c r="F93" s="434"/>
      <c r="G93" s="434"/>
      <c r="H93" s="168"/>
      <c r="I93" s="251">
        <v>0.5</v>
      </c>
      <c r="J93" s="254">
        <f>H93*I93</f>
        <v>0</v>
      </c>
    </row>
    <row r="94" spans="1:10">
      <c r="A94" s="142">
        <v>3</v>
      </c>
      <c r="B94" s="433" t="s">
        <v>262</v>
      </c>
      <c r="C94" s="433"/>
      <c r="D94" s="433"/>
      <c r="E94" s="433"/>
      <c r="F94" s="433"/>
      <c r="G94" s="433"/>
      <c r="H94" s="191">
        <f>SUM(H95)</f>
        <v>3114187</v>
      </c>
      <c r="I94" s="251"/>
      <c r="J94" s="252">
        <f>SUM(J95)</f>
        <v>622837.4</v>
      </c>
    </row>
    <row r="95" spans="1:10">
      <c r="A95" s="142">
        <v>3.1</v>
      </c>
      <c r="B95" s="432" t="s">
        <v>263</v>
      </c>
      <c r="C95" s="432"/>
      <c r="D95" s="432"/>
      <c r="E95" s="432"/>
      <c r="F95" s="432"/>
      <c r="G95" s="432"/>
      <c r="H95" s="168">
        <v>3114187</v>
      </c>
      <c r="I95" s="251">
        <v>0.2</v>
      </c>
      <c r="J95" s="254">
        <f>H95*I95</f>
        <v>622837.4</v>
      </c>
    </row>
    <row r="96" spans="1:10">
      <c r="A96" s="142">
        <v>4</v>
      </c>
      <c r="B96" s="433" t="s">
        <v>231</v>
      </c>
      <c r="C96" s="433"/>
      <c r="D96" s="433"/>
      <c r="E96" s="433"/>
      <c r="F96" s="433"/>
      <c r="G96" s="433"/>
      <c r="H96" s="191">
        <f>SUM(H97)</f>
        <v>0</v>
      </c>
      <c r="I96" s="251"/>
      <c r="J96" s="252">
        <f>SUM(J97)</f>
        <v>0</v>
      </c>
    </row>
    <row r="97" spans="1:10">
      <c r="A97" s="142">
        <v>4.0999999999999996</v>
      </c>
      <c r="B97" s="432" t="s">
        <v>264</v>
      </c>
      <c r="C97" s="432"/>
      <c r="D97" s="432"/>
      <c r="E97" s="432"/>
      <c r="F97" s="432"/>
      <c r="G97" s="432"/>
      <c r="H97" s="168"/>
      <c r="I97" s="251">
        <v>0</v>
      </c>
      <c r="J97" s="254">
        <f>H97*I97</f>
        <v>0</v>
      </c>
    </row>
    <row r="98" spans="1:10">
      <c r="A98" s="217">
        <v>5</v>
      </c>
      <c r="B98" s="426" t="s">
        <v>232</v>
      </c>
      <c r="C98" s="426"/>
      <c r="D98" s="426"/>
      <c r="E98" s="426"/>
      <c r="F98" s="426"/>
      <c r="G98" s="426"/>
      <c r="H98" s="255">
        <f>I110</f>
        <v>0</v>
      </c>
      <c r="I98" s="256" t="s">
        <v>265</v>
      </c>
      <c r="J98" s="257">
        <f>J110</f>
        <v>0</v>
      </c>
    </row>
    <row r="99" spans="1:10">
      <c r="A99" s="258">
        <v>6</v>
      </c>
      <c r="B99" s="427" t="s">
        <v>233</v>
      </c>
      <c r="C99" s="427"/>
      <c r="D99" s="427"/>
      <c r="E99" s="427"/>
      <c r="F99" s="427"/>
      <c r="G99" s="427"/>
      <c r="H99" s="259">
        <f>SUM(H82+H88+H94+H96+H98)</f>
        <v>16554496.23</v>
      </c>
      <c r="I99" s="260"/>
      <c r="J99" s="259">
        <f>SUM(J82+J88+J94+J96+J98)</f>
        <v>7874253.3650000012</v>
      </c>
    </row>
    <row r="100" spans="1:10">
      <c r="A100" s="261"/>
      <c r="B100" s="201"/>
      <c r="C100" s="201"/>
      <c r="D100" s="220"/>
      <c r="E100" s="220"/>
      <c r="F100" s="202"/>
      <c r="G100" s="202"/>
      <c r="H100" s="262"/>
      <c r="I100" s="202"/>
      <c r="J100" s="202"/>
    </row>
    <row r="101" spans="1:10">
      <c r="A101" s="262"/>
      <c r="B101" s="202"/>
      <c r="C101" s="202"/>
      <c r="D101" s="202"/>
      <c r="E101" s="202"/>
      <c r="F101" s="202"/>
      <c r="G101" s="202"/>
      <c r="H101" s="202"/>
      <c r="I101" s="202"/>
      <c r="J101" s="202"/>
    </row>
    <row r="102" spans="1:10">
      <c r="A102" s="421" t="s">
        <v>7</v>
      </c>
      <c r="B102" s="423" t="s">
        <v>232</v>
      </c>
      <c r="C102" s="425" t="s">
        <v>266</v>
      </c>
      <c r="D102" s="425"/>
      <c r="E102" s="425"/>
      <c r="F102" s="425" t="s">
        <v>267</v>
      </c>
      <c r="G102" s="425"/>
      <c r="H102" s="425"/>
      <c r="I102" s="430" t="s">
        <v>11</v>
      </c>
      <c r="J102" s="431"/>
    </row>
    <row r="103" spans="1:10" ht="63.75">
      <c r="A103" s="422"/>
      <c r="B103" s="424"/>
      <c r="C103" s="249" t="s">
        <v>217</v>
      </c>
      <c r="D103" s="249" t="s">
        <v>225</v>
      </c>
      <c r="E103" s="249" t="s">
        <v>226</v>
      </c>
      <c r="F103" s="249" t="s">
        <v>217</v>
      </c>
      <c r="G103" s="249" t="s">
        <v>225</v>
      </c>
      <c r="H103" s="249" t="s">
        <v>226</v>
      </c>
      <c r="I103" s="249" t="s">
        <v>217</v>
      </c>
      <c r="J103" s="249" t="s">
        <v>226</v>
      </c>
    </row>
    <row r="104" spans="1:10">
      <c r="A104" s="264">
        <v>1</v>
      </c>
      <c r="B104" s="265" t="s">
        <v>268</v>
      </c>
      <c r="C104" s="266"/>
      <c r="D104" s="267"/>
      <c r="E104" s="268">
        <f>C104*D104</f>
        <v>0</v>
      </c>
      <c r="F104" s="266"/>
      <c r="G104" s="269"/>
      <c r="H104" s="268">
        <f>F104*G104</f>
        <v>0</v>
      </c>
      <c r="I104" s="268">
        <f t="shared" ref="I104:I110" si="2">C104+F104</f>
        <v>0</v>
      </c>
      <c r="J104" s="270">
        <f t="shared" ref="J104:J110" si="3">E104+H104</f>
        <v>0</v>
      </c>
    </row>
    <row r="105" spans="1:10">
      <c r="A105" s="264">
        <v>2</v>
      </c>
      <c r="B105" s="265" t="s">
        <v>269</v>
      </c>
      <c r="C105" s="266"/>
      <c r="D105" s="269"/>
      <c r="E105" s="268">
        <f>C105*D105</f>
        <v>0</v>
      </c>
      <c r="F105" s="266"/>
      <c r="G105" s="269"/>
      <c r="H105" s="268">
        <f>F105*G105</f>
        <v>0</v>
      </c>
      <c r="I105" s="268">
        <f t="shared" si="2"/>
        <v>0</v>
      </c>
      <c r="J105" s="270">
        <f t="shared" si="3"/>
        <v>0</v>
      </c>
    </row>
    <row r="106" spans="1:10">
      <c r="A106" s="264">
        <v>3</v>
      </c>
      <c r="B106" s="265" t="s">
        <v>270</v>
      </c>
      <c r="C106" s="266"/>
      <c r="D106" s="269"/>
      <c r="E106" s="268">
        <f>C106*D106</f>
        <v>0</v>
      </c>
      <c r="F106" s="266"/>
      <c r="G106" s="269"/>
      <c r="H106" s="268">
        <f>F106*G106</f>
        <v>0</v>
      </c>
      <c r="I106" s="268">
        <f t="shared" si="2"/>
        <v>0</v>
      </c>
      <c r="J106" s="270">
        <f t="shared" si="3"/>
        <v>0</v>
      </c>
    </row>
    <row r="107" spans="1:10">
      <c r="A107" s="264">
        <v>4</v>
      </c>
      <c r="B107" s="265" t="s">
        <v>271</v>
      </c>
      <c r="C107" s="266"/>
      <c r="D107" s="269"/>
      <c r="E107" s="268">
        <f>C107*D107</f>
        <v>0</v>
      </c>
      <c r="F107" s="266"/>
      <c r="G107" s="269"/>
      <c r="H107" s="268">
        <f>F107*G107</f>
        <v>0</v>
      </c>
      <c r="I107" s="268">
        <f t="shared" si="2"/>
        <v>0</v>
      </c>
      <c r="J107" s="270">
        <f t="shared" si="3"/>
        <v>0</v>
      </c>
    </row>
    <row r="108" spans="1:10">
      <c r="A108" s="264">
        <v>5</v>
      </c>
      <c r="B108" s="265" t="s">
        <v>272</v>
      </c>
      <c r="C108" s="266"/>
      <c r="D108" s="269"/>
      <c r="E108" s="268">
        <f>C108*D108</f>
        <v>0</v>
      </c>
      <c r="F108" s="266"/>
      <c r="G108" s="269"/>
      <c r="H108" s="268">
        <f>F108*G108</f>
        <v>0</v>
      </c>
      <c r="I108" s="268">
        <f t="shared" si="2"/>
        <v>0</v>
      </c>
      <c r="J108" s="270">
        <f t="shared" si="3"/>
        <v>0</v>
      </c>
    </row>
    <row r="109" spans="1:10">
      <c r="A109" s="271">
        <v>6</v>
      </c>
      <c r="B109" s="272" t="s">
        <v>273</v>
      </c>
      <c r="C109" s="273"/>
      <c r="D109" s="274"/>
      <c r="E109" s="275">
        <f>C109</f>
        <v>0</v>
      </c>
      <c r="F109" s="273"/>
      <c r="G109" s="274"/>
      <c r="H109" s="275">
        <f>F109</f>
        <v>0</v>
      </c>
      <c r="I109" s="275">
        <f t="shared" si="2"/>
        <v>0</v>
      </c>
      <c r="J109" s="276">
        <f t="shared" si="3"/>
        <v>0</v>
      </c>
    </row>
    <row r="110" spans="1:10">
      <c r="A110" s="277">
        <v>7</v>
      </c>
      <c r="B110" s="278" t="s">
        <v>11</v>
      </c>
      <c r="C110" s="279">
        <f>SUM(C104:C109)</f>
        <v>0</v>
      </c>
      <c r="D110" s="197"/>
      <c r="E110" s="279">
        <f>SUM(E104:E109)</f>
        <v>0</v>
      </c>
      <c r="F110" s="279">
        <f>SUM(F104:F109)</f>
        <v>0</v>
      </c>
      <c r="G110" s="197"/>
      <c r="H110" s="279">
        <f>SUM(H104:H109)</f>
        <v>0</v>
      </c>
      <c r="I110" s="279">
        <f t="shared" si="2"/>
        <v>0</v>
      </c>
      <c r="J110" s="280">
        <f t="shared" si="3"/>
        <v>0</v>
      </c>
    </row>
    <row r="111" spans="1:10">
      <c r="A111" s="281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1:10">
      <c r="A112" s="281"/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1:10">
      <c r="A113" s="120"/>
      <c r="B113" s="282" t="e">
        <f>[1]Info!$B$30</f>
        <v>#REF!</v>
      </c>
      <c r="C113" s="162"/>
      <c r="D113" s="162"/>
      <c r="E113" s="162"/>
      <c r="F113" s="162"/>
      <c r="G113" s="162"/>
      <c r="H113" s="162"/>
      <c r="I113" s="162"/>
      <c r="J113" s="162"/>
    </row>
    <row r="114" spans="1:10">
      <c r="A114" s="120"/>
      <c r="B114" s="282"/>
      <c r="C114" s="162"/>
      <c r="D114" s="162"/>
      <c r="E114" s="162"/>
      <c r="F114" s="162"/>
      <c r="G114" s="162"/>
      <c r="H114" s="162"/>
      <c r="I114" s="162"/>
      <c r="J114" s="162"/>
    </row>
    <row r="115" spans="1:10">
      <c r="A115" s="120"/>
      <c r="B115" s="282" t="e">
        <f>[1]Info!$B$32</f>
        <v>#REF!</v>
      </c>
      <c r="C115" s="162"/>
      <c r="D115" s="162"/>
      <c r="E115" s="162"/>
      <c r="F115" s="162"/>
      <c r="G115" s="162"/>
      <c r="H115" s="162"/>
      <c r="I115" s="162"/>
      <c r="J115" s="162"/>
    </row>
    <row r="116" spans="1:10">
      <c r="A116" s="283"/>
      <c r="B116" s="162"/>
      <c r="C116" s="162"/>
      <c r="D116" s="162"/>
      <c r="E116" s="162"/>
      <c r="F116" s="162"/>
      <c r="G116" s="162"/>
      <c r="H116" s="162"/>
      <c r="I116" s="162"/>
      <c r="J116" s="162"/>
    </row>
  </sheetData>
  <mergeCells count="83">
    <mergeCell ref="B15:H15"/>
    <mergeCell ref="B6:H6"/>
    <mergeCell ref="B7:H7"/>
    <mergeCell ref="B12:H12"/>
    <mergeCell ref="B13:H13"/>
    <mergeCell ref="B14:H14"/>
    <mergeCell ref="B27:H27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54:C54"/>
    <mergeCell ref="B55:C55"/>
    <mergeCell ref="B56:C56"/>
    <mergeCell ref="B28:H28"/>
    <mergeCell ref="B29:H29"/>
    <mergeCell ref="B30:H30"/>
    <mergeCell ref="B31:H31"/>
    <mergeCell ref="B32:H32"/>
    <mergeCell ref="G37:J37"/>
    <mergeCell ref="G52:J52"/>
    <mergeCell ref="A52:A53"/>
    <mergeCell ref="B52:C53"/>
    <mergeCell ref="D52:D53"/>
    <mergeCell ref="E52:E53"/>
    <mergeCell ref="F52:F53"/>
    <mergeCell ref="A37:A38"/>
    <mergeCell ref="B37:C38"/>
    <mergeCell ref="D37:D38"/>
    <mergeCell ref="E37:E38"/>
    <mergeCell ref="F37:F38"/>
    <mergeCell ref="B57:C57"/>
    <mergeCell ref="B58:C58"/>
    <mergeCell ref="B61:C61"/>
    <mergeCell ref="B62:C62"/>
    <mergeCell ref="B63:C63"/>
    <mergeCell ref="B59:C59"/>
    <mergeCell ref="B86:G86"/>
    <mergeCell ref="B87:G87"/>
    <mergeCell ref="B88:G88"/>
    <mergeCell ref="B64:C64"/>
    <mergeCell ref="A67:A68"/>
    <mergeCell ref="B67:C68"/>
    <mergeCell ref="B77:C77"/>
    <mergeCell ref="D67:D68"/>
    <mergeCell ref="B71:C71"/>
    <mergeCell ref="B72:C72"/>
    <mergeCell ref="B74:C74"/>
    <mergeCell ref="B75:C75"/>
    <mergeCell ref="B76:C76"/>
    <mergeCell ref="B81:G81"/>
    <mergeCell ref="B82:G82"/>
    <mergeCell ref="B83:G83"/>
    <mergeCell ref="B84:G84"/>
    <mergeCell ref="B85:G85"/>
    <mergeCell ref="E67:E68"/>
    <mergeCell ref="F67:F68"/>
    <mergeCell ref="G67:J67"/>
    <mergeCell ref="B69:C69"/>
    <mergeCell ref="B70:C70"/>
    <mergeCell ref="B89:G89"/>
    <mergeCell ref="B90:G90"/>
    <mergeCell ref="B91:G91"/>
    <mergeCell ref="I102:J102"/>
    <mergeCell ref="B95:G95"/>
    <mergeCell ref="B96:G96"/>
    <mergeCell ref="B97:G97"/>
    <mergeCell ref="B93:G93"/>
    <mergeCell ref="B94:G94"/>
    <mergeCell ref="B92:G92"/>
    <mergeCell ref="A102:A103"/>
    <mergeCell ref="B102:B103"/>
    <mergeCell ref="C102:E102"/>
    <mergeCell ref="F102:H102"/>
    <mergeCell ref="B98:G98"/>
    <mergeCell ref="B99:G99"/>
  </mergeCells>
  <dataValidations count="2">
    <dataValidation type="decimal" allowBlank="1" showInputMessage="1" showErrorMessage="1" sqref="J68">
      <formula1>0.5</formula1>
      <formula2>0.75</formula2>
    </dataValidation>
    <dataValidation type="whole" operator="lessThanOrEqual" allowBlank="1" showInputMessage="1" showErrorMessage="1" errorTitle="Should be negative number" error="Should be whole negative number or 0" sqref="I19:J19">
      <formula1>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E38"/>
  <sheetViews>
    <sheetView workbookViewId="0">
      <selection activeCell="B27" sqref="B27:H27"/>
    </sheetView>
  </sheetViews>
  <sheetFormatPr defaultColWidth="9.140625" defaultRowHeight="12.75"/>
  <cols>
    <col min="4" max="4" width="11.140625" bestFit="1" customWidth="1"/>
  </cols>
  <sheetData>
    <row r="1" spans="1:5" ht="13.5">
      <c r="A1" s="284" t="s">
        <v>0</v>
      </c>
      <c r="B1" s="285">
        <f>'RC'!B1</f>
        <v>0</v>
      </c>
      <c r="C1" s="286"/>
      <c r="D1" s="286"/>
      <c r="E1" s="286"/>
    </row>
    <row r="2" spans="1:5" ht="13.5">
      <c r="A2" s="284" t="s">
        <v>2</v>
      </c>
      <c r="B2" s="287" t="str">
        <f>'RC'!B2</f>
        <v>სს " პაშა ბანკი საქართველო"</v>
      </c>
      <c r="C2" s="286"/>
      <c r="D2" s="286"/>
      <c r="E2" s="286"/>
    </row>
    <row r="3" spans="1:5" ht="13.5">
      <c r="A3" s="288"/>
      <c r="B3" s="289"/>
      <c r="C3" s="288"/>
      <c r="D3" s="288"/>
      <c r="E3" s="288"/>
    </row>
    <row r="4" spans="1:5" ht="15.75">
      <c r="A4" s="290" t="s">
        <v>274</v>
      </c>
      <c r="B4" s="291" t="s">
        <v>275</v>
      </c>
      <c r="C4" s="288"/>
      <c r="D4" s="288"/>
      <c r="E4" s="292" t="s">
        <v>190</v>
      </c>
    </row>
    <row r="5" spans="1:5" ht="13.5">
      <c r="A5" s="293"/>
      <c r="B5" s="293"/>
      <c r="C5" s="294"/>
      <c r="D5" s="295"/>
      <c r="E5" s="295"/>
    </row>
    <row r="6" spans="1:5" ht="67.5">
      <c r="A6" s="296" t="s">
        <v>7</v>
      </c>
      <c r="B6" s="297"/>
      <c r="C6" s="298" t="s">
        <v>276</v>
      </c>
      <c r="D6" s="299" t="s">
        <v>277</v>
      </c>
      <c r="E6" s="300" t="s">
        <v>278</v>
      </c>
    </row>
    <row r="7" spans="1:5" ht="13.5">
      <c r="A7" s="301">
        <v>1</v>
      </c>
      <c r="B7" s="302" t="s">
        <v>279</v>
      </c>
      <c r="C7" s="325" t="s">
        <v>280</v>
      </c>
      <c r="D7" s="325">
        <f>D8+D9</f>
        <v>103000000</v>
      </c>
      <c r="E7" s="326">
        <f>SUM(E8:E9)</f>
        <v>103000000</v>
      </c>
    </row>
    <row r="8" spans="1:5" ht="13.5">
      <c r="A8" s="301">
        <v>1.1000000000000001</v>
      </c>
      <c r="B8" s="303" t="s">
        <v>38</v>
      </c>
      <c r="C8" s="304">
        <v>1</v>
      </c>
      <c r="D8" s="304">
        <v>103000000</v>
      </c>
      <c r="E8" s="326">
        <f>C8*D8</f>
        <v>103000000</v>
      </c>
    </row>
    <row r="9" spans="1:5" ht="13.5">
      <c r="A9" s="301">
        <v>1.2</v>
      </c>
      <c r="B9" s="303" t="s">
        <v>39</v>
      </c>
      <c r="C9" s="304"/>
      <c r="D9" s="304"/>
      <c r="E9" s="326">
        <f>C9*D9</f>
        <v>0</v>
      </c>
    </row>
    <row r="10" spans="1:5" ht="13.5">
      <c r="A10" s="301">
        <v>2</v>
      </c>
      <c r="B10" s="302" t="s">
        <v>281</v>
      </c>
      <c r="C10" s="325" t="s">
        <v>280</v>
      </c>
      <c r="D10" s="325">
        <f>D11+D12</f>
        <v>103000000</v>
      </c>
      <c r="E10" s="326">
        <f>SUM(E11:E12)</f>
        <v>103000000</v>
      </c>
    </row>
    <row r="11" spans="1:5" ht="13.5">
      <c r="A11" s="301">
        <v>2.1</v>
      </c>
      <c r="B11" s="303" t="s">
        <v>38</v>
      </c>
      <c r="C11" s="304">
        <v>1</v>
      </c>
      <c r="D11" s="304">
        <v>103000000</v>
      </c>
      <c r="E11" s="326">
        <f>C11*D11</f>
        <v>103000000</v>
      </c>
    </row>
    <row r="12" spans="1:5" ht="13.5">
      <c r="A12" s="301">
        <v>2.2000000000000002</v>
      </c>
      <c r="B12" s="303" t="s">
        <v>39</v>
      </c>
      <c r="C12" s="304"/>
      <c r="D12" s="304"/>
      <c r="E12" s="326">
        <f>C12*D12</f>
        <v>0</v>
      </c>
    </row>
    <row r="13" spans="1:5" ht="13.5">
      <c r="A13" s="301">
        <v>3</v>
      </c>
      <c r="B13" s="302" t="s">
        <v>282</v>
      </c>
      <c r="C13" s="325" t="s">
        <v>280</v>
      </c>
      <c r="D13" s="327">
        <f t="shared" ref="D13:E15" si="0">D7-D10</f>
        <v>0</v>
      </c>
      <c r="E13" s="326">
        <f t="shared" si="0"/>
        <v>0</v>
      </c>
    </row>
    <row r="14" spans="1:5" ht="13.5">
      <c r="A14" s="301">
        <v>3.1</v>
      </c>
      <c r="B14" s="303" t="s">
        <v>38</v>
      </c>
      <c r="C14" s="304"/>
      <c r="D14" s="327">
        <f t="shared" si="0"/>
        <v>0</v>
      </c>
      <c r="E14" s="326">
        <f t="shared" si="0"/>
        <v>0</v>
      </c>
    </row>
    <row r="15" spans="1:5" ht="13.5">
      <c r="A15" s="305">
        <v>3.2</v>
      </c>
      <c r="B15" s="306" t="s">
        <v>39</v>
      </c>
      <c r="C15" s="307"/>
      <c r="D15" s="328">
        <f t="shared" si="0"/>
        <v>0</v>
      </c>
      <c r="E15" s="329">
        <f t="shared" si="0"/>
        <v>0</v>
      </c>
    </row>
    <row r="16" spans="1:5" ht="13.5">
      <c r="A16" s="308"/>
      <c r="B16" s="309"/>
      <c r="C16" s="310"/>
      <c r="D16" s="310"/>
      <c r="E16" s="310"/>
    </row>
    <row r="17" spans="1:5" ht="15.75">
      <c r="A17" s="311" t="s">
        <v>283</v>
      </c>
      <c r="B17" s="291" t="s">
        <v>284</v>
      </c>
      <c r="C17" s="310"/>
      <c r="D17" s="310"/>
      <c r="E17" s="310"/>
    </row>
    <row r="18" spans="1:5" ht="13.5">
      <c r="A18" s="312"/>
      <c r="B18" s="312"/>
      <c r="C18" s="313"/>
      <c r="D18" s="313"/>
      <c r="E18" s="314"/>
    </row>
    <row r="19" spans="1:5" ht="67.5">
      <c r="A19" s="296" t="s">
        <v>7</v>
      </c>
      <c r="B19" s="315"/>
      <c r="C19" s="316" t="s">
        <v>285</v>
      </c>
      <c r="D19" s="316" t="s">
        <v>286</v>
      </c>
      <c r="E19" s="317" t="s">
        <v>287</v>
      </c>
    </row>
    <row r="20" spans="1:5" ht="13.5">
      <c r="A20" s="318">
        <v>1</v>
      </c>
      <c r="B20" s="303" t="s">
        <v>38</v>
      </c>
      <c r="C20" s="319">
        <v>103000000</v>
      </c>
      <c r="D20" s="319"/>
      <c r="E20" s="330">
        <f t="shared" ref="E20:E30" si="1">C20+D20</f>
        <v>103000000</v>
      </c>
    </row>
    <row r="21" spans="1:5" ht="13.5">
      <c r="A21" s="318">
        <v>2</v>
      </c>
      <c r="B21" s="303" t="s">
        <v>39</v>
      </c>
      <c r="C21" s="319">
        <v>0</v>
      </c>
      <c r="D21" s="319"/>
      <c r="E21" s="330">
        <f t="shared" si="1"/>
        <v>0</v>
      </c>
    </row>
    <row r="22" spans="1:5" ht="13.5">
      <c r="A22" s="318">
        <v>3</v>
      </c>
      <c r="B22" s="303" t="s">
        <v>288</v>
      </c>
      <c r="C22" s="319">
        <v>0</v>
      </c>
      <c r="D22" s="319"/>
      <c r="E22" s="330">
        <f t="shared" si="1"/>
        <v>0</v>
      </c>
    </row>
    <row r="23" spans="1:5" ht="13.5">
      <c r="A23" s="318">
        <v>4</v>
      </c>
      <c r="B23" s="303" t="s">
        <v>289</v>
      </c>
      <c r="C23" s="319">
        <v>0</v>
      </c>
      <c r="D23" s="319"/>
      <c r="E23" s="330">
        <f t="shared" si="1"/>
        <v>0</v>
      </c>
    </row>
    <row r="24" spans="1:5" ht="13.5">
      <c r="A24" s="318">
        <v>5</v>
      </c>
      <c r="B24" s="303" t="s">
        <v>290</v>
      </c>
      <c r="C24" s="319">
        <v>0</v>
      </c>
      <c r="D24" s="319"/>
      <c r="E24" s="330">
        <f t="shared" si="1"/>
        <v>0</v>
      </c>
    </row>
    <row r="25" spans="1:5" ht="13.5">
      <c r="A25" s="318">
        <v>6</v>
      </c>
      <c r="B25" s="303" t="s">
        <v>291</v>
      </c>
      <c r="C25" s="319">
        <v>0</v>
      </c>
      <c r="D25" s="319"/>
      <c r="E25" s="330">
        <f t="shared" si="1"/>
        <v>0</v>
      </c>
    </row>
    <row r="26" spans="1:5" ht="13.5">
      <c r="A26" s="318">
        <v>7</v>
      </c>
      <c r="B26" s="303" t="s">
        <v>42</v>
      </c>
      <c r="C26" s="331">
        <f>C27+C28</f>
        <v>0</v>
      </c>
      <c r="D26" s="331">
        <f>D27+D28</f>
        <v>0</v>
      </c>
      <c r="E26" s="330">
        <f t="shared" si="1"/>
        <v>0</v>
      </c>
    </row>
    <row r="27" spans="1:5" ht="13.5">
      <c r="A27" s="318">
        <v>7.1</v>
      </c>
      <c r="B27" s="320" t="s">
        <v>198</v>
      </c>
      <c r="C27" s="319">
        <v>0</v>
      </c>
      <c r="D27" s="319"/>
      <c r="E27" s="330">
        <f t="shared" si="1"/>
        <v>0</v>
      </c>
    </row>
    <row r="28" spans="1:5" ht="13.5">
      <c r="A28" s="318">
        <v>7.2</v>
      </c>
      <c r="B28" s="320" t="s">
        <v>204</v>
      </c>
      <c r="C28" s="319">
        <v>0</v>
      </c>
      <c r="D28" s="319"/>
      <c r="E28" s="330">
        <f t="shared" si="1"/>
        <v>0</v>
      </c>
    </row>
    <row r="29" spans="1:5" ht="13.5">
      <c r="A29" s="318">
        <v>8</v>
      </c>
      <c r="B29" s="303" t="s">
        <v>43</v>
      </c>
      <c r="C29" s="331">
        <f>C30</f>
        <v>-1794631.59</v>
      </c>
      <c r="D29" s="331">
        <f>D30+D31</f>
        <v>1423545.1800000004</v>
      </c>
      <c r="E29" s="330">
        <f t="shared" si="1"/>
        <v>-371086.40999999968</v>
      </c>
    </row>
    <row r="30" spans="1:5" ht="13.5">
      <c r="A30" s="318">
        <v>8.1</v>
      </c>
      <c r="B30" s="320" t="s">
        <v>292</v>
      </c>
      <c r="C30" s="319">
        <v>-1794631.59</v>
      </c>
      <c r="D30" s="319"/>
      <c r="E30" s="330">
        <f t="shared" si="1"/>
        <v>-1794631.59</v>
      </c>
    </row>
    <row r="31" spans="1:5" ht="13.5">
      <c r="A31" s="318">
        <v>8.1999999999999993</v>
      </c>
      <c r="B31" s="320" t="s">
        <v>293</v>
      </c>
      <c r="C31" s="327" t="s">
        <v>280</v>
      </c>
      <c r="D31" s="331">
        <f>RI!E67</f>
        <v>1423545.1800000004</v>
      </c>
      <c r="E31" s="330">
        <f>D31</f>
        <v>1423545.1800000004</v>
      </c>
    </row>
    <row r="32" spans="1:5" ht="13.5">
      <c r="A32" s="318">
        <v>9</v>
      </c>
      <c r="B32" s="303" t="s">
        <v>294</v>
      </c>
      <c r="C32" s="319"/>
      <c r="D32" s="319"/>
      <c r="E32" s="330">
        <f>C32+D32</f>
        <v>0</v>
      </c>
    </row>
    <row r="33" spans="1:5" ht="13.5">
      <c r="A33" s="321">
        <v>10</v>
      </c>
      <c r="B33" s="322" t="s">
        <v>45</v>
      </c>
      <c r="C33" s="332">
        <f>SUM(C20+C21+C22+C23+C24+C25+C26+C29+C32)</f>
        <v>101205368.41</v>
      </c>
      <c r="D33" s="332">
        <f>SUM(D20+D21+D22+D23+D24+D25+D26+D29+D32)</f>
        <v>1423545.1800000004</v>
      </c>
      <c r="E33" s="333">
        <f>C33+D33</f>
        <v>102628913.59</v>
      </c>
    </row>
    <row r="34" spans="1:5" ht="13.5">
      <c r="A34" s="323"/>
      <c r="B34" s="323"/>
      <c r="C34" s="324"/>
      <c r="D34" s="324"/>
      <c r="E34" s="324"/>
    </row>
    <row r="35" spans="1:5" ht="13.5">
      <c r="A35" s="285"/>
      <c r="B35" s="282">
        <f>info!$B$30</f>
        <v>0</v>
      </c>
      <c r="C35" s="324"/>
      <c r="D35" s="324"/>
      <c r="E35" s="324"/>
    </row>
    <row r="36" spans="1:5" ht="13.5">
      <c r="A36" s="285"/>
      <c r="B36" s="282"/>
      <c r="C36" s="324"/>
      <c r="D36" s="324"/>
      <c r="E36" s="324"/>
    </row>
    <row r="37" spans="1:5" ht="13.5">
      <c r="A37" s="285"/>
      <c r="B37" s="282">
        <f>info!$B$32</f>
        <v>0</v>
      </c>
      <c r="C37" s="324"/>
      <c r="D37" s="324"/>
      <c r="E37" s="324"/>
    </row>
    <row r="38" spans="1:5" ht="13.5">
      <c r="A38" s="323"/>
      <c r="B38" s="323"/>
      <c r="C38" s="324"/>
      <c r="D38" s="324"/>
      <c r="E38" s="3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M43"/>
  <sheetViews>
    <sheetView workbookViewId="0">
      <selection activeCell="B27" sqref="B27:H27"/>
    </sheetView>
  </sheetViews>
  <sheetFormatPr defaultColWidth="9.140625" defaultRowHeight="12.75"/>
  <sheetData>
    <row r="1" spans="1:13">
      <c r="A1" s="334" t="s">
        <v>0</v>
      </c>
      <c r="B1" s="335" t="e">
        <f>[1]RC!B1</f>
        <v>#REF!</v>
      </c>
      <c r="C1" s="282"/>
      <c r="D1" s="282"/>
      <c r="E1" s="282"/>
      <c r="F1" s="283"/>
      <c r="G1" s="283"/>
      <c r="H1" s="283"/>
      <c r="I1" s="336"/>
      <c r="J1" s="336"/>
      <c r="K1" s="336"/>
      <c r="L1" s="336"/>
      <c r="M1" s="336"/>
    </row>
    <row r="2" spans="1:13">
      <c r="A2" s="334" t="s">
        <v>2</v>
      </c>
      <c r="B2" s="337" t="e">
        <f>[1]Info!$C$5</f>
        <v>#REF!</v>
      </c>
      <c r="C2" s="282"/>
      <c r="D2" s="282"/>
      <c r="E2" s="282"/>
      <c r="F2" s="282"/>
      <c r="G2" s="282"/>
      <c r="H2" s="282"/>
      <c r="I2" s="336"/>
      <c r="J2" s="336"/>
      <c r="K2" s="336"/>
      <c r="L2" s="336"/>
      <c r="M2" s="336"/>
    </row>
    <row r="3" spans="1:13">
      <c r="A3" s="336"/>
      <c r="B3" s="338"/>
      <c r="C3" s="339"/>
      <c r="D3" s="339"/>
      <c r="E3" s="339"/>
      <c r="F3" s="339"/>
      <c r="G3" s="339"/>
      <c r="H3" s="339"/>
      <c r="I3" s="336"/>
      <c r="J3" s="336"/>
      <c r="K3" s="336"/>
      <c r="L3" s="336"/>
      <c r="M3" s="336"/>
    </row>
    <row r="4" spans="1:13">
      <c r="A4" s="340" t="s">
        <v>295</v>
      </c>
      <c r="B4" s="341" t="s">
        <v>22</v>
      </c>
      <c r="C4" s="336"/>
      <c r="D4" s="336"/>
      <c r="E4" s="336"/>
      <c r="F4" s="336"/>
      <c r="G4" s="336"/>
      <c r="H4" s="342" t="s">
        <v>190</v>
      </c>
      <c r="I4" s="336"/>
      <c r="J4" s="336"/>
      <c r="K4" s="336"/>
      <c r="L4" s="336"/>
      <c r="M4" s="336"/>
    </row>
    <row r="5" spans="1:13">
      <c r="A5" s="336"/>
      <c r="B5" s="336"/>
      <c r="C5" s="336"/>
      <c r="D5" s="336"/>
      <c r="E5" s="343"/>
      <c r="F5" s="343"/>
      <c r="G5" s="343"/>
      <c r="H5" s="343"/>
      <c r="I5" s="336"/>
      <c r="J5" s="336"/>
      <c r="K5" s="336"/>
      <c r="L5" s="336"/>
      <c r="M5" s="336"/>
    </row>
    <row r="6" spans="1:13">
      <c r="A6" s="484" t="s">
        <v>7</v>
      </c>
      <c r="B6" s="486" t="s">
        <v>296</v>
      </c>
      <c r="C6" s="486" t="s">
        <v>297</v>
      </c>
      <c r="D6" s="486" t="s">
        <v>298</v>
      </c>
      <c r="E6" s="486"/>
      <c r="F6" s="486"/>
      <c r="G6" s="486" t="s">
        <v>299</v>
      </c>
      <c r="H6" s="488" t="s">
        <v>300</v>
      </c>
      <c r="I6" s="479" t="s">
        <v>301</v>
      </c>
      <c r="J6" s="480"/>
      <c r="K6" s="481"/>
      <c r="L6" s="482" t="s">
        <v>302</v>
      </c>
      <c r="M6" s="482" t="s">
        <v>303</v>
      </c>
    </row>
    <row r="7" spans="1:13" ht="25.5">
      <c r="A7" s="485"/>
      <c r="B7" s="487"/>
      <c r="C7" s="487"/>
      <c r="D7" s="344" t="s">
        <v>9</v>
      </c>
      <c r="E7" s="344" t="s">
        <v>10</v>
      </c>
      <c r="F7" s="344" t="s">
        <v>11</v>
      </c>
      <c r="G7" s="487"/>
      <c r="H7" s="489"/>
      <c r="I7" s="345" t="s">
        <v>9</v>
      </c>
      <c r="J7" s="345" t="s">
        <v>10</v>
      </c>
      <c r="K7" s="345" t="s">
        <v>11</v>
      </c>
      <c r="L7" s="483"/>
      <c r="M7" s="483"/>
    </row>
    <row r="8" spans="1:13">
      <c r="A8" s="346">
        <v>1</v>
      </c>
      <c r="B8" s="347" t="s">
        <v>304</v>
      </c>
      <c r="C8" s="348"/>
      <c r="D8" s="349">
        <f>SUM(D9:D20)</f>
        <v>0</v>
      </c>
      <c r="E8" s="349">
        <f>SUM(E9:E20)</f>
        <v>0</v>
      </c>
      <c r="F8" s="349">
        <f t="shared" ref="F8:F37" si="0">D8+E8</f>
        <v>0</v>
      </c>
      <c r="G8" s="348"/>
      <c r="H8" s="350">
        <f>IFERROR(F8/'[1]RI-C'!E$33,0)</f>
        <v>0</v>
      </c>
      <c r="I8" s="349">
        <f>SUM(I9:I20)</f>
        <v>0</v>
      </c>
      <c r="J8" s="349">
        <f>SUM(J9:J20)</f>
        <v>0</v>
      </c>
      <c r="K8" s="351">
        <f t="shared" ref="K8:K36" si="1">I8+J8</f>
        <v>0</v>
      </c>
      <c r="L8" s="349">
        <f>SUM(L9:L20)</f>
        <v>0</v>
      </c>
      <c r="M8" s="352">
        <f t="shared" ref="M8:M37" si="2">F8+K8+L8</f>
        <v>0</v>
      </c>
    </row>
    <row r="9" spans="1:13">
      <c r="A9" s="353">
        <v>1.01</v>
      </c>
      <c r="B9" s="354"/>
      <c r="C9" s="355"/>
      <c r="D9" s="356"/>
      <c r="E9" s="356"/>
      <c r="F9" s="349">
        <f t="shared" si="0"/>
        <v>0</v>
      </c>
      <c r="G9" s="357"/>
      <c r="H9" s="350">
        <f>IFERROR(F9/'[1]RI-C'!E$33,0)</f>
        <v>0</v>
      </c>
      <c r="I9" s="358"/>
      <c r="J9" s="358"/>
      <c r="K9" s="351">
        <f t="shared" si="1"/>
        <v>0</v>
      </c>
      <c r="L9" s="359"/>
      <c r="M9" s="352">
        <f t="shared" si="2"/>
        <v>0</v>
      </c>
    </row>
    <row r="10" spans="1:13">
      <c r="A10" s="353">
        <v>1.02</v>
      </c>
      <c r="B10" s="354"/>
      <c r="C10" s="355"/>
      <c r="D10" s="356"/>
      <c r="E10" s="356"/>
      <c r="F10" s="349">
        <f t="shared" si="0"/>
        <v>0</v>
      </c>
      <c r="G10" s="357"/>
      <c r="H10" s="350">
        <f>IFERROR(F10/'[1]RI-C'!E$33,0)</f>
        <v>0</v>
      </c>
      <c r="I10" s="358"/>
      <c r="J10" s="358"/>
      <c r="K10" s="351">
        <f t="shared" si="1"/>
        <v>0</v>
      </c>
      <c r="L10" s="359"/>
      <c r="M10" s="352">
        <f t="shared" si="2"/>
        <v>0</v>
      </c>
    </row>
    <row r="11" spans="1:13">
      <c r="A11" s="353">
        <v>1.03</v>
      </c>
      <c r="B11" s="354"/>
      <c r="C11" s="355"/>
      <c r="D11" s="356"/>
      <c r="E11" s="356"/>
      <c r="F11" s="349">
        <f t="shared" si="0"/>
        <v>0</v>
      </c>
      <c r="G11" s="357"/>
      <c r="H11" s="350">
        <f>IFERROR(F11/'[1]RI-C'!E$33,0)</f>
        <v>0</v>
      </c>
      <c r="I11" s="358"/>
      <c r="J11" s="358"/>
      <c r="K11" s="351">
        <f t="shared" si="1"/>
        <v>0</v>
      </c>
      <c r="L11" s="359"/>
      <c r="M11" s="352">
        <f t="shared" si="2"/>
        <v>0</v>
      </c>
    </row>
    <row r="12" spans="1:13">
      <c r="A12" s="353">
        <v>1.04</v>
      </c>
      <c r="B12" s="354"/>
      <c r="C12" s="355"/>
      <c r="D12" s="356"/>
      <c r="E12" s="356"/>
      <c r="F12" s="349">
        <f t="shared" si="0"/>
        <v>0</v>
      </c>
      <c r="G12" s="357"/>
      <c r="H12" s="350">
        <f>IFERROR(F12/'[1]RI-C'!E$33,0)</f>
        <v>0</v>
      </c>
      <c r="I12" s="358"/>
      <c r="J12" s="358"/>
      <c r="K12" s="351">
        <f t="shared" si="1"/>
        <v>0</v>
      </c>
      <c r="L12" s="359"/>
      <c r="M12" s="352">
        <f t="shared" si="2"/>
        <v>0</v>
      </c>
    </row>
    <row r="13" spans="1:13">
      <c r="A13" s="353">
        <v>1.05</v>
      </c>
      <c r="B13" s="354"/>
      <c r="C13" s="355"/>
      <c r="D13" s="356"/>
      <c r="E13" s="356"/>
      <c r="F13" s="349">
        <f t="shared" si="0"/>
        <v>0</v>
      </c>
      <c r="G13" s="357"/>
      <c r="H13" s="350">
        <f>IFERROR(F13/'[1]RI-C'!E$33,0)</f>
        <v>0</v>
      </c>
      <c r="I13" s="358"/>
      <c r="J13" s="358"/>
      <c r="K13" s="351">
        <f t="shared" si="1"/>
        <v>0</v>
      </c>
      <c r="L13" s="359"/>
      <c r="M13" s="352">
        <f t="shared" si="2"/>
        <v>0</v>
      </c>
    </row>
    <row r="14" spans="1:13">
      <c r="A14" s="353">
        <v>1.06</v>
      </c>
      <c r="B14" s="354"/>
      <c r="C14" s="355"/>
      <c r="D14" s="356"/>
      <c r="E14" s="356"/>
      <c r="F14" s="349">
        <f t="shared" si="0"/>
        <v>0</v>
      </c>
      <c r="G14" s="357"/>
      <c r="H14" s="350">
        <f>IFERROR(F14/'[1]RI-C'!E$33,0)</f>
        <v>0</v>
      </c>
      <c r="I14" s="358"/>
      <c r="J14" s="358"/>
      <c r="K14" s="351">
        <f t="shared" si="1"/>
        <v>0</v>
      </c>
      <c r="L14" s="359"/>
      <c r="M14" s="352">
        <f t="shared" si="2"/>
        <v>0</v>
      </c>
    </row>
    <row r="15" spans="1:13">
      <c r="A15" s="353">
        <v>1.07</v>
      </c>
      <c r="B15" s="354"/>
      <c r="C15" s="355"/>
      <c r="D15" s="356"/>
      <c r="E15" s="356"/>
      <c r="F15" s="349">
        <f t="shared" si="0"/>
        <v>0</v>
      </c>
      <c r="G15" s="357"/>
      <c r="H15" s="350">
        <f>IFERROR(F15/'[1]RI-C'!E$33,0)</f>
        <v>0</v>
      </c>
      <c r="I15" s="358"/>
      <c r="J15" s="358"/>
      <c r="K15" s="351">
        <f t="shared" si="1"/>
        <v>0</v>
      </c>
      <c r="L15" s="359"/>
      <c r="M15" s="352">
        <f t="shared" si="2"/>
        <v>0</v>
      </c>
    </row>
    <row r="16" spans="1:13">
      <c r="A16" s="353">
        <v>1.08</v>
      </c>
      <c r="B16" s="354"/>
      <c r="C16" s="355"/>
      <c r="D16" s="356"/>
      <c r="E16" s="356"/>
      <c r="F16" s="349">
        <f t="shared" si="0"/>
        <v>0</v>
      </c>
      <c r="G16" s="357"/>
      <c r="H16" s="350">
        <f>IFERROR(F16/'[1]RI-C'!E$33,0)</f>
        <v>0</v>
      </c>
      <c r="I16" s="358"/>
      <c r="J16" s="358"/>
      <c r="K16" s="351">
        <f t="shared" si="1"/>
        <v>0</v>
      </c>
      <c r="L16" s="359"/>
      <c r="M16" s="352">
        <f t="shared" si="2"/>
        <v>0</v>
      </c>
    </row>
    <row r="17" spans="1:13">
      <c r="A17" s="353">
        <v>1.0900000000000001</v>
      </c>
      <c r="B17" s="354"/>
      <c r="C17" s="355"/>
      <c r="D17" s="356"/>
      <c r="E17" s="356"/>
      <c r="F17" s="349">
        <f t="shared" si="0"/>
        <v>0</v>
      </c>
      <c r="G17" s="357"/>
      <c r="H17" s="350">
        <f>IFERROR(F17/'[1]RI-C'!E$33,0)</f>
        <v>0</v>
      </c>
      <c r="I17" s="358"/>
      <c r="J17" s="358"/>
      <c r="K17" s="351">
        <f t="shared" si="1"/>
        <v>0</v>
      </c>
      <c r="L17" s="359"/>
      <c r="M17" s="352">
        <f t="shared" si="2"/>
        <v>0</v>
      </c>
    </row>
    <row r="18" spans="1:13">
      <c r="A18" s="360">
        <v>1.1000000000000001</v>
      </c>
      <c r="B18" s="354"/>
      <c r="C18" s="355"/>
      <c r="D18" s="356"/>
      <c r="E18" s="356"/>
      <c r="F18" s="349">
        <f t="shared" si="0"/>
        <v>0</v>
      </c>
      <c r="G18" s="357"/>
      <c r="H18" s="350">
        <f>IFERROR(F18/'[1]RI-C'!E$33,0)</f>
        <v>0</v>
      </c>
      <c r="I18" s="358"/>
      <c r="J18" s="358"/>
      <c r="K18" s="351">
        <f t="shared" si="1"/>
        <v>0</v>
      </c>
      <c r="L18" s="359"/>
      <c r="M18" s="352">
        <f t="shared" si="2"/>
        <v>0</v>
      </c>
    </row>
    <row r="19" spans="1:13">
      <c r="A19" s="353">
        <v>1.1100000000000001</v>
      </c>
      <c r="B19" s="354"/>
      <c r="C19" s="355"/>
      <c r="D19" s="356"/>
      <c r="E19" s="356"/>
      <c r="F19" s="349">
        <f t="shared" si="0"/>
        <v>0</v>
      </c>
      <c r="G19" s="357"/>
      <c r="H19" s="350">
        <f>IFERROR(F19/'[1]RI-C'!E$33,0)</f>
        <v>0</v>
      </c>
      <c r="I19" s="358"/>
      <c r="J19" s="358"/>
      <c r="K19" s="351">
        <f t="shared" si="1"/>
        <v>0</v>
      </c>
      <c r="L19" s="359"/>
      <c r="M19" s="352">
        <f t="shared" si="2"/>
        <v>0</v>
      </c>
    </row>
    <row r="20" spans="1:13">
      <c r="A20" s="353">
        <v>1.1200000000000001</v>
      </c>
      <c r="B20" s="354"/>
      <c r="C20" s="355"/>
      <c r="D20" s="356"/>
      <c r="E20" s="356"/>
      <c r="F20" s="349">
        <f t="shared" si="0"/>
        <v>0</v>
      </c>
      <c r="G20" s="357"/>
      <c r="H20" s="350">
        <f>IFERROR(F20/'[1]RI-C'!E$33,0)</f>
        <v>0</v>
      </c>
      <c r="I20" s="358"/>
      <c r="J20" s="358"/>
      <c r="K20" s="351">
        <f t="shared" si="1"/>
        <v>0</v>
      </c>
      <c r="L20" s="359"/>
      <c r="M20" s="352">
        <f t="shared" si="2"/>
        <v>0</v>
      </c>
    </row>
    <row r="21" spans="1:13">
      <c r="A21" s="346">
        <v>2</v>
      </c>
      <c r="B21" s="347" t="s">
        <v>305</v>
      </c>
      <c r="C21" s="348"/>
      <c r="D21" s="349">
        <f>SUM(D22:D28)</f>
        <v>0</v>
      </c>
      <c r="E21" s="349">
        <v>0</v>
      </c>
      <c r="F21" s="349">
        <f t="shared" si="0"/>
        <v>0</v>
      </c>
      <c r="G21" s="348"/>
      <c r="H21" s="350">
        <f>IFERROR(F21/'[1]RI-C'!E$33,0)</f>
        <v>0</v>
      </c>
      <c r="I21" s="349">
        <f>SUM(I22:I28)</f>
        <v>0</v>
      </c>
      <c r="J21" s="349">
        <v>0</v>
      </c>
      <c r="K21" s="351">
        <f t="shared" si="1"/>
        <v>0</v>
      </c>
      <c r="L21" s="349">
        <v>0</v>
      </c>
      <c r="M21" s="352">
        <f t="shared" si="2"/>
        <v>0</v>
      </c>
    </row>
    <row r="22" spans="1:13">
      <c r="A22" s="353">
        <v>2.0099999999999998</v>
      </c>
      <c r="B22" s="354"/>
      <c r="C22" s="355"/>
      <c r="D22" s="356"/>
      <c r="E22" s="356"/>
      <c r="F22" s="349">
        <f t="shared" si="0"/>
        <v>0</v>
      </c>
      <c r="G22" s="357"/>
      <c r="H22" s="350">
        <f>IFERROR(F22/'[1]RI-C'!E$33,0)</f>
        <v>0</v>
      </c>
      <c r="I22" s="358"/>
      <c r="J22" s="358"/>
      <c r="K22" s="351">
        <f t="shared" si="1"/>
        <v>0</v>
      </c>
      <c r="L22" s="359"/>
      <c r="M22" s="352">
        <f t="shared" si="2"/>
        <v>0</v>
      </c>
    </row>
    <row r="23" spans="1:13">
      <c r="A23" s="353">
        <v>2.02</v>
      </c>
      <c r="B23" s="354"/>
      <c r="C23" s="355"/>
      <c r="D23" s="356"/>
      <c r="E23" s="356"/>
      <c r="F23" s="349">
        <f t="shared" si="0"/>
        <v>0</v>
      </c>
      <c r="G23" s="357"/>
      <c r="H23" s="350">
        <f>IFERROR(F23/'[1]RI-C'!E$33,0)</f>
        <v>0</v>
      </c>
      <c r="I23" s="358"/>
      <c r="J23" s="358"/>
      <c r="K23" s="351">
        <f t="shared" si="1"/>
        <v>0</v>
      </c>
      <c r="L23" s="359"/>
      <c r="M23" s="352">
        <f t="shared" si="2"/>
        <v>0</v>
      </c>
    </row>
    <row r="24" spans="1:13">
      <c r="A24" s="353">
        <v>2.0299999999999998</v>
      </c>
      <c r="B24" s="354"/>
      <c r="C24" s="355"/>
      <c r="D24" s="356"/>
      <c r="E24" s="356"/>
      <c r="F24" s="349">
        <f t="shared" si="0"/>
        <v>0</v>
      </c>
      <c r="G24" s="357"/>
      <c r="H24" s="350">
        <f>IFERROR(F24/'[1]RI-C'!E$33,0)</f>
        <v>0</v>
      </c>
      <c r="I24" s="358"/>
      <c r="J24" s="358"/>
      <c r="K24" s="351">
        <f t="shared" si="1"/>
        <v>0</v>
      </c>
      <c r="L24" s="359"/>
      <c r="M24" s="352">
        <f t="shared" si="2"/>
        <v>0</v>
      </c>
    </row>
    <row r="25" spans="1:13">
      <c r="A25" s="353">
        <v>2.04</v>
      </c>
      <c r="B25" s="354"/>
      <c r="C25" s="355"/>
      <c r="D25" s="356"/>
      <c r="E25" s="356"/>
      <c r="F25" s="349">
        <f t="shared" si="0"/>
        <v>0</v>
      </c>
      <c r="G25" s="357"/>
      <c r="H25" s="350">
        <f>IFERROR(F25/'[1]RI-C'!E$33,0)</f>
        <v>0</v>
      </c>
      <c r="I25" s="358"/>
      <c r="J25" s="358"/>
      <c r="K25" s="351">
        <f t="shared" si="1"/>
        <v>0</v>
      </c>
      <c r="L25" s="359"/>
      <c r="M25" s="352">
        <f t="shared" si="2"/>
        <v>0</v>
      </c>
    </row>
    <row r="26" spans="1:13">
      <c r="A26" s="353">
        <v>2.0499999999999998</v>
      </c>
      <c r="B26" s="354"/>
      <c r="C26" s="355"/>
      <c r="D26" s="356"/>
      <c r="E26" s="356"/>
      <c r="F26" s="349">
        <f t="shared" si="0"/>
        <v>0</v>
      </c>
      <c r="G26" s="357"/>
      <c r="H26" s="350">
        <f>IFERROR(F26/'[1]RI-C'!E$33,0)</f>
        <v>0</v>
      </c>
      <c r="I26" s="358"/>
      <c r="J26" s="358"/>
      <c r="K26" s="351">
        <f t="shared" si="1"/>
        <v>0</v>
      </c>
      <c r="L26" s="359"/>
      <c r="M26" s="352">
        <f t="shared" si="2"/>
        <v>0</v>
      </c>
    </row>
    <row r="27" spans="1:13">
      <c r="A27" s="353">
        <v>2.06</v>
      </c>
      <c r="B27" s="354"/>
      <c r="C27" s="355"/>
      <c r="D27" s="356"/>
      <c r="E27" s="356"/>
      <c r="F27" s="349">
        <f t="shared" si="0"/>
        <v>0</v>
      </c>
      <c r="G27" s="357"/>
      <c r="H27" s="350">
        <f>IFERROR(F27/'[1]RI-C'!E$33,0)</f>
        <v>0</v>
      </c>
      <c r="I27" s="358"/>
      <c r="J27" s="358"/>
      <c r="K27" s="351">
        <f t="shared" si="1"/>
        <v>0</v>
      </c>
      <c r="L27" s="359"/>
      <c r="M27" s="352">
        <f t="shared" si="2"/>
        <v>0</v>
      </c>
    </row>
    <row r="28" spans="1:13">
      <c r="A28" s="353">
        <v>2.0699999999999998</v>
      </c>
      <c r="B28" s="354"/>
      <c r="C28" s="355"/>
      <c r="D28" s="356"/>
      <c r="E28" s="356"/>
      <c r="F28" s="349">
        <f t="shared" si="0"/>
        <v>0</v>
      </c>
      <c r="G28" s="357"/>
      <c r="H28" s="350">
        <f>IFERROR(F28/'[1]RI-C'!E$33,0)</f>
        <v>0</v>
      </c>
      <c r="I28" s="358"/>
      <c r="J28" s="358"/>
      <c r="K28" s="351">
        <f t="shared" si="1"/>
        <v>0</v>
      </c>
      <c r="L28" s="359"/>
      <c r="M28" s="352">
        <f t="shared" si="2"/>
        <v>0</v>
      </c>
    </row>
    <row r="29" spans="1:13">
      <c r="A29" s="346">
        <v>3</v>
      </c>
      <c r="B29" s="347" t="s">
        <v>306</v>
      </c>
      <c r="C29" s="348"/>
      <c r="D29" s="349">
        <f>SUM(D30:D36)</f>
        <v>0</v>
      </c>
      <c r="E29" s="349">
        <f>SUM(E30:E36)</f>
        <v>0</v>
      </c>
      <c r="F29" s="349">
        <f t="shared" si="0"/>
        <v>0</v>
      </c>
      <c r="G29" s="348"/>
      <c r="H29" s="350">
        <f>IFERROR(F29/'[1]RI-C'!E$33,0)</f>
        <v>0</v>
      </c>
      <c r="I29" s="349">
        <f>SUM(I30:I36)</f>
        <v>0</v>
      </c>
      <c r="J29" s="349">
        <f>SUM(J30:J36)</f>
        <v>0</v>
      </c>
      <c r="K29" s="351">
        <f t="shared" si="1"/>
        <v>0</v>
      </c>
      <c r="L29" s="349">
        <f>SUM(L30:L36)</f>
        <v>0</v>
      </c>
      <c r="M29" s="352">
        <f t="shared" si="2"/>
        <v>0</v>
      </c>
    </row>
    <row r="30" spans="1:13">
      <c r="A30" s="353">
        <v>3.01</v>
      </c>
      <c r="B30" s="354"/>
      <c r="C30" s="355"/>
      <c r="D30" s="356"/>
      <c r="E30" s="356"/>
      <c r="F30" s="349">
        <f t="shared" si="0"/>
        <v>0</v>
      </c>
      <c r="G30" s="357"/>
      <c r="H30" s="350">
        <f>IFERROR(F30/'[1]RI-C'!E$33,0)</f>
        <v>0</v>
      </c>
      <c r="I30" s="358"/>
      <c r="J30" s="358"/>
      <c r="K30" s="351">
        <f t="shared" si="1"/>
        <v>0</v>
      </c>
      <c r="L30" s="359"/>
      <c r="M30" s="352">
        <f t="shared" si="2"/>
        <v>0</v>
      </c>
    </row>
    <row r="31" spans="1:13">
      <c r="A31" s="353">
        <v>3.02</v>
      </c>
      <c r="B31" s="354"/>
      <c r="C31" s="355"/>
      <c r="D31" s="356"/>
      <c r="E31" s="356"/>
      <c r="F31" s="349">
        <f t="shared" si="0"/>
        <v>0</v>
      </c>
      <c r="G31" s="357"/>
      <c r="H31" s="350">
        <f>IFERROR(F31/'[1]RI-C'!E$33,0)</f>
        <v>0</v>
      </c>
      <c r="I31" s="358"/>
      <c r="J31" s="358"/>
      <c r="K31" s="351">
        <f t="shared" si="1"/>
        <v>0</v>
      </c>
      <c r="L31" s="359"/>
      <c r="M31" s="352">
        <f t="shared" si="2"/>
        <v>0</v>
      </c>
    </row>
    <row r="32" spans="1:13">
      <c r="A32" s="353">
        <v>3.03</v>
      </c>
      <c r="B32" s="354"/>
      <c r="C32" s="355"/>
      <c r="D32" s="356"/>
      <c r="E32" s="356"/>
      <c r="F32" s="349">
        <f t="shared" si="0"/>
        <v>0</v>
      </c>
      <c r="G32" s="357"/>
      <c r="H32" s="350">
        <f>IFERROR(F32/'[1]RI-C'!E$33,0)</f>
        <v>0</v>
      </c>
      <c r="I32" s="358"/>
      <c r="J32" s="358"/>
      <c r="K32" s="351">
        <f t="shared" si="1"/>
        <v>0</v>
      </c>
      <c r="L32" s="359"/>
      <c r="M32" s="352">
        <f t="shared" si="2"/>
        <v>0</v>
      </c>
    </row>
    <row r="33" spans="1:13">
      <c r="A33" s="353">
        <v>3.04</v>
      </c>
      <c r="B33" s="354"/>
      <c r="C33" s="355"/>
      <c r="D33" s="356"/>
      <c r="E33" s="356"/>
      <c r="F33" s="349">
        <f t="shared" si="0"/>
        <v>0</v>
      </c>
      <c r="G33" s="357"/>
      <c r="H33" s="350">
        <f>IFERROR(F33/'[1]RI-C'!E$33,0)</f>
        <v>0</v>
      </c>
      <c r="I33" s="358"/>
      <c r="J33" s="358"/>
      <c r="K33" s="351">
        <f t="shared" si="1"/>
        <v>0</v>
      </c>
      <c r="L33" s="359"/>
      <c r="M33" s="352">
        <f t="shared" si="2"/>
        <v>0</v>
      </c>
    </row>
    <row r="34" spans="1:13">
      <c r="A34" s="353">
        <v>3.05</v>
      </c>
      <c r="B34" s="354"/>
      <c r="C34" s="355"/>
      <c r="D34" s="356"/>
      <c r="E34" s="356"/>
      <c r="F34" s="349">
        <f t="shared" si="0"/>
        <v>0</v>
      </c>
      <c r="G34" s="357"/>
      <c r="H34" s="350">
        <f>IFERROR(F34/'[1]RI-C'!E$33,0)</f>
        <v>0</v>
      </c>
      <c r="I34" s="358"/>
      <c r="J34" s="358"/>
      <c r="K34" s="351">
        <f t="shared" si="1"/>
        <v>0</v>
      </c>
      <c r="L34" s="359"/>
      <c r="M34" s="352">
        <f t="shared" si="2"/>
        <v>0</v>
      </c>
    </row>
    <row r="35" spans="1:13">
      <c r="A35" s="353">
        <v>3.06</v>
      </c>
      <c r="B35" s="354"/>
      <c r="C35" s="355"/>
      <c r="D35" s="356"/>
      <c r="E35" s="356"/>
      <c r="F35" s="349">
        <f t="shared" si="0"/>
        <v>0</v>
      </c>
      <c r="G35" s="357"/>
      <c r="H35" s="350">
        <f>IFERROR(F35/'[1]RI-C'!E$33,0)</f>
        <v>0</v>
      </c>
      <c r="I35" s="358"/>
      <c r="J35" s="358"/>
      <c r="K35" s="351">
        <f t="shared" si="1"/>
        <v>0</v>
      </c>
      <c r="L35" s="359"/>
      <c r="M35" s="352">
        <f t="shared" si="2"/>
        <v>0</v>
      </c>
    </row>
    <row r="36" spans="1:13">
      <c r="A36" s="353">
        <v>3.07</v>
      </c>
      <c r="B36" s="354"/>
      <c r="C36" s="355"/>
      <c r="D36" s="361"/>
      <c r="E36" s="361"/>
      <c r="F36" s="362">
        <f t="shared" si="0"/>
        <v>0</v>
      </c>
      <c r="G36" s="357"/>
      <c r="H36" s="363">
        <f>IFERROR(F36/'[1]RI-C'!E$33,0)</f>
        <v>0</v>
      </c>
      <c r="I36" s="364"/>
      <c r="J36" s="364"/>
      <c r="K36" s="351">
        <f t="shared" si="1"/>
        <v>0</v>
      </c>
      <c r="L36" s="359"/>
      <c r="M36" s="352">
        <f t="shared" si="2"/>
        <v>0</v>
      </c>
    </row>
    <row r="37" spans="1:13">
      <c r="A37" s="365">
        <v>4</v>
      </c>
      <c r="B37" s="366" t="s">
        <v>307</v>
      </c>
      <c r="C37" s="367"/>
      <c r="D37" s="368">
        <f>D29+D21+D8</f>
        <v>0</v>
      </c>
      <c r="E37" s="368">
        <f>E29+E21+E8</f>
        <v>0</v>
      </c>
      <c r="F37" s="368">
        <f t="shared" si="0"/>
        <v>0</v>
      </c>
      <c r="G37" s="367"/>
      <c r="H37" s="369">
        <f>IFERROR(F37/'[1]RI-C'!E$33,0)</f>
        <v>0</v>
      </c>
      <c r="I37" s="368">
        <f>I29+I21+I8</f>
        <v>0</v>
      </c>
      <c r="J37" s="368">
        <f>J29+J21+J8</f>
        <v>0</v>
      </c>
      <c r="K37" s="370">
        <f>K29+K21+K8</f>
        <v>0</v>
      </c>
      <c r="L37" s="368">
        <f>L29+L21+L8</f>
        <v>0</v>
      </c>
      <c r="M37" s="371">
        <f t="shared" si="2"/>
        <v>0</v>
      </c>
    </row>
    <row r="38" spans="1:13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</row>
    <row r="39" spans="1:13" ht="13.5">
      <c r="A39" s="283"/>
      <c r="B39" s="372" t="s">
        <v>308</v>
      </c>
      <c r="C39" s="283"/>
      <c r="D39" s="283"/>
      <c r="E39" s="283"/>
      <c r="F39" s="283"/>
      <c r="G39" s="283"/>
      <c r="H39" s="283"/>
      <c r="I39" s="283"/>
      <c r="J39" s="336"/>
      <c r="K39" s="336"/>
      <c r="L39" s="336"/>
      <c r="M39" s="336"/>
    </row>
    <row r="40" spans="1:13">
      <c r="A40" s="283"/>
      <c r="B40" s="283"/>
      <c r="C40" s="283"/>
      <c r="D40" s="283"/>
      <c r="E40" s="283"/>
      <c r="F40" s="283"/>
      <c r="G40" s="283"/>
      <c r="H40" s="283"/>
      <c r="I40" s="283"/>
      <c r="J40" s="336"/>
      <c r="K40" s="336"/>
      <c r="L40" s="336"/>
      <c r="M40" s="336"/>
    </row>
    <row r="41" spans="1:13">
      <c r="A41" s="283"/>
      <c r="B41" s="282" t="e">
        <f>[1]Info!$B$30</f>
        <v>#REF!</v>
      </c>
      <c r="C41" s="283"/>
      <c r="D41" s="283"/>
      <c r="E41" s="283"/>
      <c r="F41" s="283"/>
      <c r="G41" s="283"/>
      <c r="H41" s="283"/>
      <c r="I41" s="283"/>
      <c r="J41" s="336"/>
      <c r="K41" s="336"/>
      <c r="L41" s="336"/>
      <c r="M41" s="336"/>
    </row>
    <row r="42" spans="1:13">
      <c r="A42" s="120"/>
      <c r="B42" s="282"/>
      <c r="C42" s="283"/>
      <c r="D42" s="283"/>
      <c r="E42" s="283"/>
      <c r="F42" s="283"/>
      <c r="G42" s="283"/>
      <c r="H42" s="283"/>
      <c r="I42" s="283"/>
      <c r="J42" s="336"/>
      <c r="K42" s="336"/>
      <c r="L42" s="336"/>
      <c r="M42" s="336"/>
    </row>
    <row r="43" spans="1:13">
      <c r="A43" s="120"/>
      <c r="B43" s="282" t="e">
        <f>[1]Info!$B$32</f>
        <v>#REF!</v>
      </c>
      <c r="C43" s="283"/>
      <c r="D43" s="283"/>
      <c r="E43" s="283"/>
      <c r="F43" s="283"/>
      <c r="G43" s="283"/>
      <c r="H43" s="283"/>
      <c r="I43" s="283"/>
      <c r="J43" s="336"/>
      <c r="K43" s="336"/>
      <c r="L43" s="336"/>
      <c r="M43" s="336"/>
    </row>
  </sheetData>
  <mergeCells count="9">
    <mergeCell ref="I6:K6"/>
    <mergeCell ref="L6:L7"/>
    <mergeCell ref="M6:M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J115"/>
  <sheetViews>
    <sheetView topLeftCell="A25" workbookViewId="0">
      <selection activeCell="B27" sqref="B27:H27"/>
    </sheetView>
  </sheetViews>
  <sheetFormatPr defaultColWidth="9.140625" defaultRowHeight="12.75"/>
  <sheetData>
    <row r="1" spans="1:10">
      <c r="A1" s="119" t="s">
        <v>0</v>
      </c>
      <c r="B1" s="120">
        <f>'RC'!B1</f>
        <v>0</v>
      </c>
      <c r="C1" s="121"/>
      <c r="D1" s="121"/>
      <c r="E1" s="121"/>
      <c r="F1" s="122"/>
      <c r="G1" s="122"/>
      <c r="H1" s="122"/>
      <c r="I1" s="122"/>
      <c r="J1" s="122"/>
    </row>
    <row r="2" spans="1:10">
      <c r="A2" s="119" t="s">
        <v>2</v>
      </c>
      <c r="B2" s="123" t="str">
        <f>'RC'!B2</f>
        <v>სს " პაშა ბანკი საქართველო"</v>
      </c>
      <c r="C2" s="121"/>
      <c r="D2" s="121"/>
      <c r="E2" s="121"/>
      <c r="F2" s="122"/>
      <c r="G2" s="122"/>
      <c r="H2" s="122"/>
      <c r="I2" s="122"/>
      <c r="J2" s="122"/>
    </row>
    <row r="3" spans="1:10">
      <c r="A3" s="121"/>
      <c r="B3" s="124"/>
      <c r="C3" s="121"/>
      <c r="D3" s="121"/>
      <c r="E3" s="121"/>
      <c r="F3" s="122"/>
      <c r="G3" s="122"/>
      <c r="H3" s="122"/>
      <c r="I3" s="122"/>
      <c r="J3" s="122"/>
    </row>
    <row r="4" spans="1:10">
      <c r="A4" s="125" t="s">
        <v>188</v>
      </c>
      <c r="B4" s="126" t="s">
        <v>189</v>
      </c>
      <c r="C4" s="126"/>
      <c r="D4" s="127"/>
      <c r="E4" s="127"/>
      <c r="F4" s="127"/>
      <c r="G4" s="127"/>
      <c r="H4" s="127"/>
      <c r="I4" s="127"/>
      <c r="J4" s="128" t="s">
        <v>190</v>
      </c>
    </row>
    <row r="5" spans="1:10">
      <c r="A5" s="129"/>
      <c r="B5" s="130"/>
      <c r="C5" s="130"/>
      <c r="D5" s="130"/>
      <c r="E5" s="130"/>
      <c r="F5" s="130"/>
      <c r="G5" s="130"/>
      <c r="H5" s="130"/>
      <c r="I5" s="130"/>
      <c r="J5" s="122"/>
    </row>
    <row r="6" spans="1:10">
      <c r="A6" s="131">
        <v>1</v>
      </c>
      <c r="B6" s="474" t="s">
        <v>191</v>
      </c>
      <c r="C6" s="474"/>
      <c r="D6" s="474"/>
      <c r="E6" s="474"/>
      <c r="F6" s="474"/>
      <c r="G6" s="474"/>
      <c r="H6" s="475"/>
      <c r="I6" s="132">
        <f>IFERROR(I20/J77,0)</f>
        <v>0.43508662718363378</v>
      </c>
      <c r="J6" s="133"/>
    </row>
    <row r="7" spans="1:10">
      <c r="A7" s="134">
        <v>2</v>
      </c>
      <c r="B7" s="476" t="s">
        <v>192</v>
      </c>
      <c r="C7" s="476"/>
      <c r="D7" s="476"/>
      <c r="E7" s="476"/>
      <c r="F7" s="476"/>
      <c r="G7" s="476"/>
      <c r="H7" s="477"/>
      <c r="I7" s="135">
        <f>IFERROR(I32/J77,0)</f>
        <v>0.45397743825365056</v>
      </c>
      <c r="J7" s="133"/>
    </row>
    <row r="8" spans="1:10">
      <c r="A8" s="129"/>
      <c r="B8" s="130"/>
      <c r="C8" s="130"/>
      <c r="D8" s="130"/>
      <c r="E8" s="130"/>
      <c r="F8" s="130"/>
      <c r="G8" s="130"/>
      <c r="H8" s="130"/>
      <c r="I8" s="130"/>
      <c r="J8" s="130"/>
    </row>
    <row r="9" spans="1:10">
      <c r="A9" s="129"/>
      <c r="B9" s="130"/>
      <c r="C9" s="130"/>
      <c r="D9" s="130"/>
      <c r="E9" s="130"/>
      <c r="F9" s="130"/>
      <c r="G9" s="130"/>
      <c r="H9" s="130"/>
      <c r="I9" s="130"/>
      <c r="J9" s="130"/>
    </row>
    <row r="10" spans="1:10">
      <c r="A10" s="125" t="s">
        <v>193</v>
      </c>
      <c r="B10" s="136" t="s">
        <v>194</v>
      </c>
      <c r="C10" s="137"/>
      <c r="D10" s="138"/>
      <c r="E10" s="138"/>
      <c r="F10" s="138"/>
      <c r="G10" s="138"/>
      <c r="H10" s="138"/>
      <c r="I10" s="138"/>
      <c r="J10" s="130"/>
    </row>
    <row r="11" spans="1:10">
      <c r="A11" s="125"/>
      <c r="B11" s="137"/>
      <c r="C11" s="137"/>
      <c r="D11" s="138"/>
      <c r="E11" s="138"/>
      <c r="F11" s="138"/>
      <c r="G11" s="138"/>
      <c r="H11" s="138"/>
      <c r="I11" s="138"/>
      <c r="J11" s="138"/>
    </row>
    <row r="12" spans="1:10">
      <c r="A12" s="139" t="s">
        <v>7</v>
      </c>
      <c r="B12" s="478"/>
      <c r="C12" s="478"/>
      <c r="D12" s="478"/>
      <c r="E12" s="478"/>
      <c r="F12" s="478"/>
      <c r="G12" s="478"/>
      <c r="H12" s="478"/>
      <c r="I12" s="140" t="s">
        <v>9</v>
      </c>
      <c r="J12" s="141"/>
    </row>
    <row r="13" spans="1:10">
      <c r="A13" s="142">
        <v>1</v>
      </c>
      <c r="B13" s="472" t="s">
        <v>195</v>
      </c>
      <c r="C13" s="472"/>
      <c r="D13" s="472"/>
      <c r="E13" s="472"/>
      <c r="F13" s="472"/>
      <c r="G13" s="472"/>
      <c r="H13" s="472"/>
      <c r="I13" s="143">
        <f>'RI-C-Old'!E20+'RI-C-Old'!E22</f>
        <v>103000000</v>
      </c>
      <c r="J13" s="144"/>
    </row>
    <row r="14" spans="1:10">
      <c r="A14" s="142">
        <v>2</v>
      </c>
      <c r="B14" s="472" t="s">
        <v>196</v>
      </c>
      <c r="C14" s="472"/>
      <c r="D14" s="472"/>
      <c r="E14" s="472"/>
      <c r="F14" s="472"/>
      <c r="G14" s="472"/>
      <c r="H14" s="472"/>
      <c r="I14" s="145">
        <v>0</v>
      </c>
      <c r="J14" s="146"/>
    </row>
    <row r="15" spans="1:10">
      <c r="A15" s="142">
        <v>3</v>
      </c>
      <c r="B15" s="472" t="s">
        <v>197</v>
      </c>
      <c r="C15" s="472"/>
      <c r="D15" s="472"/>
      <c r="E15" s="472"/>
      <c r="F15" s="472"/>
      <c r="G15" s="472"/>
      <c r="H15" s="472"/>
      <c r="I15" s="143">
        <f>'RI-C-Old'!E24+'RI-C-Old'!E25</f>
        <v>0</v>
      </c>
      <c r="J15" s="144"/>
    </row>
    <row r="16" spans="1:10">
      <c r="A16" s="142">
        <v>4</v>
      </c>
      <c r="B16" s="472" t="s">
        <v>198</v>
      </c>
      <c r="C16" s="472"/>
      <c r="D16" s="472"/>
      <c r="E16" s="472"/>
      <c r="F16" s="472"/>
      <c r="G16" s="472"/>
      <c r="H16" s="472"/>
      <c r="I16" s="143">
        <f>'RI-C-Old'!E27</f>
        <v>0</v>
      </c>
      <c r="J16" s="144"/>
    </row>
    <row r="17" spans="1:10">
      <c r="A17" s="142">
        <v>5</v>
      </c>
      <c r="B17" s="472" t="s">
        <v>199</v>
      </c>
      <c r="C17" s="472"/>
      <c r="D17" s="472"/>
      <c r="E17" s="472"/>
      <c r="F17" s="472"/>
      <c r="G17" s="472"/>
      <c r="H17" s="472"/>
      <c r="I17" s="143">
        <f>'RI-C-Old'!E30</f>
        <v>-9159009.1300000008</v>
      </c>
      <c r="J17" s="144"/>
    </row>
    <row r="18" spans="1:10">
      <c r="A18" s="142">
        <v>6</v>
      </c>
      <c r="B18" s="467" t="s">
        <v>200</v>
      </c>
      <c r="C18" s="467"/>
      <c r="D18" s="467"/>
      <c r="E18" s="467"/>
      <c r="F18" s="467"/>
      <c r="G18" s="467"/>
      <c r="H18" s="467"/>
      <c r="I18" s="145">
        <v>0</v>
      </c>
      <c r="J18" s="146"/>
    </row>
    <row r="19" spans="1:10">
      <c r="A19" s="147">
        <v>7</v>
      </c>
      <c r="B19" s="468" t="s">
        <v>201</v>
      </c>
      <c r="C19" s="468"/>
      <c r="D19" s="468"/>
      <c r="E19" s="468"/>
      <c r="F19" s="468"/>
      <c r="G19" s="468"/>
      <c r="H19" s="468"/>
      <c r="I19" s="148">
        <v>-1992952.84</v>
      </c>
      <c r="J19" s="149"/>
    </row>
    <row r="20" spans="1:10">
      <c r="A20" s="150">
        <v>8</v>
      </c>
      <c r="B20" s="469" t="s">
        <v>202</v>
      </c>
      <c r="C20" s="469"/>
      <c r="D20" s="469"/>
      <c r="E20" s="469"/>
      <c r="F20" s="469"/>
      <c r="G20" s="469"/>
      <c r="H20" s="469"/>
      <c r="I20" s="151">
        <f>SUM(I13:I19)</f>
        <v>91848038.030000001</v>
      </c>
      <c r="J20" s="152"/>
    </row>
    <row r="21" spans="1:10">
      <c r="A21" s="153">
        <v>9</v>
      </c>
      <c r="B21" s="473" t="s">
        <v>203</v>
      </c>
      <c r="C21" s="473"/>
      <c r="D21" s="473"/>
      <c r="E21" s="473"/>
      <c r="F21" s="473"/>
      <c r="G21" s="473"/>
      <c r="H21" s="473"/>
      <c r="I21" s="154">
        <f>'RI-C-Old'!E31</f>
        <v>1848146.9299999997</v>
      </c>
      <c r="J21" s="144"/>
    </row>
    <row r="22" spans="1:10">
      <c r="A22" s="142">
        <v>10</v>
      </c>
      <c r="B22" s="472" t="s">
        <v>204</v>
      </c>
      <c r="C22" s="472"/>
      <c r="D22" s="472"/>
      <c r="E22" s="472"/>
      <c r="F22" s="472"/>
      <c r="G22" s="472"/>
      <c r="H22" s="472"/>
      <c r="I22" s="143">
        <f>'RI-C-Old'!E28</f>
        <v>0</v>
      </c>
      <c r="J22" s="144"/>
    </row>
    <row r="23" spans="1:10">
      <c r="A23" s="142">
        <v>11</v>
      </c>
      <c r="B23" s="472" t="s">
        <v>205</v>
      </c>
      <c r="C23" s="472"/>
      <c r="D23" s="472"/>
      <c r="E23" s="472"/>
      <c r="F23" s="472"/>
      <c r="G23" s="472"/>
      <c r="H23" s="472"/>
      <c r="I23" s="145">
        <v>2139757.6047999999</v>
      </c>
      <c r="J23" s="146"/>
    </row>
    <row r="24" spans="1:10">
      <c r="A24" s="142">
        <v>12</v>
      </c>
      <c r="B24" s="472" t="s">
        <v>206</v>
      </c>
      <c r="C24" s="472"/>
      <c r="D24" s="472"/>
      <c r="E24" s="472"/>
      <c r="F24" s="472"/>
      <c r="G24" s="472"/>
      <c r="H24" s="472"/>
      <c r="I24" s="145">
        <v>0</v>
      </c>
      <c r="J24" s="146"/>
    </row>
    <row r="25" spans="1:10">
      <c r="A25" s="142">
        <v>13</v>
      </c>
      <c r="B25" s="472" t="s">
        <v>207</v>
      </c>
      <c r="C25" s="472"/>
      <c r="D25" s="472"/>
      <c r="E25" s="472"/>
      <c r="F25" s="472"/>
      <c r="G25" s="472"/>
      <c r="H25" s="472"/>
      <c r="I25" s="145"/>
      <c r="J25" s="146"/>
    </row>
    <row r="26" spans="1:10">
      <c r="A26" s="142">
        <v>14</v>
      </c>
      <c r="B26" s="472" t="s">
        <v>208</v>
      </c>
      <c r="C26" s="472"/>
      <c r="D26" s="472"/>
      <c r="E26" s="472"/>
      <c r="F26" s="472"/>
      <c r="G26" s="472"/>
      <c r="H26" s="472"/>
      <c r="I26" s="155"/>
      <c r="J26" s="146"/>
    </row>
    <row r="27" spans="1:10">
      <c r="A27" s="142">
        <v>15</v>
      </c>
      <c r="B27" s="466" t="s">
        <v>209</v>
      </c>
      <c r="C27" s="466"/>
      <c r="D27" s="466"/>
      <c r="E27" s="466"/>
      <c r="F27" s="466"/>
      <c r="G27" s="466"/>
      <c r="H27" s="466"/>
      <c r="I27" s="156">
        <f>SUM(I21:I26)</f>
        <v>3987904.5347999996</v>
      </c>
      <c r="J27" s="157"/>
    </row>
    <row r="28" spans="1:10">
      <c r="A28" s="142">
        <v>16</v>
      </c>
      <c r="B28" s="466" t="s">
        <v>210</v>
      </c>
      <c r="C28" s="466"/>
      <c r="D28" s="466"/>
      <c r="E28" s="466"/>
      <c r="F28" s="466"/>
      <c r="G28" s="466"/>
      <c r="H28" s="466"/>
      <c r="I28" s="156">
        <f>IF(I27&lt;=I20,I27,I20)</f>
        <v>3987904.5347999996</v>
      </c>
      <c r="J28" s="157"/>
    </row>
    <row r="29" spans="1:10">
      <c r="A29" s="142">
        <v>17</v>
      </c>
      <c r="B29" s="466" t="s">
        <v>211</v>
      </c>
      <c r="C29" s="466"/>
      <c r="D29" s="466"/>
      <c r="E29" s="466"/>
      <c r="F29" s="466"/>
      <c r="G29" s="466"/>
      <c r="H29" s="466"/>
      <c r="I29" s="156">
        <f>I20+I28</f>
        <v>95835942.564799994</v>
      </c>
      <c r="J29" s="157"/>
    </row>
    <row r="30" spans="1:10">
      <c r="A30" s="142">
        <v>18</v>
      </c>
      <c r="B30" s="467" t="s">
        <v>212</v>
      </c>
      <c r="C30" s="467"/>
      <c r="D30" s="467"/>
      <c r="E30" s="467"/>
      <c r="F30" s="467"/>
      <c r="G30" s="467"/>
      <c r="H30" s="467"/>
      <c r="I30" s="145"/>
      <c r="J30" s="146"/>
    </row>
    <row r="31" spans="1:10">
      <c r="A31" s="147">
        <v>19</v>
      </c>
      <c r="B31" s="468" t="s">
        <v>213</v>
      </c>
      <c r="C31" s="468"/>
      <c r="D31" s="468"/>
      <c r="E31" s="468"/>
      <c r="F31" s="468"/>
      <c r="G31" s="468"/>
      <c r="H31" s="468"/>
      <c r="I31" s="158"/>
      <c r="J31" s="146"/>
    </row>
    <row r="32" spans="1:10">
      <c r="A32" s="150">
        <v>20</v>
      </c>
      <c r="B32" s="469" t="s">
        <v>194</v>
      </c>
      <c r="C32" s="469"/>
      <c r="D32" s="469"/>
      <c r="E32" s="469"/>
      <c r="F32" s="469"/>
      <c r="G32" s="469"/>
      <c r="H32" s="469"/>
      <c r="I32" s="159">
        <f>I29+I30+I31</f>
        <v>95835942.564799994</v>
      </c>
      <c r="J32" s="157"/>
    </row>
    <row r="33" spans="1:10">
      <c r="A33" s="121"/>
      <c r="B33" s="124"/>
      <c r="C33" s="121"/>
      <c r="D33" s="121"/>
      <c r="E33" s="121"/>
      <c r="F33" s="122"/>
      <c r="G33" s="122"/>
      <c r="H33" s="122"/>
      <c r="I33" s="122"/>
      <c r="J33" s="122"/>
    </row>
    <row r="34" spans="1:10">
      <c r="A34" s="125" t="s">
        <v>214</v>
      </c>
      <c r="B34" s="160" t="s">
        <v>215</v>
      </c>
      <c r="C34" s="161"/>
      <c r="D34" s="162"/>
      <c r="E34" s="162"/>
      <c r="F34" s="162"/>
      <c r="G34" s="162"/>
      <c r="H34" s="162"/>
      <c r="I34" s="162"/>
      <c r="J34" s="162"/>
    </row>
    <row r="35" spans="1:10">
      <c r="A35" s="125"/>
      <c r="B35" s="160"/>
      <c r="C35" s="161"/>
      <c r="D35" s="162"/>
      <c r="E35" s="162"/>
      <c r="F35" s="162"/>
      <c r="G35" s="162"/>
      <c r="H35" s="162"/>
      <c r="I35" s="162"/>
      <c r="J35" s="162"/>
    </row>
    <row r="36" spans="1:10">
      <c r="A36" s="125"/>
      <c r="B36" s="163" t="s">
        <v>216</v>
      </c>
      <c r="C36" s="161"/>
      <c r="D36" s="162"/>
      <c r="E36" s="162"/>
      <c r="F36" s="162"/>
      <c r="G36" s="162"/>
      <c r="H36" s="162"/>
      <c r="I36" s="162"/>
      <c r="J36" s="162"/>
    </row>
    <row r="37" spans="1:10">
      <c r="A37" s="421" t="s">
        <v>7</v>
      </c>
      <c r="B37" s="464" t="s">
        <v>8</v>
      </c>
      <c r="C37" s="464"/>
      <c r="D37" s="435" t="s">
        <v>217</v>
      </c>
      <c r="E37" s="435" t="s">
        <v>218</v>
      </c>
      <c r="F37" s="435" t="s">
        <v>219</v>
      </c>
      <c r="G37" s="470" t="s">
        <v>220</v>
      </c>
      <c r="H37" s="470"/>
      <c r="I37" s="470"/>
      <c r="J37" s="471"/>
    </row>
    <row r="38" spans="1:10">
      <c r="A38" s="422"/>
      <c r="B38" s="465"/>
      <c r="C38" s="465"/>
      <c r="D38" s="436"/>
      <c r="E38" s="436"/>
      <c r="F38" s="436"/>
      <c r="G38" s="164">
        <v>0</v>
      </c>
      <c r="H38" s="164">
        <v>0.2</v>
      </c>
      <c r="I38" s="164">
        <v>0.5</v>
      </c>
      <c r="J38" s="165">
        <v>1</v>
      </c>
    </row>
    <row r="39" spans="1:10" ht="25.5">
      <c r="A39" s="142">
        <v>1</v>
      </c>
      <c r="B39" s="166" t="s">
        <v>12</v>
      </c>
      <c r="C39" s="167"/>
      <c r="D39" s="168">
        <v>723731.92229999998</v>
      </c>
      <c r="E39" s="169">
        <v>0</v>
      </c>
      <c r="F39" s="170">
        <f t="shared" ref="F39:F49" si="0">IF(ABS(D39-E39-(G39+H39+I39+J39))&gt;1,"Error",D39-E39)</f>
        <v>723731.92229999998</v>
      </c>
      <c r="G39" s="169">
        <v>723731.92229999998</v>
      </c>
      <c r="H39" s="169"/>
      <c r="I39" s="169"/>
      <c r="J39" s="171">
        <v>0</v>
      </c>
    </row>
    <row r="40" spans="1:10" ht="114.75">
      <c r="A40" s="142">
        <v>2</v>
      </c>
      <c r="B40" s="166" t="s">
        <v>13</v>
      </c>
      <c r="C40" s="167"/>
      <c r="D40" s="168">
        <v>16084010.35</v>
      </c>
      <c r="E40" s="169">
        <v>0</v>
      </c>
      <c r="F40" s="170">
        <f t="shared" si="0"/>
        <v>16084010.35</v>
      </c>
      <c r="G40" s="169">
        <v>16084010.35</v>
      </c>
      <c r="H40" s="169">
        <v>0</v>
      </c>
      <c r="I40" s="169">
        <v>0</v>
      </c>
      <c r="J40" s="171">
        <v>0</v>
      </c>
    </row>
    <row r="41" spans="1:10" ht="76.5">
      <c r="A41" s="142">
        <v>3</v>
      </c>
      <c r="B41" s="166" t="s">
        <v>14</v>
      </c>
      <c r="C41" s="167"/>
      <c r="D41" s="168">
        <v>33216338.752099998</v>
      </c>
      <c r="E41" s="169">
        <v>0</v>
      </c>
      <c r="F41" s="170">
        <f t="shared" si="0"/>
        <v>33216338.752099998</v>
      </c>
      <c r="G41" s="169"/>
      <c r="H41" s="169">
        <v>3494.4674</v>
      </c>
      <c r="I41" s="169">
        <v>33212844.284699999</v>
      </c>
      <c r="J41" s="171">
        <v>0</v>
      </c>
    </row>
    <row r="42" spans="1:10" ht="114.75">
      <c r="A42" s="142">
        <v>4</v>
      </c>
      <c r="B42" s="166" t="s">
        <v>221</v>
      </c>
      <c r="C42" s="167"/>
      <c r="D42" s="168">
        <v>0</v>
      </c>
      <c r="E42" s="169">
        <v>0</v>
      </c>
      <c r="F42" s="170">
        <f t="shared" si="0"/>
        <v>0</v>
      </c>
      <c r="G42" s="169"/>
      <c r="H42" s="169"/>
      <c r="I42" s="169"/>
      <c r="J42" s="171">
        <v>0</v>
      </c>
    </row>
    <row r="43" spans="1:10" ht="89.25">
      <c r="A43" s="142">
        <v>5</v>
      </c>
      <c r="B43" s="166" t="s">
        <v>16</v>
      </c>
      <c r="C43" s="167"/>
      <c r="D43" s="168">
        <v>111967667.81029999</v>
      </c>
      <c r="E43" s="169">
        <v>0</v>
      </c>
      <c r="F43" s="170">
        <f t="shared" si="0"/>
        <v>111967667.81029999</v>
      </c>
      <c r="G43" s="169">
        <v>55173622.399999999</v>
      </c>
      <c r="H43" s="169"/>
      <c r="I43" s="169"/>
      <c r="J43" s="171">
        <v>56794045.410300002</v>
      </c>
    </row>
    <row r="44" spans="1:10" ht="51">
      <c r="A44" s="142">
        <v>6</v>
      </c>
      <c r="B44" s="166" t="s">
        <v>17</v>
      </c>
      <c r="C44" s="167"/>
      <c r="D44" s="168">
        <v>101462089.5465</v>
      </c>
      <c r="E44" s="169">
        <v>0</v>
      </c>
      <c r="F44" s="170">
        <f t="shared" si="0"/>
        <v>101462089.5465</v>
      </c>
      <c r="G44" s="169"/>
      <c r="H44" s="169"/>
      <c r="I44" s="169"/>
      <c r="J44" s="171">
        <v>101462089.5465</v>
      </c>
    </row>
    <row r="45" spans="1:10" ht="127.5">
      <c r="A45" s="142">
        <v>7</v>
      </c>
      <c r="B45" s="166" t="s">
        <v>222</v>
      </c>
      <c r="C45" s="167"/>
      <c r="D45" s="168">
        <v>2430642.3152000001</v>
      </c>
      <c r="E45" s="169">
        <v>0</v>
      </c>
      <c r="F45" s="170">
        <f t="shared" si="0"/>
        <v>2430642.3152000001</v>
      </c>
      <c r="G45" s="169">
        <v>879701.99</v>
      </c>
      <c r="H45" s="169"/>
      <c r="I45" s="169">
        <v>804022.65370000002</v>
      </c>
      <c r="J45" s="171">
        <v>746917.67150000005</v>
      </c>
    </row>
    <row r="46" spans="1:10" ht="102">
      <c r="A46" s="142">
        <v>8</v>
      </c>
      <c r="B46" s="166" t="s">
        <v>21</v>
      </c>
      <c r="C46" s="167"/>
      <c r="D46" s="168"/>
      <c r="E46" s="169">
        <v>0</v>
      </c>
      <c r="F46" s="170">
        <f t="shared" si="0"/>
        <v>0</v>
      </c>
      <c r="G46" s="169"/>
      <c r="H46" s="169"/>
      <c r="I46" s="169"/>
      <c r="J46" s="171"/>
    </row>
    <row r="47" spans="1:10" ht="76.5">
      <c r="A47" s="142">
        <v>9</v>
      </c>
      <c r="B47" s="166" t="s">
        <v>22</v>
      </c>
      <c r="C47" s="172"/>
      <c r="D47" s="173"/>
      <c r="E47" s="169">
        <v>0</v>
      </c>
      <c r="F47" s="170">
        <f t="shared" si="0"/>
        <v>0</v>
      </c>
      <c r="G47" s="169">
        <v>0</v>
      </c>
      <c r="H47" s="169">
        <v>0</v>
      </c>
      <c r="I47" s="169">
        <v>0</v>
      </c>
      <c r="J47" s="171">
        <v>0</v>
      </c>
    </row>
    <row r="48" spans="1:10" ht="127.5">
      <c r="A48" s="142">
        <v>10</v>
      </c>
      <c r="B48" s="166" t="s">
        <v>23</v>
      </c>
      <c r="C48" s="167"/>
      <c r="D48" s="168">
        <v>4333487.8</v>
      </c>
      <c r="E48" s="169">
        <v>1992952.84</v>
      </c>
      <c r="F48" s="170">
        <f t="shared" si="0"/>
        <v>2340534.96</v>
      </c>
      <c r="G48" s="169">
        <v>0</v>
      </c>
      <c r="H48" s="169">
        <v>0</v>
      </c>
      <c r="I48" s="169">
        <v>0</v>
      </c>
      <c r="J48" s="171">
        <v>2340534.96</v>
      </c>
    </row>
    <row r="49" spans="1:10" ht="38.25">
      <c r="A49" s="147">
        <v>11</v>
      </c>
      <c r="B49" s="166" t="s">
        <v>24</v>
      </c>
      <c r="C49" s="174"/>
      <c r="D49" s="175">
        <v>1270411.8091</v>
      </c>
      <c r="E49" s="176">
        <v>0</v>
      </c>
      <c r="F49" s="170">
        <f t="shared" si="0"/>
        <v>1270411.8091</v>
      </c>
      <c r="G49" s="176">
        <v>0</v>
      </c>
      <c r="H49" s="176">
        <v>0</v>
      </c>
      <c r="I49" s="176">
        <v>0</v>
      </c>
      <c r="J49" s="177">
        <v>1270411.8091</v>
      </c>
    </row>
    <row r="50" spans="1:10">
      <c r="A50" s="150">
        <v>12</v>
      </c>
      <c r="B50" s="178" t="s">
        <v>223</v>
      </c>
      <c r="C50" s="179"/>
      <c r="D50" s="180">
        <f t="shared" ref="D50:J50" si="1">SUM(D39:D49)</f>
        <v>271488380.30549997</v>
      </c>
      <c r="E50" s="180">
        <f t="shared" si="1"/>
        <v>1992952.84</v>
      </c>
      <c r="F50" s="180">
        <f t="shared" si="1"/>
        <v>269495427.4655</v>
      </c>
      <c r="G50" s="180">
        <f t="shared" si="1"/>
        <v>72861066.662299991</v>
      </c>
      <c r="H50" s="180">
        <f t="shared" si="1"/>
        <v>3494.4674</v>
      </c>
      <c r="I50" s="180">
        <f t="shared" si="1"/>
        <v>34016866.9384</v>
      </c>
      <c r="J50" s="180">
        <f t="shared" si="1"/>
        <v>162613999.39739999</v>
      </c>
    </row>
    <row r="51" spans="1:10">
      <c r="A51" s="181"/>
      <c r="B51" s="182"/>
      <c r="C51" s="182"/>
      <c r="D51" s="183"/>
      <c r="E51" s="184"/>
      <c r="F51" s="185"/>
      <c r="G51" s="185"/>
      <c r="H51" s="185"/>
      <c r="I51" s="185"/>
      <c r="J51" s="184"/>
    </row>
    <row r="52" spans="1:10">
      <c r="A52" s="421" t="s">
        <v>7</v>
      </c>
      <c r="B52" s="464" t="s">
        <v>224</v>
      </c>
      <c r="C52" s="464"/>
      <c r="D52" s="435" t="s">
        <v>217</v>
      </c>
      <c r="E52" s="435" t="s">
        <v>225</v>
      </c>
      <c r="F52" s="435" t="s">
        <v>226</v>
      </c>
      <c r="G52" s="470" t="s">
        <v>227</v>
      </c>
      <c r="H52" s="470"/>
      <c r="I52" s="470"/>
      <c r="J52" s="471"/>
    </row>
    <row r="53" spans="1:10">
      <c r="A53" s="422"/>
      <c r="B53" s="465"/>
      <c r="C53" s="465"/>
      <c r="D53" s="436"/>
      <c r="E53" s="436"/>
      <c r="F53" s="436"/>
      <c r="G53" s="164">
        <v>0</v>
      </c>
      <c r="H53" s="164">
        <v>0.2</v>
      </c>
      <c r="I53" s="164">
        <v>0.5</v>
      </c>
      <c r="J53" s="165">
        <v>1</v>
      </c>
    </row>
    <row r="54" spans="1:10">
      <c r="A54" s="142">
        <v>13</v>
      </c>
      <c r="B54" s="456" t="s">
        <v>228</v>
      </c>
      <c r="C54" s="456"/>
      <c r="D54" s="186">
        <f>H82</f>
        <v>11485969.2215</v>
      </c>
      <c r="E54" s="187"/>
      <c r="F54" s="188">
        <f>IF(ABS(J82-G54-H54-I54-J54)&gt;1,"Error",J82)</f>
        <v>5742984.61075</v>
      </c>
      <c r="G54" s="189"/>
      <c r="H54" s="189"/>
      <c r="I54" s="189">
        <v>5742984.6107999999</v>
      </c>
      <c r="J54" s="190">
        <v>0</v>
      </c>
    </row>
    <row r="55" spans="1:10">
      <c r="A55" s="142">
        <v>14</v>
      </c>
      <c r="B55" s="456" t="s">
        <v>229</v>
      </c>
      <c r="C55" s="456"/>
      <c r="D55" s="191">
        <f>H88</f>
        <v>10190795.2817</v>
      </c>
      <c r="E55" s="187"/>
      <c r="F55" s="188">
        <f>IF(ABS(J88-G55-H55-I55-J55)&gt;1,"Error",J88)</f>
        <v>10190795.2817</v>
      </c>
      <c r="G55" s="189"/>
      <c r="H55" s="189"/>
      <c r="I55" s="189">
        <v>0</v>
      </c>
      <c r="J55" s="190">
        <v>10190795.2817</v>
      </c>
    </row>
    <row r="56" spans="1:10">
      <c r="A56" s="142">
        <v>15</v>
      </c>
      <c r="B56" s="456" t="s">
        <v>230</v>
      </c>
      <c r="C56" s="456"/>
      <c r="D56" s="191">
        <f>H94</f>
        <v>639333</v>
      </c>
      <c r="E56" s="187"/>
      <c r="F56" s="188">
        <f>IF(ABS(J94-G56-H56-I56-J56)&gt;1,"Error",J94)</f>
        <v>127866.6</v>
      </c>
      <c r="G56" s="189"/>
      <c r="H56" s="189">
        <v>127866.6</v>
      </c>
      <c r="I56" s="189"/>
      <c r="J56" s="190"/>
    </row>
    <row r="57" spans="1:10">
      <c r="A57" s="142">
        <v>16</v>
      </c>
      <c r="B57" s="456" t="s">
        <v>231</v>
      </c>
      <c r="C57" s="456"/>
      <c r="D57" s="191">
        <f>H96</f>
        <v>0</v>
      </c>
      <c r="E57" s="192"/>
      <c r="F57" s="188">
        <f>IF(ABS(J96-G57-H57-I57-J57)&gt;1,"Error",J96)</f>
        <v>0</v>
      </c>
      <c r="G57" s="189"/>
      <c r="H57" s="189"/>
      <c r="I57" s="189"/>
      <c r="J57" s="190"/>
    </row>
    <row r="58" spans="1:10">
      <c r="A58" s="147">
        <v>17</v>
      </c>
      <c r="B58" s="457" t="s">
        <v>232</v>
      </c>
      <c r="C58" s="457"/>
      <c r="D58" s="193">
        <f>I110</f>
        <v>0</v>
      </c>
      <c r="E58" s="194"/>
      <c r="F58" s="188">
        <f>IF(ABS(J110-G58-H58-I58-J58)&gt;1,"Error",J110)</f>
        <v>0</v>
      </c>
      <c r="G58" s="195"/>
      <c r="H58" s="195"/>
      <c r="I58" s="195"/>
      <c r="J58" s="196"/>
    </row>
    <row r="59" spans="1:10">
      <c r="A59" s="150">
        <v>18</v>
      </c>
      <c r="B59" s="463" t="s">
        <v>233</v>
      </c>
      <c r="C59" s="463"/>
      <c r="D59" s="180">
        <f>SUM(D54:D58)</f>
        <v>22316097.503200002</v>
      </c>
      <c r="E59" s="197"/>
      <c r="F59" s="198">
        <f>SUM(F54:F58)</f>
        <v>16061646.492450001</v>
      </c>
      <c r="G59" s="198">
        <f>SUM(G54:G58)</f>
        <v>0</v>
      </c>
      <c r="H59" s="198">
        <f>SUM(H54:H58)</f>
        <v>127866.6</v>
      </c>
      <c r="I59" s="198">
        <f>SUM(I54:I58)</f>
        <v>5742984.6107999999</v>
      </c>
      <c r="J59" s="199">
        <f>SUM(J54:J58)</f>
        <v>10190795.2817</v>
      </c>
    </row>
    <row r="60" spans="1:10">
      <c r="A60" s="200"/>
      <c r="B60" s="201"/>
      <c r="C60" s="201"/>
      <c r="D60" s="183"/>
      <c r="E60" s="202"/>
      <c r="F60" s="202"/>
      <c r="G60" s="202"/>
      <c r="H60" s="202"/>
      <c r="I60" s="202"/>
      <c r="J60" s="202"/>
    </row>
    <row r="61" spans="1:10">
      <c r="A61" s="139">
        <v>19</v>
      </c>
      <c r="B61" s="458" t="s">
        <v>234</v>
      </c>
      <c r="C61" s="458"/>
      <c r="D61" s="203">
        <f>D59+D50</f>
        <v>293804477.80869997</v>
      </c>
      <c r="E61" s="204"/>
      <c r="F61" s="203">
        <f>F50+F59</f>
        <v>285557073.95795</v>
      </c>
      <c r="G61" s="205">
        <f>G50+G59</f>
        <v>72861066.662299991</v>
      </c>
      <c r="H61" s="205">
        <f>H50+H59</f>
        <v>131361.0674</v>
      </c>
      <c r="I61" s="205">
        <f>I50+I59</f>
        <v>39759851.549199998</v>
      </c>
      <c r="J61" s="206">
        <f>J50+J59</f>
        <v>172804794.67909998</v>
      </c>
    </row>
    <row r="62" spans="1:10">
      <c r="A62" s="142">
        <v>20</v>
      </c>
      <c r="B62" s="459" t="s">
        <v>235</v>
      </c>
      <c r="C62" s="460"/>
      <c r="D62" s="207"/>
      <c r="E62" s="208"/>
      <c r="F62" s="209"/>
      <c r="G62" s="210">
        <v>0</v>
      </c>
      <c r="H62" s="211">
        <v>0.2</v>
      </c>
      <c r="I62" s="211">
        <v>0.5</v>
      </c>
      <c r="J62" s="212">
        <v>1</v>
      </c>
    </row>
    <row r="63" spans="1:10">
      <c r="A63" s="142">
        <v>21</v>
      </c>
      <c r="B63" s="461" t="s">
        <v>236</v>
      </c>
      <c r="C63" s="462"/>
      <c r="D63" s="213"/>
      <c r="E63" s="214"/>
      <c r="F63" s="215"/>
      <c r="G63" s="216">
        <f>+G61*G62</f>
        <v>0</v>
      </c>
      <c r="H63" s="216">
        <f>+H61*H62</f>
        <v>26272.213480000002</v>
      </c>
      <c r="I63" s="216">
        <f>+I61*I62</f>
        <v>19879925.774599999</v>
      </c>
      <c r="J63" s="216">
        <f>+J61*J62</f>
        <v>172804794.67909998</v>
      </c>
    </row>
    <row r="64" spans="1:10">
      <c r="A64" s="217">
        <v>22</v>
      </c>
      <c r="B64" s="442" t="s">
        <v>237</v>
      </c>
      <c r="C64" s="442"/>
      <c r="D64" s="218"/>
      <c r="E64" s="218"/>
      <c r="F64" s="218"/>
      <c r="G64" s="218"/>
      <c r="H64" s="218"/>
      <c r="I64" s="218"/>
      <c r="J64" s="219">
        <f>+G63+H63+I63+J63</f>
        <v>192710992.66717997</v>
      </c>
    </row>
    <row r="65" spans="1:10">
      <c r="A65" s="200"/>
      <c r="B65" s="201"/>
      <c r="C65" s="201"/>
      <c r="D65" s="220"/>
      <c r="E65" s="220"/>
      <c r="F65" s="220"/>
      <c r="G65" s="202"/>
      <c r="H65" s="202"/>
      <c r="I65" s="202"/>
      <c r="J65" s="202"/>
    </row>
    <row r="66" spans="1:10">
      <c r="A66" s="200"/>
      <c r="B66" s="221" t="s">
        <v>238</v>
      </c>
      <c r="C66" s="222"/>
      <c r="D66" s="223"/>
      <c r="E66" s="224"/>
      <c r="F66" s="223"/>
      <c r="G66" s="225"/>
      <c r="H66" s="225"/>
      <c r="I66" s="225"/>
      <c r="J66" s="226"/>
    </row>
    <row r="67" spans="1:10">
      <c r="A67" s="421" t="s">
        <v>7</v>
      </c>
      <c r="B67" s="443" t="s">
        <v>8</v>
      </c>
      <c r="C67" s="444"/>
      <c r="D67" s="435" t="s">
        <v>217</v>
      </c>
      <c r="E67" s="435" t="s">
        <v>218</v>
      </c>
      <c r="F67" s="435" t="s">
        <v>219</v>
      </c>
      <c r="G67" s="437" t="s">
        <v>239</v>
      </c>
      <c r="H67" s="438"/>
      <c r="I67" s="438"/>
      <c r="J67" s="439"/>
    </row>
    <row r="68" spans="1:10">
      <c r="A68" s="422"/>
      <c r="B68" s="445"/>
      <c r="C68" s="446"/>
      <c r="D68" s="436"/>
      <c r="E68" s="436"/>
      <c r="F68" s="436"/>
      <c r="G68" s="227"/>
      <c r="H68" s="227"/>
      <c r="I68" s="227"/>
      <c r="J68" s="228">
        <v>0.75</v>
      </c>
    </row>
    <row r="69" spans="1:10">
      <c r="A69" s="142">
        <v>23</v>
      </c>
      <c r="B69" s="440" t="s">
        <v>240</v>
      </c>
      <c r="C69" s="441"/>
      <c r="D69" s="168">
        <v>27223013.7665</v>
      </c>
      <c r="E69" s="169">
        <v>0</v>
      </c>
      <c r="F69" s="229">
        <f>D69-E69</f>
        <v>27223013.7665</v>
      </c>
      <c r="G69" s="207" t="s">
        <v>241</v>
      </c>
      <c r="H69" s="208"/>
      <c r="I69" s="209"/>
      <c r="J69" s="230">
        <f>F69*J$68</f>
        <v>20417260.324875001</v>
      </c>
    </row>
    <row r="70" spans="1:10">
      <c r="A70" s="142">
        <v>24</v>
      </c>
      <c r="B70" s="440" t="s">
        <v>242</v>
      </c>
      <c r="C70" s="441"/>
      <c r="D70" s="168"/>
      <c r="E70" s="169">
        <v>0</v>
      </c>
      <c r="F70" s="229">
        <f>D70-E70</f>
        <v>0</v>
      </c>
      <c r="G70" s="207" t="s">
        <v>241</v>
      </c>
      <c r="H70" s="208"/>
      <c r="I70" s="209"/>
      <c r="J70" s="230">
        <f>F70*J$68</f>
        <v>0</v>
      </c>
    </row>
    <row r="71" spans="1:10">
      <c r="A71" s="147">
        <v>25</v>
      </c>
      <c r="B71" s="440" t="s">
        <v>243</v>
      </c>
      <c r="C71" s="441"/>
      <c r="D71" s="175">
        <v>93365.598400000003</v>
      </c>
      <c r="E71" s="176">
        <v>0</v>
      </c>
      <c r="F71" s="231">
        <f>D71-E71</f>
        <v>93365.598400000003</v>
      </c>
      <c r="G71" s="232"/>
      <c r="H71" s="232"/>
      <c r="I71" s="232"/>
      <c r="J71" s="230">
        <f>F71*J$68</f>
        <v>70024.198799999998</v>
      </c>
    </row>
    <row r="72" spans="1:10">
      <c r="A72" s="150">
        <v>26</v>
      </c>
      <c r="B72" s="447" t="s">
        <v>244</v>
      </c>
      <c r="C72" s="449"/>
      <c r="D72" s="180">
        <f>SUM(D69:D71)</f>
        <v>27316379.3649</v>
      </c>
      <c r="E72" s="180">
        <f>SUM(E69:E71)</f>
        <v>0</v>
      </c>
      <c r="F72" s="180">
        <f>SUM(F69:F71)</f>
        <v>27316379.3649</v>
      </c>
      <c r="G72" s="233"/>
      <c r="H72" s="233"/>
      <c r="I72" s="233"/>
      <c r="J72" s="219">
        <f>SUM(J69:J71)</f>
        <v>20487284.523675002</v>
      </c>
    </row>
    <row r="73" spans="1:10">
      <c r="A73" s="200"/>
      <c r="B73" s="234"/>
      <c r="C73" s="234"/>
      <c r="D73" s="183"/>
      <c r="E73" s="235"/>
      <c r="F73" s="235"/>
      <c r="G73" s="236"/>
      <c r="H73" s="236"/>
      <c r="I73" s="236"/>
      <c r="J73" s="237"/>
    </row>
    <row r="74" spans="1:10">
      <c r="A74" s="139">
        <v>27</v>
      </c>
      <c r="B74" s="450" t="s">
        <v>245</v>
      </c>
      <c r="C74" s="451"/>
      <c r="D74" s="238"/>
      <c r="E74" s="239"/>
      <c r="F74" s="239"/>
      <c r="G74" s="239"/>
      <c r="H74" s="239"/>
      <c r="I74" s="240"/>
      <c r="J74" s="241">
        <f>J64+J72</f>
        <v>213198277.19085497</v>
      </c>
    </row>
    <row r="75" spans="1:10">
      <c r="A75" s="142">
        <v>28</v>
      </c>
      <c r="B75" s="440" t="s">
        <v>246</v>
      </c>
      <c r="C75" s="452"/>
      <c r="D75" s="242"/>
      <c r="E75" s="242"/>
      <c r="F75" s="242"/>
      <c r="G75" s="242"/>
      <c r="H75" s="242"/>
      <c r="I75" s="242"/>
      <c r="J75" s="243"/>
    </row>
    <row r="76" spans="1:10">
      <c r="A76" s="147">
        <v>29</v>
      </c>
      <c r="B76" s="453" t="s">
        <v>247</v>
      </c>
      <c r="C76" s="454"/>
      <c r="D76" s="244"/>
      <c r="E76" s="245"/>
      <c r="F76" s="245"/>
      <c r="G76" s="245"/>
      <c r="H76" s="245"/>
      <c r="I76" s="246"/>
      <c r="J76" s="148">
        <v>-2095401.8289000001</v>
      </c>
    </row>
    <row r="77" spans="1:10">
      <c r="A77" s="150">
        <v>30</v>
      </c>
      <c r="B77" s="447" t="s">
        <v>248</v>
      </c>
      <c r="C77" s="448"/>
      <c r="D77" s="233"/>
      <c r="E77" s="233"/>
      <c r="F77" s="233"/>
      <c r="G77" s="233"/>
      <c r="H77" s="233"/>
      <c r="I77" s="233"/>
      <c r="J77" s="247">
        <f>SUM(J74:J76)</f>
        <v>211102875.36195496</v>
      </c>
    </row>
    <row r="78" spans="1:10">
      <c r="A78" s="181"/>
      <c r="B78" s="201"/>
      <c r="C78" s="201"/>
      <c r="D78" s="220"/>
      <c r="E78" s="220"/>
      <c r="F78" s="220"/>
      <c r="G78" s="220"/>
      <c r="H78" s="220"/>
      <c r="I78" s="220"/>
      <c r="J78" s="202"/>
    </row>
    <row r="79" spans="1:10">
      <c r="A79" s="125" t="s">
        <v>249</v>
      </c>
      <c r="B79" s="160" t="s">
        <v>250</v>
      </c>
      <c r="C79" s="201"/>
      <c r="D79" s="220"/>
      <c r="E79" s="220"/>
      <c r="F79" s="220"/>
      <c r="G79" s="220"/>
      <c r="H79" s="220"/>
      <c r="I79" s="220"/>
      <c r="J79" s="202"/>
    </row>
    <row r="80" spans="1:10">
      <c r="A80" s="181"/>
      <c r="B80" s="201"/>
      <c r="C80" s="201"/>
      <c r="D80" s="220"/>
      <c r="E80" s="220"/>
      <c r="F80" s="220"/>
      <c r="G80" s="220"/>
      <c r="H80" s="220"/>
      <c r="I80" s="220"/>
      <c r="J80" s="202"/>
    </row>
    <row r="81" spans="1:10" ht="63.75">
      <c r="A81" s="248" t="s">
        <v>7</v>
      </c>
      <c r="B81" s="455" t="s">
        <v>224</v>
      </c>
      <c r="C81" s="455"/>
      <c r="D81" s="455"/>
      <c r="E81" s="455"/>
      <c r="F81" s="455"/>
      <c r="G81" s="455"/>
      <c r="H81" s="263" t="s">
        <v>217</v>
      </c>
      <c r="I81" s="263" t="s">
        <v>225</v>
      </c>
      <c r="J81" s="263" t="s">
        <v>226</v>
      </c>
    </row>
    <row r="82" spans="1:10">
      <c r="A82" s="142">
        <v>1</v>
      </c>
      <c r="B82" s="433" t="s">
        <v>228</v>
      </c>
      <c r="C82" s="433"/>
      <c r="D82" s="433"/>
      <c r="E82" s="433"/>
      <c r="F82" s="433"/>
      <c r="G82" s="433"/>
      <c r="H82" s="250">
        <f>SUM(H83:H87)</f>
        <v>11485969.2215</v>
      </c>
      <c r="I82" s="251"/>
      <c r="J82" s="252">
        <f>SUM(J83:J87)</f>
        <v>5742984.61075</v>
      </c>
    </row>
    <row r="83" spans="1:10">
      <c r="A83" s="142">
        <v>1.1000000000000001</v>
      </c>
      <c r="B83" s="428" t="s">
        <v>251</v>
      </c>
      <c r="C83" s="428"/>
      <c r="D83" s="428"/>
      <c r="E83" s="428"/>
      <c r="F83" s="428"/>
      <c r="G83" s="428"/>
      <c r="H83" s="189">
        <v>10440300.4515</v>
      </c>
      <c r="I83" s="253">
        <v>0.5</v>
      </c>
      <c r="J83" s="254">
        <f>H83*I83</f>
        <v>5220150.2257500002</v>
      </c>
    </row>
    <row r="84" spans="1:10">
      <c r="A84" s="142">
        <v>1.2</v>
      </c>
      <c r="B84" s="428" t="s">
        <v>252</v>
      </c>
      <c r="C84" s="428"/>
      <c r="D84" s="428"/>
      <c r="E84" s="428"/>
      <c r="F84" s="428"/>
      <c r="G84" s="428"/>
      <c r="H84" s="189"/>
      <c r="I84" s="251">
        <v>0.5</v>
      </c>
      <c r="J84" s="254">
        <f>H84*I84</f>
        <v>0</v>
      </c>
    </row>
    <row r="85" spans="1:10">
      <c r="A85" s="142">
        <v>1.3</v>
      </c>
      <c r="B85" s="428" t="s">
        <v>253</v>
      </c>
      <c r="C85" s="428"/>
      <c r="D85" s="428"/>
      <c r="E85" s="428"/>
      <c r="F85" s="428"/>
      <c r="G85" s="428"/>
      <c r="H85" s="189">
        <v>1045668.77</v>
      </c>
      <c r="I85" s="251">
        <v>0.5</v>
      </c>
      <c r="J85" s="254">
        <f>H85*I85</f>
        <v>522834.38500000001</v>
      </c>
    </row>
    <row r="86" spans="1:10">
      <c r="A86" s="142">
        <v>1.4</v>
      </c>
      <c r="B86" s="429" t="s">
        <v>254</v>
      </c>
      <c r="C86" s="429"/>
      <c r="D86" s="429"/>
      <c r="E86" s="429"/>
      <c r="F86" s="429"/>
      <c r="G86" s="429"/>
      <c r="H86" s="189"/>
      <c r="I86" s="251">
        <v>1</v>
      </c>
      <c r="J86" s="254">
        <f>H86*I86</f>
        <v>0</v>
      </c>
    </row>
    <row r="87" spans="1:10">
      <c r="A87" s="142">
        <v>1.5</v>
      </c>
      <c r="B87" s="429" t="s">
        <v>255</v>
      </c>
      <c r="C87" s="429"/>
      <c r="D87" s="429"/>
      <c r="E87" s="429"/>
      <c r="F87" s="429"/>
      <c r="G87" s="429"/>
      <c r="H87" s="189"/>
      <c r="I87" s="251">
        <v>1</v>
      </c>
      <c r="J87" s="254">
        <f>H87*I87</f>
        <v>0</v>
      </c>
    </row>
    <row r="88" spans="1:10">
      <c r="A88" s="142">
        <v>2</v>
      </c>
      <c r="B88" s="433" t="s">
        <v>256</v>
      </c>
      <c r="C88" s="433"/>
      <c r="D88" s="433"/>
      <c r="E88" s="433"/>
      <c r="F88" s="433"/>
      <c r="G88" s="433"/>
      <c r="H88" s="250">
        <f>SUM(H89:H93)</f>
        <v>10190795.2817</v>
      </c>
      <c r="I88" s="251"/>
      <c r="J88" s="252">
        <f>SUM(J89:J93)</f>
        <v>10190795.2817</v>
      </c>
    </row>
    <row r="89" spans="1:10">
      <c r="A89" s="142">
        <v>2.1</v>
      </c>
      <c r="B89" s="428" t="s">
        <v>257</v>
      </c>
      <c r="C89" s="428"/>
      <c r="D89" s="428"/>
      <c r="E89" s="428"/>
      <c r="F89" s="428"/>
      <c r="G89" s="428"/>
      <c r="H89" s="189">
        <v>10190795.2817</v>
      </c>
      <c r="I89" s="253">
        <v>1</v>
      </c>
      <c r="J89" s="254">
        <f>H89*I89</f>
        <v>10190795.2817</v>
      </c>
    </row>
    <row r="90" spans="1:10">
      <c r="A90" s="142">
        <v>2.2000000000000002</v>
      </c>
      <c r="B90" s="429" t="s">
        <v>258</v>
      </c>
      <c r="C90" s="429"/>
      <c r="D90" s="429"/>
      <c r="E90" s="429"/>
      <c r="F90" s="429"/>
      <c r="G90" s="429"/>
      <c r="H90" s="168"/>
      <c r="I90" s="251">
        <v>1</v>
      </c>
      <c r="J90" s="254">
        <f>H90*I90</f>
        <v>0</v>
      </c>
    </row>
    <row r="91" spans="1:10">
      <c r="A91" s="142">
        <v>2.2999999999999998</v>
      </c>
      <c r="B91" s="429" t="s">
        <v>259</v>
      </c>
      <c r="C91" s="429"/>
      <c r="D91" s="429"/>
      <c r="E91" s="429"/>
      <c r="F91" s="429"/>
      <c r="G91" s="429"/>
      <c r="H91" s="168"/>
      <c r="I91" s="251">
        <v>1</v>
      </c>
      <c r="J91" s="254">
        <f>H91*I91</f>
        <v>0</v>
      </c>
    </row>
    <row r="92" spans="1:10">
      <c r="A92" s="142">
        <v>2.4</v>
      </c>
      <c r="B92" s="434" t="s">
        <v>260</v>
      </c>
      <c r="C92" s="434"/>
      <c r="D92" s="434"/>
      <c r="E92" s="434"/>
      <c r="F92" s="434"/>
      <c r="G92" s="434"/>
      <c r="H92" s="168"/>
      <c r="I92" s="251">
        <v>0.5</v>
      </c>
      <c r="J92" s="254">
        <f>H92*I92</f>
        <v>0</v>
      </c>
    </row>
    <row r="93" spans="1:10">
      <c r="A93" s="142">
        <v>2.5</v>
      </c>
      <c r="B93" s="434" t="s">
        <v>261</v>
      </c>
      <c r="C93" s="434"/>
      <c r="D93" s="434"/>
      <c r="E93" s="434"/>
      <c r="F93" s="434"/>
      <c r="G93" s="434"/>
      <c r="H93" s="168"/>
      <c r="I93" s="251">
        <v>0.5</v>
      </c>
      <c r="J93" s="254">
        <f>H93*I93</f>
        <v>0</v>
      </c>
    </row>
    <row r="94" spans="1:10">
      <c r="A94" s="142">
        <v>3</v>
      </c>
      <c r="B94" s="433" t="s">
        <v>262</v>
      </c>
      <c r="C94" s="433"/>
      <c r="D94" s="433"/>
      <c r="E94" s="433"/>
      <c r="F94" s="433"/>
      <c r="G94" s="433"/>
      <c r="H94" s="191">
        <f>SUM(H95)</f>
        <v>639333</v>
      </c>
      <c r="I94" s="251"/>
      <c r="J94" s="252">
        <f>SUM(J95)</f>
        <v>127866.6</v>
      </c>
    </row>
    <row r="95" spans="1:10">
      <c r="A95" s="142">
        <v>3.1</v>
      </c>
      <c r="B95" s="432" t="s">
        <v>263</v>
      </c>
      <c r="C95" s="432"/>
      <c r="D95" s="432"/>
      <c r="E95" s="432"/>
      <c r="F95" s="432"/>
      <c r="G95" s="432"/>
      <c r="H95" s="168">
        <v>639333</v>
      </c>
      <c r="I95" s="251">
        <v>0.2</v>
      </c>
      <c r="J95" s="254">
        <f>H95*I95</f>
        <v>127866.6</v>
      </c>
    </row>
    <row r="96" spans="1:10">
      <c r="A96" s="142">
        <v>4</v>
      </c>
      <c r="B96" s="433" t="s">
        <v>231</v>
      </c>
      <c r="C96" s="433"/>
      <c r="D96" s="433"/>
      <c r="E96" s="433"/>
      <c r="F96" s="433"/>
      <c r="G96" s="433"/>
      <c r="H96" s="191">
        <f>SUM(H97)</f>
        <v>0</v>
      </c>
      <c r="I96" s="251"/>
      <c r="J96" s="252">
        <f>SUM(J97)</f>
        <v>0</v>
      </c>
    </row>
    <row r="97" spans="1:10">
      <c r="A97" s="142">
        <v>4.0999999999999996</v>
      </c>
      <c r="B97" s="432" t="s">
        <v>264</v>
      </c>
      <c r="C97" s="432"/>
      <c r="D97" s="432"/>
      <c r="E97" s="432"/>
      <c r="F97" s="432"/>
      <c r="G97" s="432"/>
      <c r="H97" s="168"/>
      <c r="I97" s="251">
        <v>0</v>
      </c>
      <c r="J97" s="254">
        <f>H97*I97</f>
        <v>0</v>
      </c>
    </row>
    <row r="98" spans="1:10">
      <c r="A98" s="217">
        <v>5</v>
      </c>
      <c r="B98" s="426" t="s">
        <v>232</v>
      </c>
      <c r="C98" s="426"/>
      <c r="D98" s="426"/>
      <c r="E98" s="426"/>
      <c r="F98" s="426"/>
      <c r="G98" s="426"/>
      <c r="H98" s="255">
        <f>I110</f>
        <v>0</v>
      </c>
      <c r="I98" s="256" t="s">
        <v>265</v>
      </c>
      <c r="J98" s="257">
        <f>J110</f>
        <v>0</v>
      </c>
    </row>
    <row r="99" spans="1:10">
      <c r="A99" s="258">
        <v>6</v>
      </c>
      <c r="B99" s="427" t="s">
        <v>233</v>
      </c>
      <c r="C99" s="427"/>
      <c r="D99" s="427"/>
      <c r="E99" s="427"/>
      <c r="F99" s="427"/>
      <c r="G99" s="427"/>
      <c r="H99" s="259">
        <f>SUM(H82+H88+H94+H96+H98)</f>
        <v>22316097.503200002</v>
      </c>
      <c r="I99" s="260"/>
      <c r="J99" s="259">
        <f>SUM(J82+J88+J94+J96+J98)</f>
        <v>16061646.492450001</v>
      </c>
    </row>
    <row r="100" spans="1:10">
      <c r="A100" s="261"/>
      <c r="B100" s="201"/>
      <c r="C100" s="201"/>
      <c r="D100" s="220"/>
      <c r="E100" s="220"/>
      <c r="F100" s="202"/>
      <c r="G100" s="202"/>
      <c r="H100" s="262"/>
      <c r="I100" s="202"/>
      <c r="J100" s="202"/>
    </row>
    <row r="101" spans="1:10">
      <c r="A101" s="262"/>
      <c r="B101" s="202"/>
      <c r="C101" s="202"/>
      <c r="D101" s="202"/>
      <c r="E101" s="202"/>
      <c r="F101" s="202"/>
      <c r="G101" s="202"/>
      <c r="H101" s="202"/>
      <c r="I101" s="202"/>
      <c r="J101" s="202"/>
    </row>
    <row r="102" spans="1:10">
      <c r="A102" s="421" t="s">
        <v>7</v>
      </c>
      <c r="B102" s="423" t="s">
        <v>232</v>
      </c>
      <c r="C102" s="425" t="s">
        <v>266</v>
      </c>
      <c r="D102" s="425"/>
      <c r="E102" s="425"/>
      <c r="F102" s="425" t="s">
        <v>267</v>
      </c>
      <c r="G102" s="425"/>
      <c r="H102" s="425"/>
      <c r="I102" s="430" t="s">
        <v>11</v>
      </c>
      <c r="J102" s="431"/>
    </row>
    <row r="103" spans="1:10" ht="63.75">
      <c r="A103" s="422"/>
      <c r="B103" s="424"/>
      <c r="C103" s="263" t="s">
        <v>217</v>
      </c>
      <c r="D103" s="263" t="s">
        <v>225</v>
      </c>
      <c r="E103" s="263" t="s">
        <v>226</v>
      </c>
      <c r="F103" s="263" t="s">
        <v>217</v>
      </c>
      <c r="G103" s="263" t="s">
        <v>225</v>
      </c>
      <c r="H103" s="263" t="s">
        <v>226</v>
      </c>
      <c r="I103" s="263" t="s">
        <v>217</v>
      </c>
      <c r="J103" s="263" t="s">
        <v>226</v>
      </c>
    </row>
    <row r="104" spans="1:10">
      <c r="A104" s="264">
        <v>1</v>
      </c>
      <c r="B104" s="265" t="s">
        <v>268</v>
      </c>
      <c r="C104" s="266"/>
      <c r="D104" s="267"/>
      <c r="E104" s="268">
        <f>C104*D104</f>
        <v>0</v>
      </c>
      <c r="F104" s="266"/>
      <c r="G104" s="269"/>
      <c r="H104" s="268">
        <f>F104*G104</f>
        <v>0</v>
      </c>
      <c r="I104" s="268">
        <f t="shared" ref="I104:I110" si="2">C104+F104</f>
        <v>0</v>
      </c>
      <c r="J104" s="270">
        <f t="shared" ref="J104:J110" si="3">E104+H104</f>
        <v>0</v>
      </c>
    </row>
    <row r="105" spans="1:10">
      <c r="A105" s="264">
        <v>2</v>
      </c>
      <c r="B105" s="265" t="s">
        <v>269</v>
      </c>
      <c r="C105" s="266"/>
      <c r="D105" s="269"/>
      <c r="E105" s="268">
        <f>C105*D105</f>
        <v>0</v>
      </c>
      <c r="F105" s="266"/>
      <c r="G105" s="269"/>
      <c r="H105" s="268">
        <f>F105*G105</f>
        <v>0</v>
      </c>
      <c r="I105" s="268">
        <f t="shared" si="2"/>
        <v>0</v>
      </c>
      <c r="J105" s="270">
        <f t="shared" si="3"/>
        <v>0</v>
      </c>
    </row>
    <row r="106" spans="1:10">
      <c r="A106" s="264">
        <v>3</v>
      </c>
      <c r="B106" s="265" t="s">
        <v>270</v>
      </c>
      <c r="C106" s="266"/>
      <c r="D106" s="269"/>
      <c r="E106" s="268">
        <f>C106*D106</f>
        <v>0</v>
      </c>
      <c r="F106" s="266"/>
      <c r="G106" s="269"/>
      <c r="H106" s="268">
        <f>F106*G106</f>
        <v>0</v>
      </c>
      <c r="I106" s="268">
        <f t="shared" si="2"/>
        <v>0</v>
      </c>
      <c r="J106" s="270">
        <f t="shared" si="3"/>
        <v>0</v>
      </c>
    </row>
    <row r="107" spans="1:10">
      <c r="A107" s="264">
        <v>4</v>
      </c>
      <c r="B107" s="265" t="s">
        <v>271</v>
      </c>
      <c r="C107" s="266"/>
      <c r="D107" s="269"/>
      <c r="E107" s="268">
        <f>C107*D107</f>
        <v>0</v>
      </c>
      <c r="F107" s="266"/>
      <c r="G107" s="269"/>
      <c r="H107" s="268">
        <f>F107*G107</f>
        <v>0</v>
      </c>
      <c r="I107" s="268">
        <f t="shared" si="2"/>
        <v>0</v>
      </c>
      <c r="J107" s="270">
        <f t="shared" si="3"/>
        <v>0</v>
      </c>
    </row>
    <row r="108" spans="1:10">
      <c r="A108" s="264">
        <v>5</v>
      </c>
      <c r="B108" s="265" t="s">
        <v>272</v>
      </c>
      <c r="C108" s="266"/>
      <c r="D108" s="269"/>
      <c r="E108" s="268">
        <f>C108*D108</f>
        <v>0</v>
      </c>
      <c r="F108" s="266"/>
      <c r="G108" s="269"/>
      <c r="H108" s="268">
        <f>F108*G108</f>
        <v>0</v>
      </c>
      <c r="I108" s="268">
        <f t="shared" si="2"/>
        <v>0</v>
      </c>
      <c r="J108" s="270">
        <f t="shared" si="3"/>
        <v>0</v>
      </c>
    </row>
    <row r="109" spans="1:10">
      <c r="A109" s="271">
        <v>6</v>
      </c>
      <c r="B109" s="272" t="s">
        <v>273</v>
      </c>
      <c r="C109" s="273"/>
      <c r="D109" s="274"/>
      <c r="E109" s="275">
        <f>C109</f>
        <v>0</v>
      </c>
      <c r="F109" s="273"/>
      <c r="G109" s="274"/>
      <c r="H109" s="275">
        <f>F109</f>
        <v>0</v>
      </c>
      <c r="I109" s="275">
        <f t="shared" si="2"/>
        <v>0</v>
      </c>
      <c r="J109" s="276">
        <f t="shared" si="3"/>
        <v>0</v>
      </c>
    </row>
    <row r="110" spans="1:10">
      <c r="A110" s="277">
        <v>7</v>
      </c>
      <c r="B110" s="278" t="s">
        <v>11</v>
      </c>
      <c r="C110" s="279">
        <f>SUM(C104:C109)</f>
        <v>0</v>
      </c>
      <c r="D110" s="197"/>
      <c r="E110" s="279">
        <f>SUM(E104:E109)</f>
        <v>0</v>
      </c>
      <c r="F110" s="279">
        <f>SUM(F104:F109)</f>
        <v>0</v>
      </c>
      <c r="G110" s="197"/>
      <c r="H110" s="279">
        <f>SUM(H104:H109)</f>
        <v>0</v>
      </c>
      <c r="I110" s="279">
        <f t="shared" si="2"/>
        <v>0</v>
      </c>
      <c r="J110" s="280">
        <f t="shared" si="3"/>
        <v>0</v>
      </c>
    </row>
    <row r="111" spans="1:10">
      <c r="A111" s="281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1:10">
      <c r="A112" s="281"/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1:10">
      <c r="A113" s="120"/>
      <c r="B113" s="282" t="e">
        <f>[1]Info!$B$30</f>
        <v>#REF!</v>
      </c>
      <c r="C113" s="162"/>
      <c r="D113" s="162"/>
      <c r="E113" s="162"/>
      <c r="F113" s="162"/>
      <c r="G113" s="162"/>
      <c r="H113" s="162"/>
      <c r="I113" s="162"/>
      <c r="J113" s="162"/>
    </row>
    <row r="114" spans="1:10">
      <c r="A114" s="120"/>
      <c r="B114" s="282"/>
      <c r="C114" s="162"/>
      <c r="D114" s="162"/>
      <c r="E114" s="162"/>
      <c r="F114" s="162"/>
      <c r="G114" s="162"/>
      <c r="H114" s="162"/>
      <c r="I114" s="162"/>
      <c r="J114" s="162"/>
    </row>
    <row r="115" spans="1:10">
      <c r="A115" s="120"/>
      <c r="B115" s="282" t="e">
        <f>[1]Info!$B$32</f>
        <v>#REF!</v>
      </c>
      <c r="C115" s="162"/>
      <c r="D115" s="162"/>
      <c r="E115" s="162"/>
      <c r="F115" s="162"/>
      <c r="G115" s="162"/>
      <c r="H115" s="162"/>
      <c r="I115" s="162"/>
      <c r="J115" s="162"/>
    </row>
  </sheetData>
  <mergeCells count="83">
    <mergeCell ref="A102:A103"/>
    <mergeCell ref="B102:B103"/>
    <mergeCell ref="C102:E102"/>
    <mergeCell ref="F102:H102"/>
    <mergeCell ref="B98:G98"/>
    <mergeCell ref="B99:G99"/>
    <mergeCell ref="B89:G89"/>
    <mergeCell ref="B90:G90"/>
    <mergeCell ref="B91:G91"/>
    <mergeCell ref="I102:J102"/>
    <mergeCell ref="B95:G95"/>
    <mergeCell ref="B96:G96"/>
    <mergeCell ref="B97:G97"/>
    <mergeCell ref="B93:G93"/>
    <mergeCell ref="B94:G94"/>
    <mergeCell ref="B92:G92"/>
    <mergeCell ref="B84:G84"/>
    <mergeCell ref="B85:G85"/>
    <mergeCell ref="E67:E68"/>
    <mergeCell ref="F67:F68"/>
    <mergeCell ref="G67:J67"/>
    <mergeCell ref="B69:C69"/>
    <mergeCell ref="B70:C70"/>
    <mergeCell ref="B86:G86"/>
    <mergeCell ref="B87:G87"/>
    <mergeCell ref="B88:G88"/>
    <mergeCell ref="B64:C64"/>
    <mergeCell ref="A67:A68"/>
    <mergeCell ref="B67:C68"/>
    <mergeCell ref="B77:C77"/>
    <mergeCell ref="D67:D68"/>
    <mergeCell ref="B71:C71"/>
    <mergeCell ref="B72:C72"/>
    <mergeCell ref="B74:C74"/>
    <mergeCell ref="B75:C75"/>
    <mergeCell ref="B76:C76"/>
    <mergeCell ref="B81:G81"/>
    <mergeCell ref="B82:G82"/>
    <mergeCell ref="B83:G83"/>
    <mergeCell ref="B57:C57"/>
    <mergeCell ref="B58:C58"/>
    <mergeCell ref="B61:C61"/>
    <mergeCell ref="B62:C62"/>
    <mergeCell ref="B63:C63"/>
    <mergeCell ref="B59:C59"/>
    <mergeCell ref="A37:A38"/>
    <mergeCell ref="B37:C38"/>
    <mergeCell ref="D37:D38"/>
    <mergeCell ref="E37:E38"/>
    <mergeCell ref="F37:F38"/>
    <mergeCell ref="A52:A53"/>
    <mergeCell ref="B52:C53"/>
    <mergeCell ref="D52:D53"/>
    <mergeCell ref="E52:E53"/>
    <mergeCell ref="F52:F53"/>
    <mergeCell ref="B54:C54"/>
    <mergeCell ref="B55:C55"/>
    <mergeCell ref="B56:C56"/>
    <mergeCell ref="B28:H28"/>
    <mergeCell ref="B29:H29"/>
    <mergeCell ref="B30:H30"/>
    <mergeCell ref="B31:H31"/>
    <mergeCell ref="B32:H32"/>
    <mergeCell ref="G37:J37"/>
    <mergeCell ref="G52:J52"/>
    <mergeCell ref="B27:H27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15:H15"/>
    <mergeCell ref="B6:H6"/>
    <mergeCell ref="B7:H7"/>
    <mergeCell ref="B12:H12"/>
    <mergeCell ref="B13:H13"/>
    <mergeCell ref="B14:H14"/>
  </mergeCells>
  <dataValidations count="2">
    <dataValidation type="whole" operator="lessThanOrEqual" allowBlank="1" showInputMessage="1" showErrorMessage="1" errorTitle="Should be negative number" error="Should be whole negative number or 0" sqref="I19:J19">
      <formula1>0</formula1>
    </dataValidation>
    <dataValidation type="decimal" allowBlank="1" showInputMessage="1" showErrorMessage="1" sqref="J68">
      <formula1>0.5</formula1>
      <formula2>0.75</formula2>
    </dataValidation>
  </dataValidations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ByIiH/fyo/dysSP8bpTVLZITP7w=</DigestValue>
    </Reference>
    <Reference URI="#idOfficeObject" Type="http://www.w3.org/2000/09/xmldsig#Object">
      <DigestMethod Algorithm="http://www.w3.org/2000/09/xmldsig#sha1"/>
      <DigestValue>5qJivY6RVLCqk7V/NEwuWR96yLM=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l4E3RSjzrBpQYfkdYwsTEzm5srw=</DigestValue>
    </Reference>
  </SignedInfo>
  <SignatureValue>LxCXKiFdc51ZIBJWD/BJvsdCkuIDbISBRW+A3pMu4TaxTzNCso7MLGKBJdg1/rrMTubxTOaK/A1g
nW2qOhWG6HWsVcE7sw/RgcKAQZ+90DiQcnVVH3d+UFFwbEzeGJ3mZVy8FHHk6odl2u87YxQPIVlV
B6oIIVt7O4p0JJrf2c12DA2A7wef4iffR/FsoaT/c/+sKlM50n7rNiH+TfvjSQjYxPJONjIa1LFq
ZGp5UV7/Xmbu4xIcwzpxZXhn6QNow+oHNmnfh7T9jUP5vC4SVBOXVngn3vztBZgUxSdwjVlgO9JJ
7LsDDOX9JgaSq3JIMlYN1wcHGL3AuYDWcXwbNg==</SignatureValue>
  <KeyInfo>
    <X509Data>
      <X509Certificate>MIIGRjCCBS6gAwIBAgIKesnavgACAAAc1TANBgkqhkiG9w0BAQsFADBKMRIwEAYKCZImiZPyLGQB
GRYCZ2UxEzARBgoJkiaJk/IsZAEZFgNuYmcxHzAdBgNVBAMTFk5CRyBDbGFzcyAyIElOVCBTdWIg
Q0EwHhcNMTcwMjE1MDcyMjU4WhcNMTkwMjE1MDcyMjU4WjBEMR8wHQYDVQQKExZKU0MgUGFzaGEg
QmFuayBHZW9yZ2lhMSEwHwYDVQQDExhCUEIgLSBNYXJnYXJpdGEgU3ZhbmlkemUwggEiMA0GCSqG
SIb3DQEBAQUAA4IBDwAwggEKAoIBAQDwVjBqqMrDMQLZ0bO0mzBu+mMPv7pJzrYDLxfHxgnywgWk
1XGO3jN74Ul6Hn9MtNoUuzSw1Tq9P9NY4Pn9ojwuHPzZq3SLAGltd4JIRYTcgvje3vwdRBvA9GA3
7U+wrirs2CPOE77gm1Zq7/FN+nLmUni/lNNgoz2rihTq9KwsBfrNaPXKYv56X3xU7WaEH5GLA9hH
fenpwZjnZb7c9jIdTYK9yrUIeMAiqFYVlQ4sLj8mnWoDGz37/02z7WPruDTk6KNNbZmpPYCe7cPf
6LBqUM8hcXaZFA5EuEbd/BtMMyLS1wTy0N7eQ6gO9bUDMnduD22MkYyJVOskQHWVNGHnAgMBAAGj
ggMyMIIDLjA8BgkrBgEEAYI3FQcELzAtBiUrBgEEAYI3FQjmsmCDjfVEhoGZCYO4oUqDvoRxBIPE
kTOEg4hdAgFkAgEdMB0GA1UdJQQWMBQGCCsGAQUFBwMCBggrBgEFBQcDBDALBgNVHQ8EBAMCB4Aw
JwYJKwYBBAGCNxUKBBowGDAKBggrBgEFBQcDAjAKBggrBgEFBQcDBDAdBgNVHQ4EFgQUbfepM37/
b04GOkuRptsSc+QhTg0wHwYDVR0jBBgwFoAUwy7SL/BMLxnCJ4L89i6sarBJz8EwggElBgNVHR8E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MjBJTlQlMjBTdWIlMjBDQSgyKS5jcnQwDQYJKoZIhvcNAQELBQADggEBABTEvO+NrMMxNXC2k7wb
wI8r5x+UyDjJ4GVk5NCn3IBFHQfugK3eBU1vbjCj3fvVxVzV4WoAnGFlH3rWXzqzLae/OQOZYRiZ
O7Ku/jwLFx1VXDsfIkl1lMJXJtNw3fnVIuVK2wrXxfOYdOYwHZNDxV0mirX1t/k01ofSwdI2gnto
ZRgLLYZTIdHGhC6d9nJzO9nLz3W0F31O8Mrldt9rzbz//JF9lDandyzVwobwgByBJbxtvny1sJnv
BmR7G2IUzKlMhifYkIUUjlZ7Syj+/ZkxFjXvHhhc+iv+fp06KlNxbQrpqHR3e3Pn7M8gaYosLLf1
AFjRWrPqBgNaViN4cJs=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SDSAZDUkbIdf9VBxiaXVHjSyJl8=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eWQqyayOUcqoKGwqs7joz6gBz3I=</DigestValue>
      </Reference>
      <Reference URI="/xl/worksheets/sheet8.xml?ContentType=application/vnd.openxmlformats-officedocument.spreadsheetml.worksheet+xml">
        <DigestMethod Algorithm="http://www.w3.org/2000/09/xmldsig#sha1"/>
        <DigestValue>LJEDMEoorocrkpgPaLSPhR6hnTs=</DigestValue>
      </Reference>
      <Reference URI="/xl/worksheets/sheet7.xml?ContentType=application/vnd.openxmlformats-officedocument.spreadsheetml.worksheet+xml">
        <DigestMethod Algorithm="http://www.w3.org/2000/09/xmldsig#sha1"/>
        <DigestValue>dPTZvIj2jTv3EaT2/rVl/YoDCMY=</DigestValue>
      </Reference>
      <Reference URI="/xl/worksheets/sheet6.xml?ContentType=application/vnd.openxmlformats-officedocument.spreadsheetml.worksheet+xml">
        <DigestMethod Algorithm="http://www.w3.org/2000/09/xmldsig#sha1"/>
        <DigestValue>4f3kZU4ngRPY9AKFubGmHX2QzdM=</DigestValue>
      </Reference>
      <Reference URI="/xl/styles.xml?ContentType=application/vnd.openxmlformats-officedocument.spreadsheetml.styles+xml">
        <DigestMethod Algorithm="http://www.w3.org/2000/09/xmldsig#sha1"/>
        <DigestValue>WA+DhoxwQ4WPnmCOATbDCOo5j2U=</DigestValue>
      </Reference>
      <Reference URI="/xl/worksheets/sheet10.xml?ContentType=application/vnd.openxmlformats-officedocument.spreadsheetml.worksheet+xml">
        <DigestMethod Algorithm="http://www.w3.org/2000/09/xmldsig#sha1"/>
        <DigestValue>Q7ukGqNkVjOOyOyUsGlh8teAQWw=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K9VwTEYKobKgOL4jBaezyOBl/Vk=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k1NpovydwG4S2/cjeNvGT5zGEwI=</DigestValue>
      </Reference>
      <Reference URI="/xl/worksheets/sheet5.xml?ContentType=application/vnd.openxmlformats-officedocument.spreadsheetml.worksheet+xml">
        <DigestMethod Algorithm="http://www.w3.org/2000/09/xmldsig#sha1"/>
        <DigestValue>RSyGPGumV3kleSrjnoQaRHQKBOM=</DigestValue>
      </Reference>
      <Reference URI="/xl/worksheets/sheet9.xml?ContentType=application/vnd.openxmlformats-officedocument.spreadsheetml.worksheet+xml">
        <DigestMethod Algorithm="http://www.w3.org/2000/09/xmldsig#sha1"/>
        <DigestValue>0CrCp+h9cw3mISJ3b8TZ9Y7srts=</DigestValue>
      </Reference>
      <Reference URI="/xl/workbook.xml?ContentType=application/vnd.openxmlformats-officedocument.spreadsheetml.sheet.main+xml">
        <DigestMethod Algorithm="http://www.w3.org/2000/09/xmldsig#sha1"/>
        <DigestValue>glX1gcUjmnij9lbXCqMsVC6AEgQ=</DigestValue>
      </Reference>
      <Reference URI="/xl/worksheets/sheet4.xml?ContentType=application/vnd.openxmlformats-officedocument.spreadsheetml.worksheet+xml">
        <DigestMethod Algorithm="http://www.w3.org/2000/09/xmldsig#sha1"/>
        <DigestValue>Pr5HUz9XhxChCXiUcHv7mk6MSWQ=</DigestValue>
      </Reference>
      <Reference URI="/xl/worksheets/sheet1.xml?ContentType=application/vnd.openxmlformats-officedocument.spreadsheetml.worksheet+xml">
        <DigestMethod Algorithm="http://www.w3.org/2000/09/xmldsig#sha1"/>
        <DigestValue>sTEQLyTo4uBOOUOrx8RKjmpnU3o=</DigestValue>
      </Reference>
      <Reference URI="/xl/drawings/drawing2.xml?ContentType=application/vnd.openxmlformats-officedocument.drawing+xml">
        <DigestMethod Algorithm="http://www.w3.org/2000/09/xmldsig#sha1"/>
        <DigestValue>vRFj+IQE7XCl3U/EG9YScIHt/DY=</DigestValue>
      </Reference>
      <Reference URI="/xl/drawings/drawing1.xml?ContentType=application/vnd.openxmlformats-officedocument.drawing+xml">
        <DigestMethod Algorithm="http://www.w3.org/2000/09/xmldsig#sha1"/>
        <DigestValue>tMqftqL3EI0MzK2n/d37QnceBYA=</DigestValue>
      </Reference>
      <Reference URI="/xl/worksheets/sheet2.xml?ContentType=application/vnd.openxmlformats-officedocument.spreadsheetml.worksheet+xml">
        <DigestMethod Algorithm="http://www.w3.org/2000/09/xmldsig#sha1"/>
        <DigestValue>+fTz1Z6RiYTSlruvcEtsQ+y+bA4=</DigestValue>
      </Reference>
      <Reference URI="/xl/worksheets/sheet3.xml?ContentType=application/vnd.openxmlformats-officedocument.spreadsheetml.worksheet+xml">
        <DigestMethod Algorithm="http://www.w3.org/2000/09/xmldsig#sha1"/>
        <DigestValue>7V6VjInsuEb7TF87g8YUC6xvzEw=</DigestValue>
      </Reference>
      <Reference URI="/xl/sharedStrings.xml?ContentType=application/vnd.openxmlformats-officedocument.spreadsheetml.sharedStrings+xml">
        <DigestMethod Algorithm="http://www.w3.org/2000/09/xmldsig#sha1"/>
        <DigestValue>nXr4LXQiCJaKc8eqZM5+5SeYzjA=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WhcBCb54i3mXJGJtx0X8UbMZu+Y=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lykxePn82m/C0xM2lKgiqS0VeqY=</DigestValue>
      </Reference>
    </Manifest>
    <SignatureProperties>
      <SignatureProperty Id="idSignatureTime" Target="#idPackageSignature">
        <mdssi:SignatureTime>
          <mdssi:Format>YYYY-MM-DDThh:mm:ssTZD</mdssi:Format>
          <mdssi:Value>2017-04-25T14:07:58Z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2017-04-25T14:07:58Z</xd:SigningTime>
          <xd:SigningCertificate>
            <xd:Cert>
              <xd:CertDigest>
                <DigestMethod Algorithm="http://www.w3.org/2000/09/xmldsig#sha1"/>
                <DigestValue>oRTaHoIlDgHtX/xJU9V4LH4gucI=</DigestValue>
              </xd:CertDigest>
              <xd:IssuerSerial>
                <X509IssuerName>CN=NBG Class 2 INT Sub CA, DC=nbg, DC=ge</X509IssuerName>
                <X509SerialNumber>579852268504666769202389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U37f6CZQBnveoozDR9zEEUF2K4M=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IjWjNc6+HL8QGaJKsSD0Ox/n098=</DigestValue>
    </Reference>
  </SignedInfo>
  <SignatureValue>uhNVnnfND7ygrsfYFusQwxwBf0YAGSUpmQph/kjDL48YHESj+hGEOOLnzmz3eM48maGK6BzI7g+T
TfafksbEs9IIyAcXdzpPQ9SS0UgDop8L0uVBhqOntONaNtg3tAem161+QSJl/kkZzQQBDp+ix4Fa
NEtMsD6/zU2Vv7MKrpnxuwaSHZfQLtv4msMmyqpmjXsr3bWe96c2G7DlXWe8EzJ9c+dfviAuBnOG
iLxyxR0w95yxXE/zDK0CNxBQ945+t6vikX+9OuhnxVlg/MrbGV3sBH4YuSz5vqtoBgVd9yLAxFmQ
3zIGGwgjvkDC62xiGtHrsUZrO4e0WMQ8Va/TiQ==</SignatureValue>
  <KeyInfo>
    <X509Data>
      <X509Certificate>MIIGRDCCBSygAwIBAgIKesuBSgACAAAc1jANBgkqhkiG9w0BAQsFADBKMRIwEAYKCZImiZPyLGQB
GRYCZ2UxEzARBgoJkiaJk/IsZAEZFgNuYmcxHzAdBgNVBAMTFk5CRyBDbGFzcyAyIElOVCBTdWIg
Q0EwHhcNMTcwMjE1MDcyNDQ2WhcNMTkwMjE1MDcyNDQ2WjBCMR8wHQYDVQQKExZKU0MgUGFzaGEg
QmFuayBHZW9yZ2lhMR8wHQYDVQQDExZCUEIgLSBMZWxhIEdvZ2lhc2h2aWxpMIIBIjANBgkqhkiG
9w0BAQEFAAOCAQ8AMIIBCgKCAQEA8Hc+aRhWLz2Qk1D+GRP8opFNsSeOa1xEKhRTUlMKfFGzrZVt
CywOtfkaEViChSKY3P+4qBCM9AyWRrPGu1xyfJWUgYpYz6UkklEO3G54OgB+FtQ/CVfQ3A72rEoV
IlkhmTsFfvfobOyRC5JAANQ31L6jARKLVYViChfjhq4JHyUfLDJQC5ccAWtSiAJ165H7x1D50zrr
PYW3XJtKBjAHKKI5zVUb5PAjzkr4gnEApHrDVygDY1C7jdi5ThECs0fneFk0ZZrJ1Z2a7Vs/bCTC
y22HAFA1O5GsLLhEViB+CldQl+7KcDhsYlrY85mT1KJFWEcBZc5gqrpH6QexVDhIwwIDAQABo4ID
MjCCAy4wPAYJKwYBBAGCNxUHBC8wLQYlKwYBBAGCNxUI5rJgg431RIaBmQmDuKFKg76EcQSDxJEz
hIOIXQIBZAIBHTAdBgNVHSUEFjAUBggrBgEFBQcDAgYIKwYBBQUHAwQwCwYDVR0PBAQDAgeAMCcG
CSsGAQQBgjcVCgQaMBgwCgYIKwYBBQUHAwIwCgYIKwYBBQUHAwQwHQYDVR0OBBYEFN0sxcMFVeIs
O8LMk8ZJFVv/U2deMB8GA1UdIwQYMBaAFMMu0i/wTC8ZwieC/PYurGqwSc/BMIIBJQYDVR0fBIIB
HDCCARgwggEUoIIBEKCCAQyGgcdsZGFwOi8vL0NOPU5CRyUyMENsYXNzJTIwMiUyMElOVCUyMFN1
YiUyMENBKDEpLENOPW5iZy1zdWJDQSxDTj1DRFAsQ049UHVibGljJTIwS2V5JTIwU2VydmljZXMs
Q049U2VydmljZXMsQ049Q29uZmlndXJhdGlvbixEQz1uYmcsREM9Z2U/Y2VydGlmaWNhdGVSZXZv
Y2F0aW9uTGlzdD9iYXNlP29iamVjdENsYXNzPWNSTERpc3RyaWJ1dGlvblBvaW50hkBodHRwOi8v
Y3JsLm5iZy5nb3YuZ2UvY2EvTkJHJTIwQ2xhc3MlMjAyJTIwSU5UJTIwU3ViJTIwQ0EoMSkuY3Js
MIIBLgYIKwYBBQUHAQEEggEgMIIBHDCBugYIKwYBBQUHMAKGga1sZGFwOi8vL0NOPU5CRyUyMENs
YXNzJTIwMiUyMElOVCUyMFN1YiUyMENBLENOPUFJQSxDTj1QdWJsaWMlMjBLZXklMjBTZXJ2aWNl
cyxDTj1TZXJ2aWNlcyxDTj1Db25maWd1cmF0aW9uLERDPW5iZyxEQz1nZT9jQUNlcnRpZmljYXRl
P2Jhc2U/b2JqZWN0Q2xhc3M9Y2VydGlmaWNhdGlvbkF1dGhvcml0eTBdBggrBgEFBQcwAoZRaHR0
cDovL2NybC5uYmcuZ292LmdlL2NhL25iZy1zdWJDQS5uYmcuZ2VfTkJHJTIwQ2xhc3MlMjAyJTIw
SU5UJTIwU3ViJTIwQ0EoMikuY3J0MA0GCSqGSIb3DQEBCwUAA4IBAQAy4fNEzOSCHUgSguiaisUI
ieC0fZ3N+/QU5oyEz9uArgzZAEbY+qf33KdPPJ6u8GLpu5Tom59H1fKbSCBpLCWKrGWbWC35sAWU
0j22P8j0WBx/oMEkbWPTS6S28yvxOzPQb8XjxT63Elc9a5/iW3HhoLcrNUQ5/lUY9AHiAu+2aSxM
a1Z5d82lt17xhLhHB+Tr8PiXQuvlFdXF2t1P7q6nyOKr7EKaGkzX/erlnDr0ZbnXhIccxgnreopq
PzqoS4A0wCe5N936u96EE+fTvZWt1j6x5iES0S9/EuxeqBgpSrW+C1AWdr9Pdk4vD90729e16V/+
bFSelprjQatjI4s2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SDSAZDUkbIdf9VBxiaXVHjSyJl8=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eWQqyayOUcqoKGwqs7joz6gBz3I=</DigestValue>
      </Reference>
      <Reference URI="/xl/worksheets/sheet8.xml?ContentType=application/vnd.openxmlformats-officedocument.spreadsheetml.worksheet+xml">
        <DigestMethod Algorithm="http://www.w3.org/2000/09/xmldsig#sha1"/>
        <DigestValue>LJEDMEoorocrkpgPaLSPhR6hnTs=</DigestValue>
      </Reference>
      <Reference URI="/xl/worksheets/sheet7.xml?ContentType=application/vnd.openxmlformats-officedocument.spreadsheetml.worksheet+xml">
        <DigestMethod Algorithm="http://www.w3.org/2000/09/xmldsig#sha1"/>
        <DigestValue>dPTZvIj2jTv3EaT2/rVl/YoDCMY=</DigestValue>
      </Reference>
      <Reference URI="/xl/worksheets/sheet6.xml?ContentType=application/vnd.openxmlformats-officedocument.spreadsheetml.worksheet+xml">
        <DigestMethod Algorithm="http://www.w3.org/2000/09/xmldsig#sha1"/>
        <DigestValue>4f3kZU4ngRPY9AKFubGmHX2QzdM=</DigestValue>
      </Reference>
      <Reference URI="/xl/styles.xml?ContentType=application/vnd.openxmlformats-officedocument.spreadsheetml.styles+xml">
        <DigestMethod Algorithm="http://www.w3.org/2000/09/xmldsig#sha1"/>
        <DigestValue>WA+DhoxwQ4WPnmCOATbDCOo5j2U=</DigestValue>
      </Reference>
      <Reference URI="/xl/worksheets/sheet10.xml?ContentType=application/vnd.openxmlformats-officedocument.spreadsheetml.worksheet+xml">
        <DigestMethod Algorithm="http://www.w3.org/2000/09/xmldsig#sha1"/>
        <DigestValue>Q7ukGqNkVjOOyOyUsGlh8teAQWw=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K9VwTEYKobKgOL4jBaezyOBl/Vk=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k1NpovydwG4S2/cjeNvGT5zGEwI=</DigestValue>
      </Reference>
      <Reference URI="/xl/worksheets/sheet5.xml?ContentType=application/vnd.openxmlformats-officedocument.spreadsheetml.worksheet+xml">
        <DigestMethod Algorithm="http://www.w3.org/2000/09/xmldsig#sha1"/>
        <DigestValue>RSyGPGumV3kleSrjnoQaRHQKBOM=</DigestValue>
      </Reference>
      <Reference URI="/xl/worksheets/sheet9.xml?ContentType=application/vnd.openxmlformats-officedocument.spreadsheetml.worksheet+xml">
        <DigestMethod Algorithm="http://www.w3.org/2000/09/xmldsig#sha1"/>
        <DigestValue>0CrCp+h9cw3mISJ3b8TZ9Y7srts=</DigestValue>
      </Reference>
      <Reference URI="/xl/workbook.xml?ContentType=application/vnd.openxmlformats-officedocument.spreadsheetml.sheet.main+xml">
        <DigestMethod Algorithm="http://www.w3.org/2000/09/xmldsig#sha1"/>
        <DigestValue>glX1gcUjmnij9lbXCqMsVC6AEgQ=</DigestValue>
      </Reference>
      <Reference URI="/xl/worksheets/sheet4.xml?ContentType=application/vnd.openxmlformats-officedocument.spreadsheetml.worksheet+xml">
        <DigestMethod Algorithm="http://www.w3.org/2000/09/xmldsig#sha1"/>
        <DigestValue>Pr5HUz9XhxChCXiUcHv7mk6MSWQ=</DigestValue>
      </Reference>
      <Reference URI="/xl/worksheets/sheet1.xml?ContentType=application/vnd.openxmlformats-officedocument.spreadsheetml.worksheet+xml">
        <DigestMethod Algorithm="http://www.w3.org/2000/09/xmldsig#sha1"/>
        <DigestValue>sTEQLyTo4uBOOUOrx8RKjmpnU3o=</DigestValue>
      </Reference>
      <Reference URI="/xl/drawings/drawing2.xml?ContentType=application/vnd.openxmlformats-officedocument.drawing+xml">
        <DigestMethod Algorithm="http://www.w3.org/2000/09/xmldsig#sha1"/>
        <DigestValue>vRFj+IQE7XCl3U/EG9YScIHt/DY=</DigestValue>
      </Reference>
      <Reference URI="/xl/drawings/drawing1.xml?ContentType=application/vnd.openxmlformats-officedocument.drawing+xml">
        <DigestMethod Algorithm="http://www.w3.org/2000/09/xmldsig#sha1"/>
        <DigestValue>tMqftqL3EI0MzK2n/d37QnceBYA=</DigestValue>
      </Reference>
      <Reference URI="/xl/worksheets/sheet2.xml?ContentType=application/vnd.openxmlformats-officedocument.spreadsheetml.worksheet+xml">
        <DigestMethod Algorithm="http://www.w3.org/2000/09/xmldsig#sha1"/>
        <DigestValue>+fTz1Z6RiYTSlruvcEtsQ+y+bA4=</DigestValue>
      </Reference>
      <Reference URI="/xl/worksheets/sheet3.xml?ContentType=application/vnd.openxmlformats-officedocument.spreadsheetml.worksheet+xml">
        <DigestMethod Algorithm="http://www.w3.org/2000/09/xmldsig#sha1"/>
        <DigestValue>7V6VjInsuEb7TF87g8YUC6xvzEw=</DigestValue>
      </Reference>
      <Reference URI="/xl/sharedStrings.xml?ContentType=application/vnd.openxmlformats-officedocument.spreadsheetml.sharedStrings+xml">
        <DigestMethod Algorithm="http://www.w3.org/2000/09/xmldsig#sha1"/>
        <DigestValue>nXr4LXQiCJaKc8eqZM5+5SeYzjA=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WhcBCb54i3mXJGJtx0X8UbMZu+Y=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lykxePn82m/C0xM2lKgiqS0VeqY=</DigestValue>
      </Reference>
    </Manifest>
    <SignatureProperties>
      <SignatureProperty Id="idSignatureTime" Target="#idPackageSignature">
        <mdssi:SignatureTime>
          <mdssi:Format>YYYY-MM-DDThh:mm:ssTZD</mdssi:Format>
          <mdssi:Value>2017-04-26T06:52:37Z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2017-04-26T06:52:37Z</xd:SigningTime>
          <xd:SigningCertificate>
            <xd:Cert>
              <xd:CertDigest>
                <DigestMethod Algorithm="http://www.w3.org/2000/09/xmldsig#sha1"/>
                <DigestValue>bXeVszmyKums/rJpaQrnkKSK0fc=</DigestValue>
              </xd:CertDigest>
              <xd:IssuerSerial>
                <X509IssuerName>DC=ge, DC=nbg, CN=NBG Class 2 INT Sub CA</X509IssuerName>
                <X509SerialNumber>579882716215847514283222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Margarita Svanidze</cp:lastModifiedBy>
  <dcterms:modified xsi:type="dcterms:W3CDTF">2017-04-25T14:07:58Z</dcterms:modified>
</cp:coreProperties>
</file>