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tetruashvili\Desktop\"/>
    </mc:Choice>
  </mc:AlternateContent>
  <bookViews>
    <workbookView xWindow="-120" yWindow="340" windowWidth="20740" windowHeight="11320" tabRatio="938" activeTab="8"/>
  </bookViews>
  <sheets>
    <sheet name="1. Balance Sheet" sheetId="2" r:id="rId1"/>
    <sheet name="2. Income Statement" sheetId="3" r:id="rId2"/>
    <sheet name="3. Borrowed Funds" sheetId="4" r:id="rId3"/>
    <sheet name="4. Loans By Sector" sheetId="5" r:id="rId4"/>
    <sheet name="5. Loans By Interest Rate" sheetId="7" r:id="rId5"/>
    <sheet name="6. Collateral" sheetId="8" r:id="rId6"/>
    <sheet name="7. Par" sheetId="9" r:id="rId7"/>
    <sheet name="8. NPL" sheetId="10" r:id="rId8"/>
    <sheet name="9. Branches" sheetId="6" r:id="rId9"/>
  </sheets>
  <definedNames>
    <definedName name="Bank">'9. Branches'!$5:$5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1" i="6" l="1"/>
  <c r="A12" i="6"/>
  <c r="A13" i="6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9" i="6"/>
  <c r="C13" i="4"/>
  <c r="A5" i="6" l="1"/>
  <c r="C19" i="4"/>
  <c r="B16" i="6"/>
  <c r="B2" i="7"/>
  <c r="B2" i="9"/>
  <c r="B2" i="2"/>
  <c r="B2" i="4"/>
  <c r="C16" i="4"/>
  <c r="B2" i="8"/>
  <c r="B2" i="5"/>
  <c r="C15" i="4"/>
  <c r="C18" i="4"/>
  <c r="C12" i="4"/>
  <c r="B2" i="10"/>
  <c r="B2" i="3"/>
  <c r="E31" i="2" l="1"/>
  <c r="E29" i="2"/>
  <c r="E28" i="2"/>
  <c r="E30" i="2"/>
  <c r="E27" i="2"/>
  <c r="E26" i="2"/>
  <c r="D32" i="2"/>
  <c r="C32" i="2"/>
  <c r="E19" i="2"/>
  <c r="E23" i="2"/>
  <c r="E20" i="2"/>
  <c r="E22" i="2"/>
  <c r="E21" i="2"/>
  <c r="E18" i="2"/>
  <c r="E12" i="2"/>
  <c r="E6" i="2"/>
  <c r="E8" i="2"/>
  <c r="E10" i="2"/>
  <c r="E13" i="2"/>
  <c r="E7" i="2"/>
  <c r="E14" i="2"/>
  <c r="E11" i="2"/>
  <c r="E5" i="2"/>
  <c r="D24" i="2"/>
  <c r="D33" i="2" s="1"/>
  <c r="C24" i="2"/>
  <c r="C16" i="2"/>
  <c r="E15" i="2"/>
  <c r="D9" i="2"/>
  <c r="D16" i="2" s="1"/>
  <c r="C9" i="2"/>
  <c r="E9" i="2" s="1"/>
  <c r="C17" i="4"/>
  <c r="C14" i="4"/>
  <c r="C11" i="4"/>
  <c r="C8" i="4"/>
  <c r="C5" i="4"/>
  <c r="E5" i="5"/>
  <c r="E14" i="5" s="1"/>
  <c r="D5" i="5"/>
  <c r="D14" i="5" s="1"/>
  <c r="C5" i="5"/>
  <c r="C14" i="5" s="1"/>
  <c r="C13" i="7"/>
  <c r="C8" i="7"/>
  <c r="C10" i="7"/>
  <c r="C12" i="7"/>
  <c r="C7" i="7"/>
  <c r="C11" i="7"/>
  <c r="C9" i="7"/>
  <c r="C6" i="7"/>
  <c r="H5" i="7"/>
  <c r="H14" i="7" s="1"/>
  <c r="J5" i="7"/>
  <c r="J14" i="7" s="1"/>
  <c r="E5" i="7"/>
  <c r="E14" i="7" s="1"/>
  <c r="K5" i="7"/>
  <c r="K14" i="7" s="1"/>
  <c r="G5" i="7"/>
  <c r="G14" i="7" s="1"/>
  <c r="I5" i="7"/>
  <c r="I14" i="7" s="1"/>
  <c r="F5" i="7"/>
  <c r="F14" i="7" s="1"/>
  <c r="D5" i="7"/>
  <c r="D14" i="7" s="1"/>
  <c r="C11" i="8"/>
  <c r="C12" i="8"/>
  <c r="C8" i="8"/>
  <c r="C7" i="8"/>
  <c r="C10" i="8"/>
  <c r="C9" i="8"/>
  <c r="C6" i="8"/>
  <c r="G5" i="8"/>
  <c r="G14" i="8" s="1"/>
  <c r="E5" i="8"/>
  <c r="E14" i="8" s="1"/>
  <c r="L5" i="8"/>
  <c r="L14" i="8" s="1"/>
  <c r="I5" i="8"/>
  <c r="I14" i="8" s="1"/>
  <c r="F5" i="8"/>
  <c r="F14" i="8" s="1"/>
  <c r="H5" i="8"/>
  <c r="H14" i="8" s="1"/>
  <c r="K5" i="8"/>
  <c r="K14" i="8" s="1"/>
  <c r="J5" i="8"/>
  <c r="J14" i="8" s="1"/>
  <c r="D5" i="8"/>
  <c r="D14" i="8" s="1"/>
  <c r="C13" i="9"/>
  <c r="C13" i="10"/>
  <c r="F5" i="10"/>
  <c r="F14" i="10" s="1"/>
  <c r="H5" i="10"/>
  <c r="H14" i="10" s="1"/>
  <c r="G5" i="10"/>
  <c r="G14" i="10" s="1"/>
  <c r="E5" i="10"/>
  <c r="E14" i="10" s="1"/>
  <c r="D5" i="10"/>
  <c r="D14" i="10" s="1"/>
  <c r="C12" i="10"/>
  <c r="C11" i="10"/>
  <c r="C9" i="10"/>
  <c r="C10" i="10"/>
  <c r="C8" i="10"/>
  <c r="C7" i="10"/>
  <c r="C6" i="10"/>
  <c r="C20" i="4" l="1"/>
  <c r="C33" i="2"/>
  <c r="E16" i="2"/>
  <c r="C5" i="7"/>
  <c r="C14" i="7" s="1"/>
  <c r="E24" i="2"/>
  <c r="E32" i="2"/>
  <c r="C5" i="10"/>
  <c r="C14" i="10" s="1"/>
  <c r="C5" i="8"/>
  <c r="C14" i="8" s="1"/>
  <c r="B21" i="6"/>
  <c r="B14" i="6"/>
  <c r="B30" i="6"/>
  <c r="B22" i="6"/>
  <c r="B20" i="6"/>
  <c r="B7" i="6"/>
  <c r="B19" i="6"/>
  <c r="B11" i="6"/>
  <c r="B23" i="6"/>
  <c r="B18" i="6"/>
  <c r="B26" i="6"/>
  <c r="B12" i="6"/>
  <c r="B17" i="6"/>
  <c r="B32" i="6"/>
  <c r="B25" i="6"/>
  <c r="B8" i="6"/>
  <c r="B33" i="6"/>
  <c r="B6" i="6"/>
  <c r="B13" i="6"/>
  <c r="B28" i="6"/>
  <c r="B31" i="6"/>
  <c r="B29" i="6"/>
  <c r="B24" i="6"/>
  <c r="B15" i="6"/>
  <c r="B9" i="6"/>
  <c r="B5" i="6"/>
  <c r="B10" i="6"/>
  <c r="B27" i="6"/>
  <c r="A6" i="6"/>
  <c r="A7" i="6" s="1"/>
  <c r="A8" i="6" s="1"/>
  <c r="A10" i="6" s="1"/>
  <c r="E33" i="2" l="1"/>
</calcChain>
</file>

<file path=xl/sharedStrings.xml><?xml version="1.0" encoding="utf-8"?>
<sst xmlns="http://schemas.openxmlformats.org/spreadsheetml/2006/main" count="217" uniqueCount="154">
  <si>
    <t>შინაარსი:</t>
  </si>
  <si>
    <t>მიკროსაფინანსო ორგანიზაციების კონსოლიდირებული ბალანსი</t>
  </si>
  <si>
    <t>პერიოდი:</t>
  </si>
  <si>
    <t>აქტივები</t>
  </si>
  <si>
    <t xml:space="preserve">ლარი </t>
  </si>
  <si>
    <t>უცხოური ვალუტა</t>
  </si>
  <si>
    <t>სულ:</t>
  </si>
  <si>
    <t>ნაღდი ფული</t>
  </si>
  <si>
    <t>ფულადი სახსრები კომერციულ ბანკებში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</si>
  <si>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</si>
  <si>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</si>
  <si>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</si>
  <si>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ფასიანი ქაღალდები</t>
  </si>
  <si>
    <t>დარიცხული მისაღები პროცენტები და დივიდენდები</t>
  </si>
  <si>
    <t>დასაკუთრებული უძრავი და მოძრავი ქონება</t>
  </si>
  <si>
    <t>ინვესტიციები საწესდებო კაპიტალში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</si>
  <si>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</si>
  <si>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</si>
  <si>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</si>
  <si>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ვალდებულებები</t>
  </si>
  <si>
    <t>საფინანსო ინსტიტუტებიდან ნასესხები სახსრები</t>
  </si>
  <si>
    <t>ფიზიკური და იურიდიული პირებისაგან ნასესხები სახსრები</t>
  </si>
  <si>
    <t>საკუთარი სავალო ფასიანი ქაღალდები</t>
  </si>
  <si>
    <t>დარიცხული გადასახდელი პროცენტები და დივიდენდები</t>
  </si>
  <si>
    <t>სხვა ვალდებულებები</t>
  </si>
  <si>
    <t>სუბორდინირებული ვალდებულებები</t>
  </si>
  <si>
    <t>მთლიანი ვალდებულებები</t>
  </si>
  <si>
    <t>კაპიტალი</t>
  </si>
  <si>
    <t>საწესდებო (სადამფუძნებლო) კაპიტალი</t>
  </si>
  <si>
    <t>საემისიო კაპიტალი</t>
  </si>
  <si>
    <t>სარეზერვო ფონდი</t>
  </si>
  <si>
    <t>გრანტები და შემოწირულობა კაპიტალში</t>
  </si>
  <si>
    <t>გაუნაწილებელი მოგება</t>
  </si>
  <si>
    <t>აქტივების გადაფასების რეზერვი</t>
  </si>
  <si>
    <t>მთლიანი კაპიტალი</t>
  </si>
  <si>
    <t>მთლიანი ვალდებულებები და კაპიტალი</t>
  </si>
  <si>
    <t>საპროცენტო შემოსავლები</t>
  </si>
  <si>
    <t>ბანკებში განთავსებული ფულადი სახსრების მიხედვით</t>
  </si>
  <si>
    <t>ფიზიკურ პირებზე გაცემული სესხების მიხედვით</t>
  </si>
  <si>
    <t xml:space="preserve">ვაჭრობა და მომსახურება </t>
  </si>
  <si>
    <t>სამომხმარებლო სესხები</t>
  </si>
  <si>
    <t xml:space="preserve">სოფლის მეურნეობა </t>
  </si>
  <si>
    <t>ონლაინ სესხები</t>
  </si>
  <si>
    <t>ლომბარდი</t>
  </si>
  <si>
    <t>განვადება</t>
  </si>
  <si>
    <t>სხვა</t>
  </si>
  <si>
    <t>იურიდიულ პირებზე გაცემული სესხების მიხედვით</t>
  </si>
  <si>
    <t>ვაჭრობისა და მომსახურების სფეროს სესხების მიხედვით</t>
  </si>
  <si>
    <t>სოფლის მეურნეობისა და მეტყევეობის სფეროს სესხების მიხედვით</t>
  </si>
  <si>
    <t>ტრანსპორტისა და კავშირგაბმულობის სფეროს სესხების მიხედვით</t>
  </si>
  <si>
    <t>დანარჩენი სესხების მიხედვით</t>
  </si>
  <si>
    <t>შემოსავლები ჯარიმებიდან/საურავებიდან კლიენტებისათვის მიცემული სესხების მიხედვით</t>
  </si>
  <si>
    <t>საპროცენტო და დისკონტური შემოსავლები ფასიანი ქაღალდებიდან</t>
  </si>
  <si>
    <t>სხვა საპროცენტო შემოსავლები</t>
  </si>
  <si>
    <t>მთლიანი საპროცენტო შემოსავლები</t>
  </si>
  <si>
    <t>საპროცენტო ხარჯები</t>
  </si>
  <si>
    <t>საფინანსო ინსტიტუტებიდან მოზიდულ სახსრებზე გადახდილი პროცენტები</t>
  </si>
  <si>
    <t>ფიზიკური პირებიდან ნასესხებ სახსრებზე  გადახდილი პროცენტები</t>
  </si>
  <si>
    <t>იურიდიული პირებიდან ნასესხებ სახსრებზე გადახდილი პროცენტები</t>
  </si>
  <si>
    <t>ფიზიკურ პირებზე გაცემულ საკუთარ სავალო ფასიან ქაღალდებზე გადახდილი პროცენტები</t>
  </si>
  <si>
    <t>იურიდიულ პირებზე გაცემულ საკუთარ სავალო ფასიან ქაღალდებზე გადახდილი პროცენტები</t>
  </si>
  <si>
    <t>სუბორდინირებულ ვალდებულებებზე გადახდილი პროცენტები</t>
  </si>
  <si>
    <t>სხვა საპროცენტო ხარჯები</t>
  </si>
  <si>
    <t>მთლიანი საპროცენტო ხარჯები</t>
  </si>
  <si>
    <t>წმინდა საპროცენტო შემოსავალი</t>
  </si>
  <si>
    <t>არასაპროცენტო შემოსავლები</t>
  </si>
  <si>
    <t>წმინდა საკომისიო და სხვა შემოსავლები მომსახურეობის მიხედვით</t>
  </si>
  <si>
    <t xml:space="preserve"> საკომისიო და სხვა შემოსავლები გაწეული მომს. მიხედვით</t>
  </si>
  <si>
    <t xml:space="preserve"> საკომისიო და სხვა ხარჯები მიღებული მომს. მიხედვით</t>
  </si>
  <si>
    <t>მიღებული დივიდენდები</t>
  </si>
  <si>
    <t>მოგება (ზარალი) ფასიანი ქაღალდებიდან</t>
  </si>
  <si>
    <t>მოგება (ზარალი) ვალუტის ყიდვა–გაყიდვის ოპერაციებიდან</t>
  </si>
  <si>
    <t>მოგება (ზარალი) სავალუტო სახსრების გადაფასებიდან</t>
  </si>
  <si>
    <t>მოგება (ზარალი) ქონების გაყიდვიდან</t>
  </si>
  <si>
    <t>სხვა არასაპროცენტო შემოსავლები</t>
  </si>
  <si>
    <t>მთლიანი არასაპროცენტო შემოსავლები</t>
  </si>
  <si>
    <t>არასაპროცენტო ხარჯები</t>
  </si>
  <si>
    <t>განვითარების, საკონსულტაციო და მარკეტინგის ხარჯები</t>
  </si>
  <si>
    <t>პერსონალის ხარჯები</t>
  </si>
  <si>
    <t>ძირითადი საშუალებების საექსპლოატაციო ხარჯები</t>
  </si>
  <si>
    <t>იჯარის ხარჯები</t>
  </si>
  <si>
    <t>ცვეთისა და ამორტიზაციის ხარჯები</t>
  </si>
  <si>
    <t>სხვა არასაპროცენტო ხარჯები</t>
  </si>
  <si>
    <t>მთლიანი არასაპროცენტო ხარჯები</t>
  </si>
  <si>
    <t>წმინდა არასაპროცენტო შემოსავალი</t>
  </si>
  <si>
    <t>წმინდა მოგება დარეზერვებამდე</t>
  </si>
  <si>
    <t>ზარალი სესხების შესაძლო დანაკარგების მიხედვით</t>
  </si>
  <si>
    <t>ზარალი ინვესტიციების და ფასიანი ქაღალდების გაუფასურების შესაძლო დანაკარგების მიხედვით</t>
  </si>
  <si>
    <t>ზარალი სხვა აქტივების შესაძლო დანაკარგების მიხედვით</t>
  </si>
  <si>
    <t>მთლიანი ზარალი აქტივების შესაძლო დანაკარგების მიხედვით</t>
  </si>
  <si>
    <t>მოგება გადასახადის გადახდამდე და გაუთვალისწინებელ შემოსავალ–ხარჯებამდე</t>
  </si>
  <si>
    <t>მოგების გადასახადი</t>
  </si>
  <si>
    <t>მოგება გადასახადის გადახდის შემდეგ</t>
  </si>
  <si>
    <t>გაუთვალისწინებელი შემოსავლები (ხარჯები)</t>
  </si>
  <si>
    <t>წმინდა მოგება</t>
  </si>
  <si>
    <t>სულ</t>
  </si>
  <si>
    <t>ბანკებიდან მიღებული სესხები</t>
  </si>
  <si>
    <t>სესხები რეზიდენტი კომერციული ბანკებიდან</t>
  </si>
  <si>
    <t>სესხები არარეზიდენტი კომერციული ბანკებიდან</t>
  </si>
  <si>
    <t>საფინანსო ორგანიზაციებიდან მიღებული სესხები</t>
  </si>
  <si>
    <t>რეზიდენტი საფინანსო ორგანიზაციებიდან მიღებული სესხები</t>
  </si>
  <si>
    <t>არარეზიდენტი საფინანსო ორგანიზაციებიდან მიღებული სესხები</t>
  </si>
  <si>
    <t>ფიზიკური პირებიდან მიღებული სესხები</t>
  </si>
  <si>
    <t>რეზიდენტი ფიზიკური პირებიდან მიღებული სესხები</t>
  </si>
  <si>
    <t>არარეზიდენტი ფიზიკური პირებიდან მიღებული სესხები</t>
  </si>
  <si>
    <t>იურიდიული პირებიდან მიღებული სესხები</t>
  </si>
  <si>
    <t>რეზიდენტი იურიდიული პირებიდან მიღებული სესხები</t>
  </si>
  <si>
    <t>არარეზიდენტი იურიდიული პირებიდან მიღებული სესხები</t>
  </si>
  <si>
    <t>სულ ნასესხები სახსრები</t>
  </si>
  <si>
    <t>მიკროსაფინანსო ორგანიზაციების კონსოლიდირებული მონაცემები</t>
  </si>
  <si>
    <t>სულ თანხა</t>
  </si>
  <si>
    <t>სულ სესხების რაოდენობა</t>
  </si>
  <si>
    <t>ფიზიკურ პირებზე გაცემული სესხები</t>
  </si>
  <si>
    <t>იურიდიულ პირებზე გაცემული სესხები</t>
  </si>
  <si>
    <t>ფილიალებისა და დასაქმებულთა რაოდენობა მიკროსაფინანსო ორგანიზაციებში</t>
  </si>
  <si>
    <t>მიკროსაფინანსო ორგანიზაციები</t>
  </si>
  <si>
    <t>დასაქმებულთა რაოდენობა</t>
  </si>
  <si>
    <t>სერვისცენტრის ან ფილიალის რაოდენობა</t>
  </si>
  <si>
    <t>წლიური 10% მდე</t>
  </si>
  <si>
    <t>წლიური 10% დან 15% მდე</t>
  </si>
  <si>
    <t>წლიური 15% დან 20% მდე</t>
  </si>
  <si>
    <t>წლიური 20% დან 25% მდე</t>
  </si>
  <si>
    <t>წლიური 25% დან 30% მდე</t>
  </si>
  <si>
    <t>წლიური 30% დან 35% მდე</t>
  </si>
  <si>
    <t>წლიური 35% დან 40% მდე</t>
  </si>
  <si>
    <t>წლიური 40%-ზე მეტი</t>
  </si>
  <si>
    <t>თანხა</t>
  </si>
  <si>
    <t>ვადაგადაცილების გარეშე</t>
  </si>
  <si>
    <t>30 დღემდე ვადაგადაცილებული</t>
  </si>
  <si>
    <t>31 - 60 დღე ვადაგადაცილებული</t>
  </si>
  <si>
    <t>61 - 90 დღე ვადაგადაცილებული</t>
  </si>
  <si>
    <t>91-120 დღე ვადაგადაცილებული</t>
  </si>
  <si>
    <t>121-150 დღე ვადაგადაცილებული</t>
  </si>
  <si>
    <t>151-180 დღე ვადაგადაცილებული</t>
  </si>
  <si>
    <t>180 დღე და მეტი ვადაგადაცილებული</t>
  </si>
  <si>
    <t>ოქრო და სხვა ძვირფასი ლითონები</t>
  </si>
  <si>
    <t>უძრავი ქონება</t>
  </si>
  <si>
    <t>სატრანსპორტო საშუალება</t>
  </si>
  <si>
    <t>მესამე პირის გარანტია</t>
  </si>
  <si>
    <t>საკუთარი ფასიანი ქაღალდი</t>
  </si>
  <si>
    <t>სხვა კომპანიის ფასიანი ქაღალდი</t>
  </si>
  <si>
    <t>სახელმწიფოს ფასიანი ქაღალდი</t>
  </si>
  <si>
    <t>სხვა უზრუნველყოფა</t>
  </si>
  <si>
    <t>უზრუნველყოფის გარეშე</t>
  </si>
  <si>
    <t>სტანდარტული კატეგორია</t>
  </si>
  <si>
    <t>საყურადღებო კატეგორია</t>
  </si>
  <si>
    <t>არასტანდარტული კატეგორია</t>
  </si>
  <si>
    <t>საეჭვო კატეგორია</t>
  </si>
  <si>
    <t>უიმედო კატეგორია</t>
  </si>
  <si>
    <t>სულ რეზერვი</t>
  </si>
  <si>
    <t>მიღებული სუბორდინირებული და კაპიტალში კონვერტირებადი ვალი</t>
  </si>
  <si>
    <t>რეზიდენტი პირებიდან მიღებული სესხები</t>
  </si>
  <si>
    <t>არარეზიდენტი პირებიდან მიღებული სესხები</t>
  </si>
  <si>
    <t>I კვ.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</si>
</sst>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Sylfaen"/>
      <family val="2"/>
      <scheme val="minor"/>
    </font>
    <font>
      <sz val="11"/>
      <color theme="1"/>
      <name val="Sylfaen"/>
      <family val="2"/>
      <scheme val="minor"/>
    </font>
    <font>
      <b/>
      <sz val="8"/>
      <color theme="1"/>
      <name val="Sylfaen"/>
      <family val="1"/>
    </font>
    <font>
      <sz val="9"/>
      <color theme="1"/>
      <name val="Sylfaen"/>
      <family val="1"/>
    </font>
    <font>
      <sz val="9"/>
      <name val="Sylfaen"/>
      <family val="1"/>
    </font>
    <font>
      <b/>
      <sz val="9"/>
      <name val="Sylfaen"/>
      <family val="1"/>
    </font>
    <font>
      <b/>
      <sz val="9"/>
      <color theme="1"/>
      <name val="Sylfaen"/>
      <family val="1"/>
    </font>
    <font>
      <b/>
      <u/>
      <sz val="9"/>
      <name val="Sylfaen"/>
      <family val="1"/>
    </font>
    <font>
      <sz val="9"/>
      <color theme="1"/>
      <name val="Sylfaen"/>
      <family val="2"/>
      <scheme val="minor"/>
    </font>
    <font>
      <sz val="9"/>
      <name val="Sylfaen"/>
      <family val="2"/>
      <scheme val="minor"/>
    </font>
    <font>
      <b/>
      <i/>
      <sz val="9"/>
      <name val="Sylfaen"/>
      <family val="1"/>
    </font>
    <font>
      <sz val="10"/>
      <name val="Arial"/>
      <family val="2"/>
    </font>
    <font>
      <i/>
      <sz val="9"/>
      <name val="Sylfaen"/>
      <family val="1"/>
    </font>
    <font>
      <b/>
      <i/>
      <sz val="9"/>
      <color theme="5" tint="-0.499984740745262"/>
      <name val="Sylfaen"/>
      <family val="1"/>
    </font>
    <font>
      <sz val="9"/>
      <color theme="0"/>
      <name val="Sylfaen"/>
      <family val="1"/>
    </font>
    <font>
      <b/>
      <sz val="9"/>
      <color theme="1"/>
      <name val="Sylfaen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3" fillId="2" borderId="0" xfId="0" applyFont="1" applyFill="1" applyAlignment="1">
      <alignment wrapText="1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indent="1"/>
    </xf>
    <xf numFmtId="164" fontId="4" fillId="2" borderId="1" xfId="1" applyNumberFormat="1" applyFont="1" applyFill="1" applyBorder="1" applyAlignment="1">
      <alignment horizontal="left" indent="1"/>
    </xf>
    <xf numFmtId="164" fontId="3" fillId="2" borderId="0" xfId="0" applyNumberFormat="1" applyFont="1" applyFill="1"/>
    <xf numFmtId="0" fontId="4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 indent="2"/>
    </xf>
    <xf numFmtId="164" fontId="4" fillId="2" borderId="1" xfId="1" applyNumberFormat="1" applyFont="1" applyFill="1" applyBorder="1" applyAlignment="1">
      <alignment horizontal="left" indent="2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164" fontId="5" fillId="2" borderId="1" xfId="1" applyNumberFormat="1" applyFont="1" applyFill="1" applyBorder="1"/>
    <xf numFmtId="164" fontId="5" fillId="2" borderId="1" xfId="1" applyNumberFormat="1" applyFont="1" applyFill="1" applyBorder="1" applyAlignment="1">
      <alignment horizontal="center"/>
    </xf>
    <xf numFmtId="164" fontId="3" fillId="2" borderId="0" xfId="1" applyNumberFormat="1" applyFont="1" applyFill="1" applyAlignment="1">
      <alignment horizontal="left"/>
    </xf>
    <xf numFmtId="0" fontId="4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/>
    </xf>
    <xf numFmtId="164" fontId="5" fillId="2" borderId="1" xfId="1" applyNumberFormat="1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/>
    </xf>
    <xf numFmtId="164" fontId="3" fillId="2" borderId="0" xfId="1" applyNumberFormat="1" applyFont="1" applyFill="1"/>
    <xf numFmtId="0" fontId="6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 indent="1"/>
    </xf>
    <xf numFmtId="0" fontId="3" fillId="2" borderId="1" xfId="0" applyFont="1" applyFill="1" applyBorder="1" applyAlignment="1">
      <alignment horizontal="center"/>
    </xf>
    <xf numFmtId="164" fontId="5" fillId="2" borderId="1" xfId="1" applyNumberFormat="1" applyFont="1" applyFill="1" applyBorder="1" applyAlignment="1">
      <alignment horizontal="left" indent="1"/>
    </xf>
    <xf numFmtId="0" fontId="3" fillId="2" borderId="0" xfId="0" applyFont="1" applyFill="1" applyAlignment="1">
      <alignment horizontal="center"/>
    </xf>
    <xf numFmtId="0" fontId="8" fillId="2" borderId="0" xfId="0" applyFont="1" applyFill="1"/>
    <xf numFmtId="0" fontId="6" fillId="2" borderId="0" xfId="0" applyFont="1" applyFill="1"/>
    <xf numFmtId="0" fontId="3" fillId="2" borderId="0" xfId="0" applyFont="1" applyFill="1" applyAlignment="1">
      <alignment horizontal="left"/>
    </xf>
    <xf numFmtId="0" fontId="9" fillId="2" borderId="1" xfId="0" applyFont="1" applyFill="1" applyBorder="1"/>
    <xf numFmtId="164" fontId="10" fillId="2" borderId="1" xfId="1" applyNumberFormat="1" applyFont="1" applyFill="1" applyBorder="1" applyAlignment="1">
      <alignment horizontal="center" vertical="top" wrapText="1"/>
    </xf>
    <xf numFmtId="0" fontId="5" fillId="2" borderId="1" xfId="2" applyFont="1" applyFill="1" applyBorder="1" applyAlignment="1">
      <alignment horizontal="left" indent="3"/>
    </xf>
    <xf numFmtId="0" fontId="5" fillId="2" borderId="1" xfId="2" applyFont="1" applyFill="1" applyBorder="1" applyAlignment="1">
      <alignment horizontal="left" indent="1"/>
    </xf>
    <xf numFmtId="0" fontId="12" fillId="2" borderId="1" xfId="2" applyFont="1" applyFill="1" applyBorder="1" applyAlignment="1">
      <alignment horizontal="right"/>
    </xf>
    <xf numFmtId="0" fontId="12" fillId="2" borderId="1" xfId="2" applyFont="1" applyFill="1" applyBorder="1"/>
    <xf numFmtId="164" fontId="8" fillId="2" borderId="0" xfId="0" applyNumberFormat="1" applyFont="1" applyFill="1"/>
    <xf numFmtId="164" fontId="13" fillId="2" borderId="0" xfId="1" applyNumberFormat="1" applyFont="1" applyFill="1" applyAlignment="1">
      <alignment horizontal="center" vertical="top" wrapText="1"/>
    </xf>
    <xf numFmtId="0" fontId="8" fillId="2" borderId="1" xfId="0" applyFont="1" applyFill="1" applyBorder="1"/>
    <xf numFmtId="0" fontId="5" fillId="2" borderId="1" xfId="2" applyFont="1" applyFill="1" applyBorder="1" applyAlignment="1">
      <alignment horizontal="center"/>
    </xf>
    <xf numFmtId="0" fontId="14" fillId="2" borderId="7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vertical="center" wrapText="1"/>
    </xf>
    <xf numFmtId="0" fontId="3" fillId="2" borderId="1" xfId="0" applyFont="1" applyFill="1" applyBorder="1"/>
    <xf numFmtId="17" fontId="3" fillId="2" borderId="0" xfId="0" applyNumberFormat="1" applyFont="1" applyFill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64" fontId="6" fillId="2" borderId="1" xfId="1" applyNumberFormat="1" applyFont="1" applyFill="1" applyBorder="1"/>
    <xf numFmtId="164" fontId="3" fillId="2" borderId="1" xfId="1" applyNumberFormat="1" applyFont="1" applyFill="1" applyBorder="1"/>
    <xf numFmtId="0" fontId="4" fillId="2" borderId="1" xfId="2" applyFont="1" applyFill="1" applyBorder="1" applyAlignment="1">
      <alignment horizontal="left" indent="1"/>
    </xf>
    <xf numFmtId="0" fontId="6" fillId="2" borderId="1" xfId="0" applyFont="1" applyFill="1" applyBorder="1"/>
    <xf numFmtId="164" fontId="5" fillId="2" borderId="1" xfId="1" applyNumberFormat="1" applyFont="1" applyFill="1" applyBorder="1" applyAlignment="1">
      <alignment horizontal="center" vertical="center" wrapText="1"/>
    </xf>
    <xf numFmtId="9" fontId="8" fillId="2" borderId="0" xfId="3" applyNumberFormat="1" applyFont="1" applyFill="1"/>
    <xf numFmtId="164" fontId="15" fillId="2" borderId="1" xfId="1" applyNumberFormat="1" applyFont="1" applyFill="1" applyBorder="1"/>
    <xf numFmtId="164" fontId="8" fillId="2" borderId="1" xfId="1" applyNumberFormat="1" applyFont="1" applyFill="1" applyBorder="1"/>
    <xf numFmtId="164" fontId="5" fillId="2" borderId="1" xfId="1" applyNumberFormat="1" applyFont="1" applyFill="1" applyBorder="1" applyAlignment="1">
      <alignment horizontal="left" indent="2"/>
    </xf>
    <xf numFmtId="164" fontId="5" fillId="0" borderId="1" xfId="1" applyNumberFormat="1" applyFont="1" applyFill="1" applyBorder="1" applyAlignment="1">
      <alignment horizontal="left" indent="1"/>
    </xf>
    <xf numFmtId="164" fontId="4" fillId="0" borderId="1" xfId="1" applyNumberFormat="1" applyFont="1" applyFill="1" applyBorder="1" applyAlignment="1">
      <alignment horizontal="left" indent="1"/>
    </xf>
    <xf numFmtId="0" fontId="5" fillId="2" borderId="10" xfId="2" applyFont="1" applyFill="1" applyBorder="1" applyAlignment="1">
      <alignment horizontal="left"/>
    </xf>
    <xf numFmtId="0" fontId="5" fillId="2" borderId="11" xfId="2" applyFont="1" applyFill="1" applyBorder="1" applyAlignment="1">
      <alignment horizontal="left"/>
    </xf>
    <xf numFmtId="0" fontId="6" fillId="2" borderId="0" xfId="0" applyFont="1" applyFill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textRotation="90" wrapText="1"/>
    </xf>
    <xf numFmtId="0" fontId="4" fillId="2" borderId="9" xfId="0" applyFont="1" applyFill="1" applyBorder="1" applyAlignment="1">
      <alignment horizontal="center" vertical="center" textRotation="90" wrapText="1"/>
    </xf>
    <xf numFmtId="0" fontId="4" fillId="2" borderId="7" xfId="0" applyFont="1" applyFill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horizontal="center" vertical="center" textRotation="90" wrapText="1"/>
    </xf>
  </cellXfs>
  <cellStyles count="4">
    <cellStyle name="Comma" xfId="1" builtinId="3"/>
    <cellStyle name="Normal" xfId="0" builtinId="0"/>
    <cellStyle name="Normal 2 2" xfId="2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opLeftCell="A13" zoomScale="90" zoomScaleNormal="90" workbookViewId="0">
      <selection activeCell="E7" sqref="E7"/>
    </sheetView>
  </sheetViews>
  <sheetFormatPr defaultColWidth="9.08984375" defaultRowHeight="12" x14ac:dyDescent="0.3"/>
  <cols>
    <col min="1" max="1" width="9.453125" style="2" customWidth="1"/>
    <col min="2" max="2" width="53.90625" style="2" customWidth="1"/>
    <col min="3" max="3" width="15.90625" style="2" bestFit="1" customWidth="1"/>
    <col min="4" max="4" width="14.54296875" style="2" bestFit="1" customWidth="1"/>
    <col min="5" max="5" width="16" style="2" bestFit="1" customWidth="1"/>
    <col min="6" max="6" width="9" style="2" customWidth="1"/>
    <col min="7" max="16384" width="9.08984375" style="2"/>
  </cols>
  <sheetData>
    <row r="1" spans="1:6" ht="12.5" x14ac:dyDescent="0.35">
      <c r="A1" s="1" t="s">
        <v>0</v>
      </c>
      <c r="B1" s="2" t="s">
        <v>1</v>
      </c>
    </row>
    <row r="2" spans="1:6" ht="12.5" x14ac:dyDescent="0.35">
      <c r="A2" s="1" t="s">
        <v>2</v>
      </c>
      <c r="B2" s="45">
        <f>DATE(MID("31/03/2025",7,4),MID("31/03/2025",4,2),MID("31/03/2025",1,2))</f>
        <v>45747</v>
      </c>
    </row>
    <row r="3" spans="1:6" x14ac:dyDescent="0.3">
      <c r="B3" s="3"/>
      <c r="D3" s="3"/>
      <c r="E3" s="3"/>
    </row>
    <row r="4" spans="1:6" s="6" customFormat="1" ht="24" x14ac:dyDescent="0.3">
      <c r="A4" s="4"/>
      <c r="B4" s="4" t="s">
        <v>3</v>
      </c>
      <c r="C4" s="5" t="s">
        <v>4</v>
      </c>
      <c r="D4" s="5" t="s">
        <v>5</v>
      </c>
      <c r="E4" s="5" t="s">
        <v>6</v>
      </c>
    </row>
    <row r="5" spans="1:6" x14ac:dyDescent="0.3">
      <c r="A5" s="7">
        <v>1</v>
      </c>
      <c r="B5" s="8" t="s">
        <v>7</v>
      </c>
      <c r="C5" s="9">
        <v>28423351.439999998</v>
      </c>
      <c r="D5" s="9">
        <v>55968226.572884999</v>
      </c>
      <c r="E5" s="27">
        <f>SUM(C5,D5)</f>
        <v>84391578.012885004</v>
      </c>
      <c r="F5" s="10"/>
    </row>
    <row r="6" spans="1:6" x14ac:dyDescent="0.3">
      <c r="A6" s="7">
        <v>2</v>
      </c>
      <c r="B6" s="8" t="s">
        <v>8</v>
      </c>
      <c r="C6" s="9">
        <v>37815066.118939996</v>
      </c>
      <c r="D6" s="9">
        <v>45771727.829289123</v>
      </c>
      <c r="E6" s="27">
        <f t="shared" ref="E6:E15" si="0">SUM(C6,D6)</f>
        <v>83586793.948229119</v>
      </c>
      <c r="F6" s="10"/>
    </row>
    <row r="7" spans="1:6" x14ac:dyDescent="0.3">
      <c r="A7" s="11">
        <v>2.1</v>
      </c>
      <c r="B7" s="12" t="s">
        <v>9</v>
      </c>
      <c r="C7" s="13">
        <v>1541789471.2191975</v>
      </c>
      <c r="D7" s="13">
        <v>13903486.600409999</v>
      </c>
      <c r="E7" s="56">
        <f t="shared" si="0"/>
        <v>1555692957.8196075</v>
      </c>
      <c r="F7" s="10"/>
    </row>
    <row r="8" spans="1:6" x14ac:dyDescent="0.3">
      <c r="A8" s="11">
        <v>2.2000000000000002</v>
      </c>
      <c r="B8" s="12" t="s">
        <v>10</v>
      </c>
      <c r="C8" s="13">
        <v>-48617464.22454378</v>
      </c>
      <c r="D8" s="13">
        <v>-2048987.1367292805</v>
      </c>
      <c r="E8" s="56">
        <f t="shared" si="0"/>
        <v>-50666451.361273058</v>
      </c>
      <c r="F8" s="10"/>
    </row>
    <row r="9" spans="1:6" x14ac:dyDescent="0.3">
      <c r="A9" s="7">
        <v>3</v>
      </c>
      <c r="B9" s="8" t="s">
        <v>11</v>
      </c>
      <c r="C9" s="9">
        <f>SUM(C7,C8)</f>
        <v>1493172006.9946537</v>
      </c>
      <c r="D9" s="9">
        <f t="shared" ref="D9" si="1">SUM(D7,D8)</f>
        <v>11854499.463680718</v>
      </c>
      <c r="E9" s="27">
        <f t="shared" si="0"/>
        <v>1505026506.4583344</v>
      </c>
      <c r="F9" s="10"/>
    </row>
    <row r="10" spans="1:6" x14ac:dyDescent="0.3">
      <c r="A10" s="7">
        <v>4</v>
      </c>
      <c r="B10" s="8" t="s">
        <v>12</v>
      </c>
      <c r="C10" s="9">
        <v>0</v>
      </c>
      <c r="D10" s="9">
        <v>0</v>
      </c>
      <c r="E10" s="27">
        <f t="shared" si="0"/>
        <v>0</v>
      </c>
      <c r="F10" s="10"/>
    </row>
    <row r="11" spans="1:6" x14ac:dyDescent="0.3">
      <c r="A11" s="7">
        <v>5</v>
      </c>
      <c r="B11" s="8" t="s">
        <v>13</v>
      </c>
      <c r="C11" s="9">
        <v>17166037.0978387</v>
      </c>
      <c r="D11" s="9">
        <v>224062.33868474222</v>
      </c>
      <c r="E11" s="27">
        <f t="shared" si="0"/>
        <v>17390099.436523441</v>
      </c>
      <c r="F11" s="10"/>
    </row>
    <row r="12" spans="1:6" x14ac:dyDescent="0.3">
      <c r="A12" s="7">
        <v>6</v>
      </c>
      <c r="B12" s="8" t="s">
        <v>14</v>
      </c>
      <c r="C12" s="9">
        <v>3084865.2710000006</v>
      </c>
      <c r="D12" s="9">
        <v>0</v>
      </c>
      <c r="E12" s="27">
        <f t="shared" si="0"/>
        <v>3084865.2710000006</v>
      </c>
      <c r="F12" s="10"/>
    </row>
    <row r="13" spans="1:6" x14ac:dyDescent="0.3">
      <c r="A13" s="7">
        <v>7</v>
      </c>
      <c r="B13" s="8" t="s">
        <v>15</v>
      </c>
      <c r="C13" s="9">
        <v>719541.14</v>
      </c>
      <c r="D13" s="9">
        <v>0</v>
      </c>
      <c r="E13" s="27">
        <f t="shared" si="0"/>
        <v>719541.14</v>
      </c>
      <c r="F13" s="10"/>
    </row>
    <row r="14" spans="1:6" x14ac:dyDescent="0.3">
      <c r="A14" s="7">
        <v>8</v>
      </c>
      <c r="B14" s="8" t="s">
        <v>16</v>
      </c>
      <c r="C14" s="9">
        <v>72243574.054039598</v>
      </c>
      <c r="D14" s="9">
        <v>0</v>
      </c>
      <c r="E14" s="27">
        <f t="shared" si="0"/>
        <v>72243574.054039598</v>
      </c>
      <c r="F14" s="10"/>
    </row>
    <row r="15" spans="1:6" x14ac:dyDescent="0.3">
      <c r="A15" s="7">
        <v>9</v>
      </c>
      <c r="B15" s="8" t="s">
        <v>17</v>
      </c>
      <c r="C15" s="9">
        <v>30039619.230390996</v>
      </c>
      <c r="D15" s="9">
        <v>5945357.4805989964</v>
      </c>
      <c r="E15" s="27">
        <f t="shared" si="0"/>
        <v>35984976.710989989</v>
      </c>
      <c r="F15" s="10"/>
    </row>
    <row r="16" spans="1:6" x14ac:dyDescent="0.3">
      <c r="A16" s="14">
        <v>10</v>
      </c>
      <c r="B16" s="15" t="s">
        <v>18</v>
      </c>
      <c r="C16" s="16">
        <f>SUM(C5:C6,C9:C15)</f>
        <v>1682664061.3468628</v>
      </c>
      <c r="D16" s="16">
        <f t="shared" ref="D16:E16" si="2">SUM(D5:D6,D9:D15)</f>
        <v>119763873.68513857</v>
      </c>
      <c r="E16" s="16">
        <f t="shared" si="2"/>
        <v>1802427935.0320015</v>
      </c>
      <c r="F16" s="10"/>
    </row>
    <row r="17" spans="1:6" x14ac:dyDescent="0.3">
      <c r="A17" s="14"/>
      <c r="B17" s="14" t="s">
        <v>19</v>
      </c>
      <c r="F17" s="10"/>
    </row>
    <row r="18" spans="1:6" x14ac:dyDescent="0.3">
      <c r="A18" s="7">
        <v>11</v>
      </c>
      <c r="B18" s="8" t="s">
        <v>20</v>
      </c>
      <c r="C18" s="9">
        <v>512041929.44</v>
      </c>
      <c r="D18" s="9">
        <v>58487841.922388002</v>
      </c>
      <c r="E18" s="57">
        <f>SUM(C18,D18)</f>
        <v>570529771.36238801</v>
      </c>
      <c r="F18" s="10"/>
    </row>
    <row r="19" spans="1:6" x14ac:dyDescent="0.3">
      <c r="A19" s="7">
        <v>12</v>
      </c>
      <c r="B19" s="8" t="s">
        <v>21</v>
      </c>
      <c r="C19" s="9">
        <v>44056127.820000008</v>
      </c>
      <c r="D19" s="9">
        <v>35269317.757738002</v>
      </c>
      <c r="E19" s="57">
        <f t="shared" ref="E19:E23" si="3">SUM(C19,D19)</f>
        <v>79325445.577738017</v>
      </c>
      <c r="F19" s="10"/>
    </row>
    <row r="20" spans="1:6" x14ac:dyDescent="0.3">
      <c r="A20" s="7">
        <v>13</v>
      </c>
      <c r="B20" s="8" t="s">
        <v>22</v>
      </c>
      <c r="C20" s="9">
        <v>189668989.84</v>
      </c>
      <c r="D20" s="9">
        <v>94842709.343800008</v>
      </c>
      <c r="E20" s="57">
        <f t="shared" si="3"/>
        <v>284511699.18379998</v>
      </c>
      <c r="F20" s="10"/>
    </row>
    <row r="21" spans="1:6" x14ac:dyDescent="0.3">
      <c r="A21" s="7">
        <v>14</v>
      </c>
      <c r="B21" s="8" t="s">
        <v>23</v>
      </c>
      <c r="C21" s="9">
        <v>6241374.1783000007</v>
      </c>
      <c r="D21" s="9">
        <v>1824374.4936226425</v>
      </c>
      <c r="E21" s="57">
        <f t="shared" si="3"/>
        <v>8065748.6719226427</v>
      </c>
      <c r="F21" s="10"/>
    </row>
    <row r="22" spans="1:6" x14ac:dyDescent="0.3">
      <c r="A22" s="7">
        <v>15</v>
      </c>
      <c r="B22" s="8" t="s">
        <v>24</v>
      </c>
      <c r="C22" s="9">
        <v>41913538.679152012</v>
      </c>
      <c r="D22" s="9">
        <v>41412510.565637998</v>
      </c>
      <c r="E22" s="57">
        <f t="shared" si="3"/>
        <v>83326049.244790018</v>
      </c>
      <c r="F22" s="10"/>
    </row>
    <row r="23" spans="1:6" x14ac:dyDescent="0.3">
      <c r="A23" s="7">
        <v>16</v>
      </c>
      <c r="B23" s="8" t="s">
        <v>25</v>
      </c>
      <c r="C23" s="9">
        <v>64569786.75</v>
      </c>
      <c r="D23" s="9">
        <v>19126554.060600001</v>
      </c>
      <c r="E23" s="57">
        <f t="shared" si="3"/>
        <v>83696340.810599998</v>
      </c>
      <c r="F23" s="10"/>
    </row>
    <row r="24" spans="1:6" x14ac:dyDescent="0.3">
      <c r="A24" s="14">
        <v>17</v>
      </c>
      <c r="B24" s="15" t="s">
        <v>26</v>
      </c>
      <c r="C24" s="27">
        <f>SUM(C18:C23)</f>
        <v>858491746.70745206</v>
      </c>
      <c r="D24" s="27">
        <f t="shared" ref="D24:E24" si="4">SUM(D18:D23)</f>
        <v>250963308.14378667</v>
      </c>
      <c r="E24" s="27">
        <f t="shared" si="4"/>
        <v>1109455054.8512387</v>
      </c>
      <c r="F24" s="10"/>
    </row>
    <row r="25" spans="1:6" x14ac:dyDescent="0.3">
      <c r="A25" s="14"/>
      <c r="B25" s="14" t="s">
        <v>27</v>
      </c>
      <c r="F25" s="10"/>
    </row>
    <row r="26" spans="1:6" x14ac:dyDescent="0.3">
      <c r="A26" s="7">
        <v>18</v>
      </c>
      <c r="B26" s="8" t="s">
        <v>28</v>
      </c>
      <c r="C26" s="9">
        <v>93748311.5</v>
      </c>
      <c r="D26" s="9">
        <v>0</v>
      </c>
      <c r="E26" s="27">
        <f>SUM(C26:D26)</f>
        <v>93748311.5</v>
      </c>
      <c r="F26" s="10"/>
    </row>
    <row r="27" spans="1:6" x14ac:dyDescent="0.3">
      <c r="A27" s="7">
        <v>19</v>
      </c>
      <c r="B27" s="8" t="s">
        <v>29</v>
      </c>
      <c r="C27" s="9">
        <v>14053395.320000002</v>
      </c>
      <c r="D27" s="9">
        <v>0</v>
      </c>
      <c r="E27" s="27">
        <f t="shared" ref="E27:E31" si="5">SUM(C27:D27)</f>
        <v>14053395.320000002</v>
      </c>
      <c r="F27" s="10"/>
    </row>
    <row r="28" spans="1:6" x14ac:dyDescent="0.3">
      <c r="A28" s="7">
        <v>20</v>
      </c>
      <c r="B28" s="8" t="s">
        <v>30</v>
      </c>
      <c r="C28" s="9">
        <v>13639666.890000001</v>
      </c>
      <c r="D28" s="9">
        <v>0</v>
      </c>
      <c r="E28" s="27">
        <f t="shared" si="5"/>
        <v>13639666.890000001</v>
      </c>
      <c r="F28" s="10"/>
    </row>
    <row r="29" spans="1:6" x14ac:dyDescent="0.3">
      <c r="A29" s="7">
        <v>21</v>
      </c>
      <c r="B29" s="8" t="s">
        <v>31</v>
      </c>
      <c r="C29" s="9">
        <v>0</v>
      </c>
      <c r="D29" s="9">
        <v>0</v>
      </c>
      <c r="E29" s="27">
        <f t="shared" si="5"/>
        <v>0</v>
      </c>
      <c r="F29" s="10"/>
    </row>
    <row r="30" spans="1:6" x14ac:dyDescent="0.3">
      <c r="A30" s="7">
        <v>22</v>
      </c>
      <c r="B30" s="8" t="s">
        <v>32</v>
      </c>
      <c r="C30" s="9">
        <v>553694535.64146745</v>
      </c>
      <c r="D30" s="9">
        <v>0</v>
      </c>
      <c r="E30" s="27">
        <f t="shared" si="5"/>
        <v>553694535.64146745</v>
      </c>
      <c r="F30" s="10"/>
    </row>
    <row r="31" spans="1:6" x14ac:dyDescent="0.3">
      <c r="A31" s="7">
        <v>23</v>
      </c>
      <c r="B31" s="8" t="s">
        <v>33</v>
      </c>
      <c r="C31" s="9">
        <v>17836970.57</v>
      </c>
      <c r="D31" s="9">
        <v>0</v>
      </c>
      <c r="E31" s="27">
        <f t="shared" si="5"/>
        <v>17836970.57</v>
      </c>
      <c r="F31" s="10"/>
    </row>
    <row r="32" spans="1:6" x14ac:dyDescent="0.3">
      <c r="A32" s="14">
        <v>24</v>
      </c>
      <c r="B32" s="15" t="s">
        <v>34</v>
      </c>
      <c r="C32" s="27">
        <f>SUM(C26:C31)</f>
        <v>692972879.92146754</v>
      </c>
      <c r="D32" s="27">
        <f t="shared" ref="D32:E32" si="6">SUM(D26:D31)</f>
        <v>0</v>
      </c>
      <c r="E32" s="27">
        <f t="shared" si="6"/>
        <v>692972879.92146754</v>
      </c>
      <c r="F32" s="10"/>
    </row>
    <row r="33" spans="1:6" x14ac:dyDescent="0.3">
      <c r="A33" s="14">
        <v>25</v>
      </c>
      <c r="B33" s="15" t="s">
        <v>35</v>
      </c>
      <c r="C33" s="27">
        <f>SUM(C24,C32)</f>
        <v>1551464626.6289196</v>
      </c>
      <c r="D33" s="27">
        <f t="shared" ref="D33:E33" si="7">SUM(D24,D32)</f>
        <v>250963308.14378667</v>
      </c>
      <c r="E33" s="27">
        <f t="shared" si="7"/>
        <v>1802427934.7727063</v>
      </c>
      <c r="F33" s="1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5"/>
  <sheetViews>
    <sheetView topLeftCell="A43" zoomScale="90" zoomScaleNormal="90" workbookViewId="0">
      <selection activeCell="G27" sqref="G27"/>
    </sheetView>
  </sheetViews>
  <sheetFormatPr defaultColWidth="9.08984375" defaultRowHeight="12" x14ac:dyDescent="0.3"/>
  <cols>
    <col min="1" max="1" width="10.36328125" style="28" customWidth="1"/>
    <col min="2" max="2" width="74.54296875" style="2" customWidth="1"/>
    <col min="3" max="3" width="16.90625" style="23" customWidth="1"/>
    <col min="4" max="16384" width="9.08984375" style="2"/>
  </cols>
  <sheetData>
    <row r="1" spans="1:3" ht="12.5" x14ac:dyDescent="0.35">
      <c r="A1" s="1" t="s">
        <v>0</v>
      </c>
      <c r="B1" s="2" t="s">
        <v>1</v>
      </c>
      <c r="C1" s="18"/>
    </row>
    <row r="2" spans="1:3" ht="12.5" x14ac:dyDescent="0.35">
      <c r="A2" s="1" t="s">
        <v>2</v>
      </c>
      <c r="B2" s="45">
        <f>DATE(MID("31/03/2025",7,4),MID("31/03/2025",4,2),MID("31/03/2025",1,2))</f>
        <v>45747</v>
      </c>
      <c r="C2" s="18"/>
    </row>
    <row r="3" spans="1:3" ht="12.5" x14ac:dyDescent="0.35">
      <c r="A3" s="1"/>
      <c r="C3" s="18"/>
    </row>
    <row r="4" spans="1:3" x14ac:dyDescent="0.3">
      <c r="A4" s="19"/>
      <c r="B4" s="20" t="s">
        <v>36</v>
      </c>
      <c r="C4" s="21" t="s">
        <v>6</v>
      </c>
    </row>
    <row r="5" spans="1:3" x14ac:dyDescent="0.3">
      <c r="A5" s="7">
        <v>1</v>
      </c>
      <c r="B5" s="8" t="s">
        <v>37</v>
      </c>
      <c r="C5" s="9">
        <v>674124.9812670002</v>
      </c>
    </row>
    <row r="6" spans="1:3" x14ac:dyDescent="0.3">
      <c r="A6" s="7">
        <v>2</v>
      </c>
      <c r="B6" s="8" t="s">
        <v>38</v>
      </c>
      <c r="C6" s="9">
        <v>82807547.014132306</v>
      </c>
    </row>
    <row r="7" spans="1:3" x14ac:dyDescent="0.3">
      <c r="A7" s="7">
        <v>2.1</v>
      </c>
      <c r="B7" s="12" t="s">
        <v>39</v>
      </c>
      <c r="C7" s="13">
        <v>4181750.8668630007</v>
      </c>
    </row>
    <row r="8" spans="1:3" x14ac:dyDescent="0.3">
      <c r="A8" s="7">
        <v>2.2000000000000002</v>
      </c>
      <c r="B8" s="12" t="s">
        <v>40</v>
      </c>
      <c r="C8" s="13">
        <v>17464022.760362998</v>
      </c>
    </row>
    <row r="9" spans="1:3" x14ac:dyDescent="0.3">
      <c r="A9" s="7">
        <v>2.2999999999999998</v>
      </c>
      <c r="B9" s="12" t="s">
        <v>41</v>
      </c>
      <c r="C9" s="9">
        <v>2753030.2339000003</v>
      </c>
    </row>
    <row r="10" spans="1:3" x14ac:dyDescent="0.3">
      <c r="A10" s="7">
        <v>2.4</v>
      </c>
      <c r="B10" s="12" t="s">
        <v>42</v>
      </c>
      <c r="C10" s="9">
        <v>446.46999999999997</v>
      </c>
    </row>
    <row r="11" spans="1:3" x14ac:dyDescent="0.3">
      <c r="A11" s="7">
        <v>2.5</v>
      </c>
      <c r="B11" s="12" t="s">
        <v>43</v>
      </c>
      <c r="C11" s="9">
        <v>58248720.22572621</v>
      </c>
    </row>
    <row r="12" spans="1:3" x14ac:dyDescent="0.3">
      <c r="A12" s="7">
        <v>2.6</v>
      </c>
      <c r="B12" s="12" t="s">
        <v>44</v>
      </c>
      <c r="C12" s="9">
        <v>5097.2646800939692</v>
      </c>
    </row>
    <row r="13" spans="1:3" x14ac:dyDescent="0.3">
      <c r="A13" s="7">
        <v>2.7</v>
      </c>
      <c r="B13" s="12" t="s">
        <v>45</v>
      </c>
      <c r="C13" s="9">
        <v>154479.19260000001</v>
      </c>
    </row>
    <row r="14" spans="1:3" x14ac:dyDescent="0.3">
      <c r="A14" s="7">
        <v>3</v>
      </c>
      <c r="B14" s="8" t="s">
        <v>46</v>
      </c>
      <c r="C14" s="9">
        <v>737500.24510000006</v>
      </c>
    </row>
    <row r="15" spans="1:3" x14ac:dyDescent="0.3">
      <c r="A15" s="7">
        <v>3.1</v>
      </c>
      <c r="B15" s="8" t="s">
        <v>47</v>
      </c>
      <c r="C15" s="9">
        <v>645739.31629999995</v>
      </c>
    </row>
    <row r="16" spans="1:3" x14ac:dyDescent="0.3">
      <c r="A16" s="7">
        <v>3.2</v>
      </c>
      <c r="B16" s="8" t="s">
        <v>48</v>
      </c>
      <c r="C16" s="9">
        <v>1775.93</v>
      </c>
    </row>
    <row r="17" spans="1:3" x14ac:dyDescent="0.3">
      <c r="A17" s="7">
        <v>3.3</v>
      </c>
      <c r="B17" s="8" t="s">
        <v>49</v>
      </c>
      <c r="C17" s="9">
        <v>52281.764299999995</v>
      </c>
    </row>
    <row r="18" spans="1:3" x14ac:dyDescent="0.3">
      <c r="A18" s="7">
        <v>3.4</v>
      </c>
      <c r="B18" s="8" t="s">
        <v>50</v>
      </c>
      <c r="C18" s="9">
        <v>37703.234499999999</v>
      </c>
    </row>
    <row r="19" spans="1:3" x14ac:dyDescent="0.3">
      <c r="A19" s="7">
        <v>4</v>
      </c>
      <c r="B19" s="8" t="s">
        <v>51</v>
      </c>
      <c r="C19" s="9">
        <v>9376416.9580230024</v>
      </c>
    </row>
    <row r="20" spans="1:3" x14ac:dyDescent="0.3">
      <c r="A20" s="7">
        <v>5</v>
      </c>
      <c r="B20" s="8" t="s">
        <v>52</v>
      </c>
      <c r="C20" s="9">
        <v>0</v>
      </c>
    </row>
    <row r="21" spans="1:3" x14ac:dyDescent="0.3">
      <c r="A21" s="7">
        <v>6</v>
      </c>
      <c r="B21" s="8" t="s">
        <v>53</v>
      </c>
      <c r="C21" s="9">
        <v>484456.42</v>
      </c>
    </row>
    <row r="22" spans="1:3" x14ac:dyDescent="0.3">
      <c r="A22" s="14">
        <v>7</v>
      </c>
      <c r="B22" s="15" t="s">
        <v>54</v>
      </c>
      <c r="C22" s="17">
        <v>94080045.618522286</v>
      </c>
    </row>
    <row r="23" spans="1:3" x14ac:dyDescent="0.3">
      <c r="A23" s="14"/>
      <c r="B23" s="22" t="s">
        <v>55</v>
      </c>
      <c r="C23" s="49"/>
    </row>
    <row r="24" spans="1:3" x14ac:dyDescent="0.3">
      <c r="A24" s="7">
        <v>8</v>
      </c>
      <c r="B24" s="8" t="s">
        <v>56</v>
      </c>
      <c r="C24" s="49">
        <v>14918076.193957999</v>
      </c>
    </row>
    <row r="25" spans="1:3" x14ac:dyDescent="0.3">
      <c r="A25" s="7">
        <v>9</v>
      </c>
      <c r="B25" s="8" t="s">
        <v>57</v>
      </c>
      <c r="C25" s="17">
        <v>5500224.8443529997</v>
      </c>
    </row>
    <row r="26" spans="1:3" x14ac:dyDescent="0.3">
      <c r="A26" s="7">
        <v>10</v>
      </c>
      <c r="B26" s="8" t="s">
        <v>58</v>
      </c>
      <c r="C26" s="9">
        <v>607058.31000000006</v>
      </c>
    </row>
    <row r="27" spans="1:3" x14ac:dyDescent="0.3">
      <c r="A27" s="7">
        <v>11</v>
      </c>
      <c r="B27" s="8" t="s">
        <v>59</v>
      </c>
      <c r="C27" s="9">
        <v>0</v>
      </c>
    </row>
    <row r="28" spans="1:3" x14ac:dyDescent="0.3">
      <c r="A28" s="7">
        <v>12</v>
      </c>
      <c r="B28" s="8" t="s">
        <v>60</v>
      </c>
      <c r="C28" s="9">
        <v>3402501.3243820001</v>
      </c>
    </row>
    <row r="29" spans="1:3" x14ac:dyDescent="0.3">
      <c r="A29" s="7">
        <v>13</v>
      </c>
      <c r="B29" s="8" t="s">
        <v>61</v>
      </c>
      <c r="C29" s="9">
        <v>1653108.4919999996</v>
      </c>
    </row>
    <row r="30" spans="1:3" x14ac:dyDescent="0.3">
      <c r="A30" s="7">
        <v>14</v>
      </c>
      <c r="B30" s="8" t="s">
        <v>62</v>
      </c>
      <c r="C30" s="9">
        <v>551410.13926600001</v>
      </c>
    </row>
    <row r="31" spans="1:3" x14ac:dyDescent="0.3">
      <c r="A31" s="7">
        <v>15</v>
      </c>
      <c r="B31" s="8" t="s">
        <v>63</v>
      </c>
      <c r="C31" s="9">
        <v>26632379.303959001</v>
      </c>
    </row>
    <row r="32" spans="1:3" x14ac:dyDescent="0.3">
      <c r="A32" s="14">
        <v>16</v>
      </c>
      <c r="B32" s="15" t="s">
        <v>64</v>
      </c>
      <c r="C32" s="9">
        <v>67447666.314563304</v>
      </c>
    </row>
    <row r="33" spans="1:3" x14ac:dyDescent="0.3">
      <c r="A33" s="14"/>
      <c r="B33" s="22" t="s">
        <v>65</v>
      </c>
      <c r="C33" s="49"/>
    </row>
    <row r="34" spans="1:3" x14ac:dyDescent="0.3">
      <c r="A34" s="24">
        <v>17</v>
      </c>
      <c r="B34" s="25" t="s">
        <v>66</v>
      </c>
      <c r="C34" s="9">
        <v>5993138.3752969066</v>
      </c>
    </row>
    <row r="35" spans="1:3" x14ac:dyDescent="0.3">
      <c r="A35" s="26">
        <v>17.100000000000001</v>
      </c>
      <c r="B35" s="8" t="s">
        <v>67</v>
      </c>
      <c r="C35" s="49">
        <v>10936965.290409906</v>
      </c>
    </row>
    <row r="36" spans="1:3" x14ac:dyDescent="0.3">
      <c r="A36" s="26">
        <v>17.2</v>
      </c>
      <c r="B36" s="8" t="s">
        <v>68</v>
      </c>
      <c r="C36" s="17">
        <v>4943826.9151130002</v>
      </c>
    </row>
    <row r="37" spans="1:3" x14ac:dyDescent="0.3">
      <c r="A37" s="26">
        <v>18</v>
      </c>
      <c r="B37" s="8" t="s">
        <v>69</v>
      </c>
      <c r="C37" s="17">
        <v>0</v>
      </c>
    </row>
    <row r="38" spans="1:3" x14ac:dyDescent="0.3">
      <c r="A38" s="26">
        <v>19</v>
      </c>
      <c r="B38" s="8" t="s">
        <v>70</v>
      </c>
      <c r="C38" s="27">
        <v>0</v>
      </c>
    </row>
    <row r="39" spans="1:3" x14ac:dyDescent="0.3">
      <c r="A39" s="26">
        <v>20</v>
      </c>
      <c r="B39" s="8" t="s">
        <v>71</v>
      </c>
      <c r="C39" s="9">
        <v>10509826.097991997</v>
      </c>
    </row>
    <row r="40" spans="1:3" x14ac:dyDescent="0.3">
      <c r="A40" s="26">
        <v>21</v>
      </c>
      <c r="B40" s="8" t="s">
        <v>72</v>
      </c>
      <c r="C40" s="9">
        <v>1738422.5884929998</v>
      </c>
    </row>
    <row r="41" spans="1:3" x14ac:dyDescent="0.3">
      <c r="A41" s="26">
        <v>22</v>
      </c>
      <c r="B41" s="8" t="s">
        <v>73</v>
      </c>
      <c r="C41" s="9">
        <v>77179.94</v>
      </c>
    </row>
    <row r="42" spans="1:3" x14ac:dyDescent="0.3">
      <c r="A42" s="26">
        <v>23</v>
      </c>
      <c r="B42" s="8" t="s">
        <v>74</v>
      </c>
      <c r="C42" s="9">
        <v>3700484.9987849994</v>
      </c>
    </row>
    <row r="43" spans="1:3" x14ac:dyDescent="0.3">
      <c r="A43" s="14">
        <v>24</v>
      </c>
      <c r="B43" s="15" t="s">
        <v>75</v>
      </c>
      <c r="C43" s="9">
        <v>22019052.000566904</v>
      </c>
    </row>
    <row r="44" spans="1:3" x14ac:dyDescent="0.3">
      <c r="A44" s="14"/>
      <c r="B44" s="22" t="s">
        <v>76</v>
      </c>
      <c r="C44" s="49"/>
    </row>
    <row r="45" spans="1:3" x14ac:dyDescent="0.3">
      <c r="A45" s="26">
        <v>25</v>
      </c>
      <c r="B45" s="8" t="s">
        <v>77</v>
      </c>
      <c r="C45" s="9">
        <v>2001475.651699</v>
      </c>
    </row>
    <row r="46" spans="1:3" x14ac:dyDescent="0.3">
      <c r="A46" s="26">
        <v>26</v>
      </c>
      <c r="B46" s="8" t="s">
        <v>78</v>
      </c>
      <c r="C46" s="9">
        <v>29826321.607953995</v>
      </c>
    </row>
    <row r="47" spans="1:3" x14ac:dyDescent="0.3">
      <c r="A47" s="26">
        <v>27</v>
      </c>
      <c r="B47" s="8" t="s">
        <v>79</v>
      </c>
      <c r="C47" s="9">
        <v>876401.41999999993</v>
      </c>
    </row>
    <row r="48" spans="1:3" x14ac:dyDescent="0.3">
      <c r="A48" s="26">
        <v>28</v>
      </c>
      <c r="B48" s="8" t="s">
        <v>80</v>
      </c>
      <c r="C48" s="17">
        <v>3678591.6982</v>
      </c>
    </row>
    <row r="49" spans="1:3" x14ac:dyDescent="0.3">
      <c r="A49" s="26">
        <v>29</v>
      </c>
      <c r="B49" s="8" t="s">
        <v>81</v>
      </c>
      <c r="C49" s="17">
        <v>2515421.6962567195</v>
      </c>
    </row>
    <row r="50" spans="1:3" x14ac:dyDescent="0.3">
      <c r="A50" s="26">
        <v>30</v>
      </c>
      <c r="B50" s="8" t="s">
        <v>82</v>
      </c>
      <c r="C50" s="9">
        <v>6566802.6979799997</v>
      </c>
    </row>
    <row r="51" spans="1:3" x14ac:dyDescent="0.3">
      <c r="A51" s="14">
        <v>31</v>
      </c>
      <c r="B51" s="15" t="s">
        <v>83</v>
      </c>
      <c r="C51" s="9">
        <v>45465014.772089727</v>
      </c>
    </row>
    <row r="52" spans="1:3" x14ac:dyDescent="0.3">
      <c r="A52" s="14">
        <v>32</v>
      </c>
      <c r="B52" s="15" t="s">
        <v>84</v>
      </c>
      <c r="C52" s="9">
        <v>-23445962.771522816</v>
      </c>
    </row>
    <row r="53" spans="1:3" x14ac:dyDescent="0.3">
      <c r="A53" s="26"/>
      <c r="B53" s="8"/>
      <c r="C53" s="49"/>
    </row>
    <row r="54" spans="1:3" x14ac:dyDescent="0.3">
      <c r="A54" s="14">
        <v>33</v>
      </c>
      <c r="B54" s="22" t="s">
        <v>85</v>
      </c>
      <c r="C54" s="9">
        <v>44001703.543040492</v>
      </c>
    </row>
    <row r="55" spans="1:3" x14ac:dyDescent="0.3">
      <c r="A55" s="26"/>
      <c r="B55" s="8"/>
      <c r="C55" s="49"/>
    </row>
    <row r="56" spans="1:3" x14ac:dyDescent="0.3">
      <c r="A56" s="26">
        <v>34</v>
      </c>
      <c r="B56" s="8" t="s">
        <v>86</v>
      </c>
      <c r="C56" s="9">
        <v>4406092.6059130039</v>
      </c>
    </row>
    <row r="57" spans="1:3" x14ac:dyDescent="0.3">
      <c r="A57" s="26">
        <v>35</v>
      </c>
      <c r="B57" s="8" t="s">
        <v>87</v>
      </c>
      <c r="C57" s="9">
        <v>0</v>
      </c>
    </row>
    <row r="58" spans="1:3" x14ac:dyDescent="0.3">
      <c r="A58" s="26">
        <v>36</v>
      </c>
      <c r="B58" s="8" t="s">
        <v>88</v>
      </c>
      <c r="C58" s="17">
        <v>3320374.98</v>
      </c>
    </row>
    <row r="59" spans="1:3" x14ac:dyDescent="0.3">
      <c r="A59" s="26">
        <v>37</v>
      </c>
      <c r="B59" s="8" t="s">
        <v>89</v>
      </c>
      <c r="C59" s="17">
        <v>7726467.5859130034</v>
      </c>
    </row>
    <row r="60" spans="1:3" x14ac:dyDescent="0.3">
      <c r="A60" s="26"/>
      <c r="B60" s="8"/>
      <c r="C60" s="49"/>
    </row>
    <row r="61" spans="1:3" x14ac:dyDescent="0.3">
      <c r="A61" s="14">
        <v>38</v>
      </c>
      <c r="B61" s="15" t="s">
        <v>90</v>
      </c>
      <c r="C61" s="9">
        <v>36275235.957127482</v>
      </c>
    </row>
    <row r="62" spans="1:3" x14ac:dyDescent="0.3">
      <c r="A62" s="26">
        <v>39</v>
      </c>
      <c r="B62" s="8" t="s">
        <v>91</v>
      </c>
      <c r="C62" s="17">
        <v>7216695.1219999995</v>
      </c>
    </row>
    <row r="63" spans="1:3" x14ac:dyDescent="0.3">
      <c r="A63" s="14">
        <v>40</v>
      </c>
      <c r="B63" s="15" t="s">
        <v>92</v>
      </c>
      <c r="C63" s="9">
        <v>29058540.835127488</v>
      </c>
    </row>
    <row r="64" spans="1:3" x14ac:dyDescent="0.3">
      <c r="A64" s="26">
        <v>41</v>
      </c>
      <c r="B64" s="8" t="s">
        <v>93</v>
      </c>
      <c r="C64" s="9">
        <v>-900</v>
      </c>
    </row>
    <row r="65" spans="1:3" x14ac:dyDescent="0.3">
      <c r="A65" s="14">
        <v>42</v>
      </c>
      <c r="B65" s="22" t="s">
        <v>94</v>
      </c>
      <c r="C65" s="9">
        <v>29057640.835127488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zoomScale="90" zoomScaleNormal="90" workbookViewId="0">
      <selection activeCell="D15" sqref="D15"/>
    </sheetView>
  </sheetViews>
  <sheetFormatPr defaultColWidth="9.08984375" defaultRowHeight="12" x14ac:dyDescent="0.3"/>
  <cols>
    <col min="1" max="1" width="8.90625" style="29" bestFit="1" customWidth="1"/>
    <col min="2" max="2" width="67.08984375" style="29" bestFit="1" customWidth="1"/>
    <col min="3" max="3" width="26.08984375" style="29" customWidth="1"/>
    <col min="4" max="4" width="27.54296875" style="29" customWidth="1"/>
    <col min="5" max="5" width="14.36328125" style="29" customWidth="1"/>
    <col min="6" max="6" width="16" style="29" customWidth="1"/>
    <col min="7" max="7" width="10.54296875" style="29" customWidth="1"/>
    <col min="8" max="8" width="34.90625" style="29" customWidth="1"/>
    <col min="9" max="9" width="51.36328125" style="29" bestFit="1" customWidth="1"/>
    <col min="10" max="16384" width="9.08984375" style="29"/>
  </cols>
  <sheetData>
    <row r="1" spans="1:10" ht="12.5" x14ac:dyDescent="0.35">
      <c r="A1" s="1" t="s">
        <v>0</v>
      </c>
      <c r="B1" s="2" t="s">
        <v>1</v>
      </c>
    </row>
    <row r="2" spans="1:10" ht="12.5" x14ac:dyDescent="0.35">
      <c r="A2" s="1" t="s">
        <v>2</v>
      </c>
      <c r="B2" s="45">
        <f>DATE(MID("31/03/2025",7,4),MID("31/03/2025",4,2),MID("31/03/2025",1,2))</f>
        <v>45747</v>
      </c>
    </row>
    <row r="3" spans="1:10" x14ac:dyDescent="0.3">
      <c r="A3" s="30"/>
      <c r="B3" s="31"/>
    </row>
    <row r="4" spans="1:10" x14ac:dyDescent="0.3">
      <c r="A4" s="32"/>
      <c r="B4" s="32"/>
      <c r="C4" s="33" t="s">
        <v>95</v>
      </c>
    </row>
    <row r="5" spans="1:10" x14ac:dyDescent="0.3">
      <c r="A5" s="34">
        <v>1</v>
      </c>
      <c r="B5" s="35" t="s">
        <v>96</v>
      </c>
      <c r="C5" s="57">
        <f>SUM(C6:C7)</f>
        <v>523584291.12238801</v>
      </c>
    </row>
    <row r="6" spans="1:10" x14ac:dyDescent="0.3">
      <c r="A6" s="36">
        <v>1.1000000000000001</v>
      </c>
      <c r="B6" s="36" t="s">
        <v>97</v>
      </c>
      <c r="C6" s="58">
        <v>523584291.12238801</v>
      </c>
      <c r="J6" s="53"/>
    </row>
    <row r="7" spans="1:10" x14ac:dyDescent="0.3">
      <c r="A7" s="36">
        <v>1.2</v>
      </c>
      <c r="B7" s="36" t="s">
        <v>98</v>
      </c>
      <c r="C7" s="58">
        <v>0</v>
      </c>
    </row>
    <row r="8" spans="1:10" x14ac:dyDescent="0.3">
      <c r="A8" s="34">
        <v>2</v>
      </c>
      <c r="B8" s="35" t="s">
        <v>99</v>
      </c>
      <c r="C8" s="57">
        <f>SUM(C9:C10)</f>
        <v>46945480.240000002</v>
      </c>
    </row>
    <row r="9" spans="1:10" x14ac:dyDescent="0.3">
      <c r="A9" s="37">
        <v>2.1</v>
      </c>
      <c r="B9" s="36" t="s">
        <v>100</v>
      </c>
      <c r="C9" s="58">
        <v>0</v>
      </c>
    </row>
    <row r="10" spans="1:10" x14ac:dyDescent="0.3">
      <c r="A10" s="37">
        <v>2.2000000000000002</v>
      </c>
      <c r="B10" s="36" t="s">
        <v>101</v>
      </c>
      <c r="C10" s="58">
        <v>46945480.240000002</v>
      </c>
    </row>
    <row r="11" spans="1:10" x14ac:dyDescent="0.3">
      <c r="A11" s="34">
        <v>3</v>
      </c>
      <c r="B11" s="35" t="s">
        <v>102</v>
      </c>
      <c r="C11" s="57">
        <f>SUM(C12:C13)</f>
        <v>210013774.25423798</v>
      </c>
    </row>
    <row r="12" spans="1:10" x14ac:dyDescent="0.3">
      <c r="A12" s="36">
        <v>3.1</v>
      </c>
      <c r="B12" s="36" t="s">
        <v>103</v>
      </c>
      <c r="C12" s="58">
        <f>57319593.679738+143693610.5941</f>
        <v>201013204.27383798</v>
      </c>
    </row>
    <row r="13" spans="1:10" x14ac:dyDescent="0.3">
      <c r="A13" s="36">
        <v>3.2</v>
      </c>
      <c r="B13" s="36" t="s">
        <v>104</v>
      </c>
      <c r="C13" s="58">
        <f>7686921.0012+1313648.9792</f>
        <v>9000569.9803999998</v>
      </c>
    </row>
    <row r="14" spans="1:10" x14ac:dyDescent="0.3">
      <c r="A14" s="34">
        <v>4</v>
      </c>
      <c r="B14" s="35" t="s">
        <v>105</v>
      </c>
      <c r="C14" s="57">
        <f>SUM(C15:C16)</f>
        <v>153823370.60729998</v>
      </c>
    </row>
    <row r="15" spans="1:10" x14ac:dyDescent="0.3">
      <c r="A15" s="37">
        <v>4.0999999999999996</v>
      </c>
      <c r="B15" s="36" t="s">
        <v>106</v>
      </c>
      <c r="C15" s="58">
        <f>12334713.1968+139504440.2105</f>
        <v>151839153.4073</v>
      </c>
    </row>
    <row r="16" spans="1:10" x14ac:dyDescent="0.3">
      <c r="A16" s="37">
        <v>4.2</v>
      </c>
      <c r="B16" s="36" t="s">
        <v>107</v>
      </c>
      <c r="C16" s="58">
        <f>1984217.2+0</f>
        <v>1984217.2</v>
      </c>
    </row>
    <row r="17" spans="1:3" x14ac:dyDescent="0.3">
      <c r="A17" s="34">
        <v>4</v>
      </c>
      <c r="B17" s="35" t="s">
        <v>150</v>
      </c>
      <c r="C17" s="57">
        <f>SUM(C18:C19)</f>
        <v>83696340.810599998</v>
      </c>
    </row>
    <row r="18" spans="1:3" x14ac:dyDescent="0.3">
      <c r="A18" s="37">
        <v>4.0999999999999996</v>
      </c>
      <c r="B18" s="36" t="s">
        <v>151</v>
      </c>
      <c r="C18" s="58">
        <f>0+0+63205900.4277+10869786.75</f>
        <v>74075687.177699998</v>
      </c>
    </row>
    <row r="19" spans="1:3" x14ac:dyDescent="0.3">
      <c r="A19" s="37">
        <v>4.2</v>
      </c>
      <c r="B19" s="36" t="s">
        <v>152</v>
      </c>
      <c r="C19" s="58">
        <f>0+1383650+6023163.6329+2213840</f>
        <v>9620653.6328999996</v>
      </c>
    </row>
    <row r="20" spans="1:3" x14ac:dyDescent="0.3">
      <c r="A20" s="59" t="s">
        <v>108</v>
      </c>
      <c r="B20" s="60"/>
      <c r="C20" s="57">
        <f>SUM(C5,C8,C11,C14,C17)</f>
        <v>1018063257.0345261</v>
      </c>
    </row>
    <row r="22" spans="1:3" x14ac:dyDescent="0.3">
      <c r="C22" s="38"/>
    </row>
  </sheetData>
  <mergeCells count="1">
    <mergeCell ref="A20:B2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zoomScale="90" zoomScaleNormal="90" workbookViewId="0">
      <selection activeCell="C6" sqref="C6"/>
    </sheetView>
  </sheetViews>
  <sheetFormatPr defaultColWidth="9.08984375" defaultRowHeight="12" x14ac:dyDescent="0.3"/>
  <cols>
    <col min="1" max="1" width="13.6328125" style="29" customWidth="1"/>
    <col min="2" max="2" width="40" style="29" customWidth="1"/>
    <col min="3" max="3" width="19.6328125" style="29" customWidth="1"/>
    <col min="4" max="4" width="17.1796875" style="29" customWidth="1"/>
    <col min="5" max="5" width="17.36328125" style="29" customWidth="1"/>
    <col min="6" max="6" width="17.90625" style="29" customWidth="1"/>
    <col min="7" max="7" width="5.6328125" style="29" customWidth="1"/>
    <col min="8" max="8" width="15.90625" style="29" customWidth="1"/>
    <col min="9" max="9" width="17.90625" style="29" customWidth="1"/>
    <col min="10" max="10" width="17.81640625" style="29" customWidth="1"/>
    <col min="11" max="11" width="21.08984375" style="29" customWidth="1"/>
    <col min="12" max="12" width="5.6328125" style="29" customWidth="1"/>
    <col min="13" max="13" width="23.08984375" style="29" bestFit="1" customWidth="1"/>
    <col min="14" max="16384" width="9.08984375" style="29"/>
  </cols>
  <sheetData>
    <row r="1" spans="1:5" x14ac:dyDescent="0.3">
      <c r="A1" s="30" t="s">
        <v>0</v>
      </c>
      <c r="B1" s="31" t="s">
        <v>109</v>
      </c>
    </row>
    <row r="2" spans="1:5" x14ac:dyDescent="0.3">
      <c r="A2" s="30" t="s">
        <v>2</v>
      </c>
      <c r="B2" s="45">
        <f>DATE(MID("31/03/2025",7,4),MID("31/03/2025",4,2),MID("31/03/2025",1,2))</f>
        <v>45747</v>
      </c>
    </row>
    <row r="3" spans="1:5" ht="15" customHeight="1" x14ac:dyDescent="0.3">
      <c r="C3" s="39"/>
      <c r="D3" s="39"/>
      <c r="E3" s="39"/>
    </row>
    <row r="4" spans="1:5" ht="24" x14ac:dyDescent="0.3">
      <c r="A4" s="40"/>
      <c r="B4" s="40"/>
      <c r="C4" s="52" t="s">
        <v>110</v>
      </c>
      <c r="D4" s="52" t="s">
        <v>149</v>
      </c>
      <c r="E4" s="52" t="s">
        <v>111</v>
      </c>
    </row>
    <row r="5" spans="1:5" x14ac:dyDescent="0.3">
      <c r="A5" s="41">
        <v>1</v>
      </c>
      <c r="B5" s="35" t="s">
        <v>112</v>
      </c>
      <c r="C5" s="27">
        <f>SUM(C6:C12)</f>
        <v>1538581181.2406192</v>
      </c>
      <c r="D5" s="27">
        <f t="shared" ref="D5:E5" si="0">SUM(D6:D12)</f>
        <v>-47769356.287736937</v>
      </c>
      <c r="E5" s="27">
        <f t="shared" si="0"/>
        <v>791481</v>
      </c>
    </row>
    <row r="6" spans="1:5" x14ac:dyDescent="0.3">
      <c r="A6" s="36">
        <v>1.1000000000000001</v>
      </c>
      <c r="B6" s="36" t="s">
        <v>39</v>
      </c>
      <c r="C6" s="27">
        <v>74707162.991246</v>
      </c>
      <c r="D6" s="9">
        <v>-2240605.0047651688</v>
      </c>
      <c r="E6" s="9">
        <v>13603</v>
      </c>
    </row>
    <row r="7" spans="1:5" x14ac:dyDescent="0.3">
      <c r="A7" s="36">
        <v>1.2</v>
      </c>
      <c r="B7" s="36" t="s">
        <v>40</v>
      </c>
      <c r="C7" s="27">
        <v>239703745.68215007</v>
      </c>
      <c r="D7" s="9">
        <v>-23080597.449485</v>
      </c>
      <c r="E7" s="9">
        <v>41816</v>
      </c>
    </row>
    <row r="8" spans="1:5" x14ac:dyDescent="0.3">
      <c r="A8" s="36">
        <v>1.3</v>
      </c>
      <c r="B8" s="36" t="s">
        <v>41</v>
      </c>
      <c r="C8" s="27">
        <v>49017863.925400011</v>
      </c>
      <c r="D8" s="9">
        <v>-1765065.797</v>
      </c>
      <c r="E8" s="9">
        <v>6181</v>
      </c>
    </row>
    <row r="9" spans="1:5" x14ac:dyDescent="0.3">
      <c r="A9" s="36">
        <v>1.4</v>
      </c>
      <c r="B9" s="36" t="s">
        <v>42</v>
      </c>
      <c r="C9" s="27">
        <v>22875.15</v>
      </c>
      <c r="D9" s="9">
        <v>-22875.15</v>
      </c>
      <c r="E9" s="9">
        <v>55</v>
      </c>
    </row>
    <row r="10" spans="1:5" x14ac:dyDescent="0.3">
      <c r="A10" s="36">
        <v>1.5</v>
      </c>
      <c r="B10" s="36" t="s">
        <v>43</v>
      </c>
      <c r="C10" s="27">
        <v>1172139307.1918232</v>
      </c>
      <c r="D10" s="9">
        <v>-20423657.450486775</v>
      </c>
      <c r="E10" s="9">
        <v>729542</v>
      </c>
    </row>
    <row r="11" spans="1:5" x14ac:dyDescent="0.3">
      <c r="A11" s="36">
        <v>1.6</v>
      </c>
      <c r="B11" s="36" t="s">
        <v>44</v>
      </c>
      <c r="C11" s="27">
        <v>56174.86</v>
      </c>
      <c r="D11" s="9">
        <v>-62.658000000000001</v>
      </c>
      <c r="E11" s="9">
        <v>83</v>
      </c>
    </row>
    <row r="12" spans="1:5" x14ac:dyDescent="0.3">
      <c r="A12" s="36">
        <v>1.7</v>
      </c>
      <c r="B12" s="36" t="s">
        <v>45</v>
      </c>
      <c r="C12" s="27">
        <v>2934051.4399999995</v>
      </c>
      <c r="D12" s="9">
        <v>-236492.77799999999</v>
      </c>
      <c r="E12" s="9">
        <v>201</v>
      </c>
    </row>
    <row r="13" spans="1:5" x14ac:dyDescent="0.3">
      <c r="A13" s="41">
        <v>2</v>
      </c>
      <c r="B13" s="35" t="s">
        <v>113</v>
      </c>
      <c r="C13" s="27">
        <v>17111776.419799998</v>
      </c>
      <c r="D13" s="27">
        <v>-2897094.3084099754</v>
      </c>
      <c r="E13" s="27">
        <v>549</v>
      </c>
    </row>
    <row r="14" spans="1:5" x14ac:dyDescent="0.3">
      <c r="A14" s="41">
        <v>3</v>
      </c>
      <c r="B14" s="35" t="s">
        <v>9</v>
      </c>
      <c r="C14" s="27">
        <f>SUM(C5,C13)</f>
        <v>1555692957.6604192</v>
      </c>
      <c r="D14" s="27">
        <f t="shared" ref="D14:E14" si="1">SUM(D5,D13)</f>
        <v>-50666450.596146911</v>
      </c>
      <c r="E14" s="27">
        <f t="shared" si="1"/>
        <v>792030</v>
      </c>
    </row>
    <row r="15" spans="1:5" x14ac:dyDescent="0.3">
      <c r="C15" s="38"/>
      <c r="D15" s="38"/>
    </row>
    <row r="16" spans="1:5" x14ac:dyDescent="0.3">
      <c r="C16" s="38"/>
      <c r="D16" s="38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zoomScale="80" zoomScaleNormal="80" workbookViewId="0">
      <selection activeCell="D8" sqref="D8"/>
    </sheetView>
  </sheetViews>
  <sheetFormatPr defaultColWidth="9.08984375" defaultRowHeight="12" x14ac:dyDescent="0.3"/>
  <cols>
    <col min="1" max="1" width="10.36328125" style="29" customWidth="1"/>
    <col min="2" max="2" width="37.08984375" style="29" customWidth="1"/>
    <col min="3" max="3" width="18.1796875" style="29" customWidth="1"/>
    <col min="4" max="4" width="16.90625" style="29" customWidth="1"/>
    <col min="5" max="5" width="14.08984375" style="29" customWidth="1"/>
    <col min="6" max="6" width="18.1796875" style="29" customWidth="1"/>
    <col min="7" max="7" width="17.90625" style="29" customWidth="1"/>
    <col min="8" max="8" width="16.81640625" style="29" bestFit="1" customWidth="1"/>
    <col min="9" max="9" width="15.90625" style="29" customWidth="1"/>
    <col min="10" max="10" width="17.90625" style="29" customWidth="1"/>
    <col min="11" max="11" width="17.81640625" style="29" customWidth="1"/>
    <col min="12" max="16384" width="9.08984375" style="29"/>
  </cols>
  <sheetData>
    <row r="1" spans="1:11" x14ac:dyDescent="0.3">
      <c r="A1" s="30" t="s">
        <v>0</v>
      </c>
      <c r="B1" s="31" t="s">
        <v>109</v>
      </c>
    </row>
    <row r="2" spans="1:11" x14ac:dyDescent="0.3">
      <c r="A2" s="30" t="s">
        <v>2</v>
      </c>
      <c r="B2" s="45">
        <f>DATE(MID("31/03/2025",7,4),MID("31/03/2025",4,2),MID("31/03/2025",1,2))</f>
        <v>45747</v>
      </c>
    </row>
    <row r="3" spans="1:11" ht="15" customHeight="1" x14ac:dyDescent="0.3">
      <c r="C3" s="39"/>
      <c r="D3" s="39"/>
    </row>
    <row r="4" spans="1:11" ht="24" x14ac:dyDescent="0.3">
      <c r="A4" s="40"/>
      <c r="B4" s="40"/>
      <c r="C4" s="46" t="s">
        <v>95</v>
      </c>
      <c r="D4" s="47" t="s">
        <v>118</v>
      </c>
      <c r="E4" s="47" t="s">
        <v>119</v>
      </c>
      <c r="F4" s="47" t="s">
        <v>120</v>
      </c>
      <c r="G4" s="47" t="s">
        <v>121</v>
      </c>
      <c r="H4" s="47" t="s">
        <v>122</v>
      </c>
      <c r="I4" s="47" t="s">
        <v>123</v>
      </c>
      <c r="J4" s="47" t="s">
        <v>124</v>
      </c>
      <c r="K4" s="47" t="s">
        <v>125</v>
      </c>
    </row>
    <row r="5" spans="1:11" x14ac:dyDescent="0.3">
      <c r="A5" s="41">
        <v>1</v>
      </c>
      <c r="B5" s="35" t="s">
        <v>112</v>
      </c>
      <c r="C5" s="48">
        <f>SUM(C6:C12)</f>
        <v>1538581181.3475196</v>
      </c>
      <c r="D5" s="48">
        <f>SUM(D6:D12)</f>
        <v>6290258.0870000003</v>
      </c>
      <c r="E5" s="48">
        <f t="shared" ref="E5:K5" si="0">SUM(E6:E12)</f>
        <v>10196967.388734</v>
      </c>
      <c r="F5" s="48">
        <f t="shared" si="0"/>
        <v>854909065.2927494</v>
      </c>
      <c r="G5" s="48">
        <f t="shared" si="0"/>
        <v>259068675.08646908</v>
      </c>
      <c r="H5" s="48">
        <f t="shared" si="0"/>
        <v>67543698.515102997</v>
      </c>
      <c r="I5" s="48">
        <f t="shared" si="0"/>
        <v>80778966.853939027</v>
      </c>
      <c r="J5" s="48">
        <f t="shared" si="0"/>
        <v>100854818.79719995</v>
      </c>
      <c r="K5" s="48">
        <f t="shared" si="0"/>
        <v>158938731.32632521</v>
      </c>
    </row>
    <row r="6" spans="1:11" x14ac:dyDescent="0.3">
      <c r="A6" s="36">
        <v>1.1000000000000001</v>
      </c>
      <c r="B6" s="36" t="s">
        <v>39</v>
      </c>
      <c r="C6" s="48">
        <f>SUM(D6:K6)</f>
        <v>74707163.091245994</v>
      </c>
      <c r="D6" s="49">
        <v>4496071.99</v>
      </c>
      <c r="E6" s="49">
        <v>5953553.6299999999</v>
      </c>
      <c r="F6" s="49">
        <v>17049709.769999996</v>
      </c>
      <c r="G6" s="49">
        <v>19647187.732345998</v>
      </c>
      <c r="H6" s="49">
        <v>12007348.920000002</v>
      </c>
      <c r="I6" s="49">
        <v>7181823.2299999986</v>
      </c>
      <c r="J6" s="49">
        <v>2872219.8189000003</v>
      </c>
      <c r="K6" s="49">
        <v>5499248.0000000009</v>
      </c>
    </row>
    <row r="7" spans="1:11" x14ac:dyDescent="0.3">
      <c r="A7" s="36">
        <v>1.2</v>
      </c>
      <c r="B7" s="36" t="s">
        <v>40</v>
      </c>
      <c r="C7" s="48">
        <f t="shared" ref="C7:C12" si="1">SUM(D7:K7)</f>
        <v>239703745.88215023</v>
      </c>
      <c r="D7" s="49">
        <v>1035433.9406</v>
      </c>
      <c r="E7" s="49">
        <v>3102509.6791340001</v>
      </c>
      <c r="F7" s="49">
        <v>20502330.118113</v>
      </c>
      <c r="G7" s="49">
        <v>35417303.564880006</v>
      </c>
      <c r="H7" s="49">
        <v>8650562.1782600004</v>
      </c>
      <c r="I7" s="49">
        <v>32755483.547734026</v>
      </c>
      <c r="J7" s="49">
        <v>43368263.555392958</v>
      </c>
      <c r="K7" s="49">
        <v>94871859.298036233</v>
      </c>
    </row>
    <row r="8" spans="1:11" x14ac:dyDescent="0.3">
      <c r="A8" s="36">
        <v>1.3</v>
      </c>
      <c r="B8" s="36" t="s">
        <v>41</v>
      </c>
      <c r="C8" s="48">
        <f t="shared" si="1"/>
        <v>49017863.925399996</v>
      </c>
      <c r="D8" s="49">
        <v>412081.58539999998</v>
      </c>
      <c r="E8" s="49">
        <v>528216.91999999993</v>
      </c>
      <c r="F8" s="49">
        <v>16300981.409999995</v>
      </c>
      <c r="G8" s="49">
        <v>14259434.18</v>
      </c>
      <c r="H8" s="49">
        <v>8628403.660000002</v>
      </c>
      <c r="I8" s="49">
        <v>6575163.3000000054</v>
      </c>
      <c r="J8" s="49">
        <v>2223395.9000000004</v>
      </c>
      <c r="K8" s="49">
        <v>90186.97</v>
      </c>
    </row>
    <row r="9" spans="1:11" x14ac:dyDescent="0.3">
      <c r="A9" s="36">
        <v>1.4</v>
      </c>
      <c r="B9" s="36" t="s">
        <v>42</v>
      </c>
      <c r="C9" s="48">
        <f t="shared" si="1"/>
        <v>22875.15</v>
      </c>
      <c r="D9" s="49">
        <v>22875.100000000002</v>
      </c>
      <c r="E9" s="49">
        <v>0</v>
      </c>
      <c r="F9" s="49">
        <v>0</v>
      </c>
      <c r="G9" s="49">
        <v>0</v>
      </c>
      <c r="H9" s="49">
        <v>0</v>
      </c>
      <c r="I9" s="49">
        <v>0</v>
      </c>
      <c r="J9" s="49">
        <v>4.9999999999272404E-2</v>
      </c>
      <c r="K9" s="49">
        <v>0</v>
      </c>
    </row>
    <row r="10" spans="1:11" x14ac:dyDescent="0.3">
      <c r="A10" s="36">
        <v>1.5</v>
      </c>
      <c r="B10" s="36" t="s">
        <v>43</v>
      </c>
      <c r="C10" s="48">
        <f t="shared" si="1"/>
        <v>1172139306.9987235</v>
      </c>
      <c r="D10" s="49">
        <v>272579.09100000001</v>
      </c>
      <c r="E10" s="49">
        <v>544686.67960000003</v>
      </c>
      <c r="F10" s="49">
        <v>799076069.73463643</v>
      </c>
      <c r="G10" s="49">
        <v>189206350.94924307</v>
      </c>
      <c r="H10" s="49">
        <v>38126035.146842986</v>
      </c>
      <c r="I10" s="49">
        <v>34096582.946204998</v>
      </c>
      <c r="J10" s="49">
        <v>52344523.872907005</v>
      </c>
      <c r="K10" s="49">
        <v>58472478.578289002</v>
      </c>
    </row>
    <row r="11" spans="1:11" x14ac:dyDescent="0.3">
      <c r="A11" s="36">
        <v>1.6</v>
      </c>
      <c r="B11" s="36" t="s">
        <v>44</v>
      </c>
      <c r="C11" s="48">
        <f t="shared" si="1"/>
        <v>56174.86</v>
      </c>
      <c r="D11" s="49">
        <v>51216.38</v>
      </c>
      <c r="E11" s="49">
        <v>0</v>
      </c>
      <c r="F11" s="49">
        <v>0</v>
      </c>
      <c r="G11" s="49">
        <v>0</v>
      </c>
      <c r="H11" s="49">
        <v>0</v>
      </c>
      <c r="I11" s="49">
        <v>0</v>
      </c>
      <c r="J11" s="49">
        <v>0</v>
      </c>
      <c r="K11" s="49">
        <v>4958.4799999999996</v>
      </c>
    </row>
    <row r="12" spans="1:11" x14ac:dyDescent="0.3">
      <c r="A12" s="36">
        <v>1.7</v>
      </c>
      <c r="B12" s="36" t="s">
        <v>45</v>
      </c>
      <c r="C12" s="48">
        <f t="shared" si="1"/>
        <v>2934051.44</v>
      </c>
      <c r="D12" s="49">
        <v>0</v>
      </c>
      <c r="E12" s="49">
        <v>68000.479999999996</v>
      </c>
      <c r="F12" s="49">
        <v>1979974.2599999998</v>
      </c>
      <c r="G12" s="49">
        <v>538398.66</v>
      </c>
      <c r="H12" s="49">
        <v>131348.61000000002</v>
      </c>
      <c r="I12" s="49">
        <v>169913.83000000002</v>
      </c>
      <c r="J12" s="49">
        <v>46415.600000000006</v>
      </c>
      <c r="K12" s="49">
        <v>0</v>
      </c>
    </row>
    <row r="13" spans="1:11" x14ac:dyDescent="0.3">
      <c r="A13" s="41">
        <v>2</v>
      </c>
      <c r="B13" s="35" t="s">
        <v>113</v>
      </c>
      <c r="C13" s="48">
        <f>SUM(D13:K13)</f>
        <v>17111776.419800002</v>
      </c>
      <c r="D13" s="48">
        <v>600621.05000000005</v>
      </c>
      <c r="E13" s="48">
        <v>337125.696</v>
      </c>
      <c r="F13" s="48">
        <v>4095770.7758999998</v>
      </c>
      <c r="G13" s="48">
        <v>6702319.5550999995</v>
      </c>
      <c r="H13" s="48">
        <v>3339756.1528000003</v>
      </c>
      <c r="I13" s="48">
        <v>823037.33000000007</v>
      </c>
      <c r="J13" s="48">
        <v>615746.22</v>
      </c>
      <c r="K13" s="48">
        <v>597399.64</v>
      </c>
    </row>
    <row r="14" spans="1:11" x14ac:dyDescent="0.3">
      <c r="A14" s="41">
        <v>3</v>
      </c>
      <c r="B14" s="35" t="s">
        <v>9</v>
      </c>
      <c r="C14" s="48">
        <f>SUM(C5,C13)</f>
        <v>1555692957.7673197</v>
      </c>
      <c r="D14" s="48">
        <f t="shared" ref="D14:K14" si="2">SUM(D5,D13)</f>
        <v>6890879.1370000001</v>
      </c>
      <c r="E14" s="48">
        <f t="shared" si="2"/>
        <v>10534093.084734</v>
      </c>
      <c r="F14" s="48">
        <f t="shared" si="2"/>
        <v>859004836.06864941</v>
      </c>
      <c r="G14" s="48">
        <f t="shared" si="2"/>
        <v>265770994.64156908</v>
      </c>
      <c r="H14" s="48">
        <f t="shared" si="2"/>
        <v>70883454.667902991</v>
      </c>
      <c r="I14" s="48">
        <f t="shared" si="2"/>
        <v>81602004.183939025</v>
      </c>
      <c r="J14" s="48">
        <f t="shared" si="2"/>
        <v>101470565.01719995</v>
      </c>
      <c r="K14" s="48">
        <f t="shared" si="2"/>
        <v>159536130.96632519</v>
      </c>
    </row>
    <row r="15" spans="1:11" x14ac:dyDescent="0.3">
      <c r="C15" s="38"/>
    </row>
    <row r="16" spans="1:11" x14ac:dyDescent="0.3">
      <c r="C16" s="38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opLeftCell="C1" zoomScale="80" zoomScaleNormal="80" workbookViewId="0">
      <selection activeCell="C11" sqref="C11"/>
    </sheetView>
  </sheetViews>
  <sheetFormatPr defaultColWidth="9.08984375" defaultRowHeight="12" x14ac:dyDescent="0.3"/>
  <cols>
    <col min="1" max="1" width="10" style="29" bestFit="1" customWidth="1"/>
    <col min="2" max="2" width="38.1796875" style="29" customWidth="1"/>
    <col min="3" max="3" width="13.54296875" style="29" customWidth="1"/>
    <col min="4" max="4" width="15.54296875" style="29" customWidth="1"/>
    <col min="5" max="5" width="14.36328125" style="29" bestFit="1" customWidth="1"/>
    <col min="6" max="6" width="15" style="29" bestFit="1" customWidth="1"/>
    <col min="7" max="7" width="22.08984375" style="29" bestFit="1" customWidth="1"/>
    <col min="8" max="8" width="19.36328125" style="29" customWidth="1"/>
    <col min="9" max="9" width="22.54296875" style="29" customWidth="1"/>
    <col min="10" max="10" width="21.6328125" style="29" customWidth="1"/>
    <col min="11" max="11" width="20.1796875" style="29" bestFit="1" customWidth="1"/>
    <col min="12" max="12" width="17.1796875" style="29" bestFit="1" customWidth="1"/>
    <col min="13" max="13" width="21.08984375" style="29" customWidth="1"/>
    <col min="14" max="14" width="5.6328125" style="29" customWidth="1"/>
    <col min="15" max="15" width="23.08984375" style="29" bestFit="1" customWidth="1"/>
    <col min="16" max="16384" width="9.08984375" style="29"/>
  </cols>
  <sheetData>
    <row r="1" spans="1:12" x14ac:dyDescent="0.3">
      <c r="A1" s="30" t="s">
        <v>0</v>
      </c>
      <c r="B1" s="31" t="s">
        <v>109</v>
      </c>
    </row>
    <row r="2" spans="1:12" x14ac:dyDescent="0.3">
      <c r="A2" s="30" t="s">
        <v>2</v>
      </c>
      <c r="B2" s="45">
        <f>DATE(MID("31/03/2025",7,4),MID("31/03/2025",4,2),MID("31/03/2025",1,2))</f>
        <v>45747</v>
      </c>
    </row>
    <row r="3" spans="1:12" ht="15" customHeight="1" x14ac:dyDescent="0.3">
      <c r="C3" s="39"/>
      <c r="D3" s="39"/>
    </row>
    <row r="4" spans="1:12" ht="36" x14ac:dyDescent="0.3">
      <c r="A4" s="40"/>
      <c r="B4" s="40"/>
      <c r="C4" s="47" t="s">
        <v>95</v>
      </c>
      <c r="D4" s="47" t="s">
        <v>135</v>
      </c>
      <c r="E4" s="47" t="s">
        <v>136</v>
      </c>
      <c r="F4" s="47" t="s">
        <v>137</v>
      </c>
      <c r="G4" s="47" t="s">
        <v>138</v>
      </c>
      <c r="H4" s="47" t="s">
        <v>139</v>
      </c>
      <c r="I4" s="47" t="s">
        <v>140</v>
      </c>
      <c r="J4" s="47" t="s">
        <v>141</v>
      </c>
      <c r="K4" s="47" t="s">
        <v>142</v>
      </c>
      <c r="L4" s="47" t="s">
        <v>143</v>
      </c>
    </row>
    <row r="5" spans="1:12" x14ac:dyDescent="0.3">
      <c r="A5" s="41">
        <v>1</v>
      </c>
      <c r="B5" s="35" t="s">
        <v>112</v>
      </c>
      <c r="C5" s="48">
        <f>SUM(C6:C12)</f>
        <v>1538581181.2109151</v>
      </c>
      <c r="D5" s="48">
        <f>SUM(D6:D12)</f>
        <v>1055338574.04182</v>
      </c>
      <c r="E5" s="48">
        <f t="shared" ref="E5:L5" si="0">SUM(E6:E12)</f>
        <v>108708511.70883201</v>
      </c>
      <c r="F5" s="48">
        <f t="shared" si="0"/>
        <v>283888157.987216</v>
      </c>
      <c r="G5" s="48">
        <f t="shared" si="0"/>
        <v>41267541.394219995</v>
      </c>
      <c r="H5" s="48">
        <f t="shared" si="0"/>
        <v>0</v>
      </c>
      <c r="I5" s="48">
        <f t="shared" si="0"/>
        <v>0</v>
      </c>
      <c r="J5" s="48">
        <f t="shared" si="0"/>
        <v>0</v>
      </c>
      <c r="K5" s="48">
        <f t="shared" si="0"/>
        <v>428449.23219000001</v>
      </c>
      <c r="L5" s="48">
        <f t="shared" si="0"/>
        <v>48949946.846637011</v>
      </c>
    </row>
    <row r="6" spans="1:12" x14ac:dyDescent="0.3">
      <c r="A6" s="36">
        <v>1.1000000000000001</v>
      </c>
      <c r="B6" s="36" t="s">
        <v>39</v>
      </c>
      <c r="C6" s="48">
        <f>SUM(D6:L6)</f>
        <v>74707162.791246012</v>
      </c>
      <c r="D6" s="49">
        <v>0</v>
      </c>
      <c r="E6" s="49">
        <v>29219785.922346</v>
      </c>
      <c r="F6" s="49">
        <v>2733365.4400000004</v>
      </c>
      <c r="G6" s="49">
        <v>16031740.558899999</v>
      </c>
      <c r="H6" s="49">
        <v>0</v>
      </c>
      <c r="I6" s="49">
        <v>0</v>
      </c>
      <c r="J6" s="49">
        <v>0</v>
      </c>
      <c r="K6" s="49">
        <v>0</v>
      </c>
      <c r="L6" s="49">
        <v>26722270.870000008</v>
      </c>
    </row>
    <row r="7" spans="1:12" x14ac:dyDescent="0.3">
      <c r="A7" s="36">
        <v>1.2</v>
      </c>
      <c r="B7" s="36" t="s">
        <v>40</v>
      </c>
      <c r="C7" s="48">
        <f t="shared" ref="C7:C12" si="1">SUM(D7:L7)</f>
        <v>239703745.78244898</v>
      </c>
      <c r="D7" s="49">
        <v>0</v>
      </c>
      <c r="E7" s="49">
        <v>62294068.546485998</v>
      </c>
      <c r="F7" s="49">
        <v>165710529.89721599</v>
      </c>
      <c r="G7" s="49">
        <v>1893039.7999199997</v>
      </c>
      <c r="H7" s="49">
        <v>0</v>
      </c>
      <c r="I7" s="49">
        <v>0</v>
      </c>
      <c r="J7" s="49">
        <v>0</v>
      </c>
      <c r="K7" s="49">
        <v>202433.93218999999</v>
      </c>
      <c r="L7" s="49">
        <v>9603673.606637001</v>
      </c>
    </row>
    <row r="8" spans="1:12" x14ac:dyDescent="0.3">
      <c r="A8" s="36">
        <v>1.3</v>
      </c>
      <c r="B8" s="36" t="s">
        <v>41</v>
      </c>
      <c r="C8" s="48">
        <f t="shared" si="1"/>
        <v>49017863.925400004</v>
      </c>
      <c r="D8" s="49">
        <v>0</v>
      </c>
      <c r="E8" s="49">
        <v>14089714.650000002</v>
      </c>
      <c r="F8" s="49">
        <v>378974.97000000003</v>
      </c>
      <c r="G8" s="49">
        <v>22476617.355399996</v>
      </c>
      <c r="H8" s="49">
        <v>0</v>
      </c>
      <c r="I8" s="49">
        <v>0</v>
      </c>
      <c r="J8" s="49">
        <v>0</v>
      </c>
      <c r="K8" s="49">
        <v>0</v>
      </c>
      <c r="L8" s="49">
        <v>12072556.950000007</v>
      </c>
    </row>
    <row r="9" spans="1:12" x14ac:dyDescent="0.3">
      <c r="A9" s="36">
        <v>1.4</v>
      </c>
      <c r="B9" s="36" t="s">
        <v>42</v>
      </c>
      <c r="C9" s="48">
        <f t="shared" si="1"/>
        <v>22875.15</v>
      </c>
      <c r="D9" s="49">
        <v>0</v>
      </c>
      <c r="E9" s="49">
        <v>0</v>
      </c>
      <c r="F9" s="49">
        <v>0</v>
      </c>
      <c r="G9" s="49">
        <v>0</v>
      </c>
      <c r="H9" s="49">
        <v>0</v>
      </c>
      <c r="I9" s="49">
        <v>0</v>
      </c>
      <c r="J9" s="49">
        <v>0</v>
      </c>
      <c r="K9" s="49">
        <v>0</v>
      </c>
      <c r="L9" s="49">
        <v>22875.15</v>
      </c>
    </row>
    <row r="10" spans="1:12" x14ac:dyDescent="0.3">
      <c r="A10" s="36">
        <v>1.5</v>
      </c>
      <c r="B10" s="36" t="s">
        <v>43</v>
      </c>
      <c r="C10" s="48">
        <f t="shared" si="1"/>
        <v>1172139307.2618201</v>
      </c>
      <c r="D10" s="49">
        <v>1055338574.04182</v>
      </c>
      <c r="E10" s="49">
        <v>1317802.3999999999</v>
      </c>
      <c r="F10" s="49">
        <v>115056006.31000002</v>
      </c>
      <c r="G10" s="49">
        <v>0</v>
      </c>
      <c r="H10" s="49">
        <v>0</v>
      </c>
      <c r="I10" s="49">
        <v>0</v>
      </c>
      <c r="J10" s="49">
        <v>0</v>
      </c>
      <c r="K10" s="49">
        <v>226015.3</v>
      </c>
      <c r="L10" s="49">
        <v>200909.21</v>
      </c>
    </row>
    <row r="11" spans="1:12" x14ac:dyDescent="0.3">
      <c r="A11" s="36">
        <v>1.6</v>
      </c>
      <c r="B11" s="36" t="s">
        <v>44</v>
      </c>
      <c r="C11" s="48">
        <f t="shared" si="1"/>
        <v>56174.859999999993</v>
      </c>
      <c r="D11" s="49">
        <v>0</v>
      </c>
      <c r="E11" s="49">
        <v>0</v>
      </c>
      <c r="F11" s="49">
        <v>0</v>
      </c>
      <c r="G11" s="49">
        <v>0</v>
      </c>
      <c r="H11" s="49">
        <v>0</v>
      </c>
      <c r="I11" s="49">
        <v>0</v>
      </c>
      <c r="J11" s="49">
        <v>0</v>
      </c>
      <c r="K11" s="49">
        <v>0</v>
      </c>
      <c r="L11" s="49">
        <v>56174.859999999993</v>
      </c>
    </row>
    <row r="12" spans="1:12" x14ac:dyDescent="0.3">
      <c r="A12" s="36">
        <v>1.7</v>
      </c>
      <c r="B12" s="36" t="s">
        <v>45</v>
      </c>
      <c r="C12" s="48">
        <f t="shared" si="1"/>
        <v>2934051.44</v>
      </c>
      <c r="D12" s="49">
        <v>0</v>
      </c>
      <c r="E12" s="49">
        <v>1787140.19</v>
      </c>
      <c r="F12" s="49">
        <v>9281.3700000000008</v>
      </c>
      <c r="G12" s="49">
        <v>866143.67999999982</v>
      </c>
      <c r="H12" s="49">
        <v>0</v>
      </c>
      <c r="I12" s="49">
        <v>0</v>
      </c>
      <c r="J12" s="49">
        <v>0</v>
      </c>
      <c r="K12" s="49">
        <v>0</v>
      </c>
      <c r="L12" s="49">
        <v>271486.20000000007</v>
      </c>
    </row>
    <row r="13" spans="1:12" x14ac:dyDescent="0.3">
      <c r="A13" s="41">
        <v>2</v>
      </c>
      <c r="B13" s="35" t="s">
        <v>113</v>
      </c>
      <c r="C13" s="48">
        <v>17111776.419800002</v>
      </c>
      <c r="D13" s="48">
        <v>0</v>
      </c>
      <c r="E13" s="48">
        <v>12165541.173799999</v>
      </c>
      <c r="F13" s="48">
        <v>1276880.0399999998</v>
      </c>
      <c r="G13" s="48">
        <v>726090.77599999995</v>
      </c>
      <c r="H13" s="48">
        <v>0</v>
      </c>
      <c r="I13" s="48">
        <v>0</v>
      </c>
      <c r="J13" s="48">
        <v>0</v>
      </c>
      <c r="K13" s="48">
        <v>52550.86</v>
      </c>
      <c r="L13" s="48">
        <v>2890713.57</v>
      </c>
    </row>
    <row r="14" spans="1:12" x14ac:dyDescent="0.3">
      <c r="A14" s="41">
        <v>3</v>
      </c>
      <c r="B14" s="35" t="s">
        <v>9</v>
      </c>
      <c r="C14" s="48">
        <f>SUM(C5,C13)</f>
        <v>1555692957.6307151</v>
      </c>
      <c r="D14" s="48">
        <f t="shared" ref="D14:L14" si="2">SUM(D5,D13)</f>
        <v>1055338574.04182</v>
      </c>
      <c r="E14" s="48">
        <f t="shared" si="2"/>
        <v>120874052.88263202</v>
      </c>
      <c r="F14" s="48">
        <f t="shared" si="2"/>
        <v>285165038.02721602</v>
      </c>
      <c r="G14" s="48">
        <f t="shared" si="2"/>
        <v>41993632.170219995</v>
      </c>
      <c r="H14" s="48">
        <f t="shared" si="2"/>
        <v>0</v>
      </c>
      <c r="I14" s="48">
        <f t="shared" si="2"/>
        <v>0</v>
      </c>
      <c r="J14" s="48">
        <f t="shared" si="2"/>
        <v>0</v>
      </c>
      <c r="K14" s="48">
        <f t="shared" si="2"/>
        <v>481000.09219</v>
      </c>
      <c r="L14" s="48">
        <f t="shared" si="2"/>
        <v>51840660.416637011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zoomScale="90" zoomScaleNormal="90" workbookViewId="0">
      <selection activeCell="E11" sqref="E11"/>
    </sheetView>
  </sheetViews>
  <sheetFormatPr defaultColWidth="9.08984375" defaultRowHeight="12" x14ac:dyDescent="0.3"/>
  <cols>
    <col min="1" max="1" width="13.54296875" style="29" customWidth="1"/>
    <col min="2" max="2" width="56" style="29" bestFit="1" customWidth="1"/>
    <col min="3" max="3" width="13.36328125" style="29" customWidth="1"/>
    <col min="4" max="4" width="28.08984375" style="29" customWidth="1"/>
    <col min="5" max="5" width="27.54296875" style="29" customWidth="1"/>
    <col min="6" max="6" width="18" style="29" customWidth="1"/>
    <col min="7" max="7" width="21.08984375" style="29" customWidth="1"/>
    <col min="8" max="8" width="5.6328125" style="29" customWidth="1"/>
    <col min="9" max="9" width="23.08984375" style="29" bestFit="1" customWidth="1"/>
    <col min="10" max="16384" width="9.08984375" style="29"/>
  </cols>
  <sheetData>
    <row r="1" spans="1:3" x14ac:dyDescent="0.3">
      <c r="A1" s="30" t="s">
        <v>0</v>
      </c>
      <c r="B1" s="31" t="s">
        <v>109</v>
      </c>
    </row>
    <row r="2" spans="1:3" x14ac:dyDescent="0.3">
      <c r="A2" s="30" t="s">
        <v>2</v>
      </c>
      <c r="B2" s="45">
        <f>DATE(MID("31/03/2025",7,4),MID("31/03/2025",4,2),MID("31/03/2025",1,2))</f>
        <v>45747</v>
      </c>
    </row>
    <row r="3" spans="1:3" ht="15" customHeight="1" x14ac:dyDescent="0.3">
      <c r="C3" s="39"/>
    </row>
    <row r="4" spans="1:3" x14ac:dyDescent="0.3">
      <c r="A4" s="44"/>
      <c r="B4" s="44"/>
      <c r="C4" s="24" t="s">
        <v>126</v>
      </c>
    </row>
    <row r="5" spans="1:3" x14ac:dyDescent="0.3">
      <c r="A5" s="36">
        <v>1</v>
      </c>
      <c r="B5" s="50" t="s">
        <v>127</v>
      </c>
      <c r="C5" s="49">
        <v>1441565260.2010808</v>
      </c>
    </row>
    <row r="6" spans="1:3" x14ac:dyDescent="0.3">
      <c r="A6" s="36">
        <v>2</v>
      </c>
      <c r="B6" s="50" t="s">
        <v>128</v>
      </c>
      <c r="C6" s="49">
        <v>54885644.963118002</v>
      </c>
    </row>
    <row r="7" spans="1:3" x14ac:dyDescent="0.3">
      <c r="A7" s="36">
        <v>3</v>
      </c>
      <c r="B7" s="50" t="s">
        <v>129</v>
      </c>
      <c r="C7" s="49">
        <v>17706817.868999001</v>
      </c>
    </row>
    <row r="8" spans="1:3" x14ac:dyDescent="0.3">
      <c r="A8" s="36">
        <v>4</v>
      </c>
      <c r="B8" s="50" t="s">
        <v>130</v>
      </c>
      <c r="C8" s="49">
        <v>9918094.4463039991</v>
      </c>
    </row>
    <row r="9" spans="1:3" x14ac:dyDescent="0.3">
      <c r="A9" s="36">
        <v>5</v>
      </c>
      <c r="B9" s="50" t="s">
        <v>131</v>
      </c>
      <c r="C9" s="49">
        <v>4203617.105690999</v>
      </c>
    </row>
    <row r="10" spans="1:3" x14ac:dyDescent="0.3">
      <c r="A10" s="36">
        <v>6</v>
      </c>
      <c r="B10" s="50" t="s">
        <v>132</v>
      </c>
      <c r="C10" s="49">
        <v>1948022.0050570001</v>
      </c>
    </row>
    <row r="11" spans="1:3" x14ac:dyDescent="0.3">
      <c r="A11" s="36">
        <v>7</v>
      </c>
      <c r="B11" s="50" t="s">
        <v>133</v>
      </c>
      <c r="C11" s="49">
        <v>1400572.404166</v>
      </c>
    </row>
    <row r="12" spans="1:3" x14ac:dyDescent="0.3">
      <c r="A12" s="36">
        <v>8</v>
      </c>
      <c r="B12" s="50" t="s">
        <v>134</v>
      </c>
      <c r="C12" s="49">
        <v>24064928.886399008</v>
      </c>
    </row>
    <row r="13" spans="1:3" x14ac:dyDescent="0.3">
      <c r="A13" s="44"/>
      <c r="B13" s="51" t="s">
        <v>95</v>
      </c>
      <c r="C13" s="48">
        <f>SUM(C5:C12)</f>
        <v>1555692957.880815</v>
      </c>
    </row>
    <row r="15" spans="1:3" x14ac:dyDescent="0.3">
      <c r="C15" s="3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zoomScale="90" zoomScaleNormal="90" workbookViewId="0">
      <selection activeCell="C8" sqref="C8"/>
    </sheetView>
  </sheetViews>
  <sheetFormatPr defaultColWidth="9.08984375" defaultRowHeight="12" x14ac:dyDescent="0.3"/>
  <cols>
    <col min="1" max="1" width="13.54296875" style="29" customWidth="1"/>
    <col min="2" max="2" width="41.81640625" style="29" customWidth="1"/>
    <col min="3" max="3" width="15.08984375" style="29" customWidth="1"/>
    <col min="4" max="4" width="14.453125" style="29" customWidth="1"/>
    <col min="5" max="5" width="20.81640625" style="29" customWidth="1"/>
    <col min="6" max="6" width="17.453125" style="29" bestFit="1" customWidth="1"/>
    <col min="7" max="7" width="14.54296875" style="29" customWidth="1"/>
    <col min="8" max="8" width="16.1796875" style="29" customWidth="1"/>
    <col min="9" max="9" width="27.54296875" style="29" customWidth="1"/>
    <col min="10" max="10" width="18" style="29" customWidth="1"/>
    <col min="11" max="11" width="21.08984375" style="29" customWidth="1"/>
    <col min="12" max="12" width="5.6328125" style="29" customWidth="1"/>
    <col min="13" max="13" width="23.08984375" style="29" bestFit="1" customWidth="1"/>
    <col min="14" max="16384" width="9.08984375" style="29"/>
  </cols>
  <sheetData>
    <row r="1" spans="1:8" x14ac:dyDescent="0.3">
      <c r="A1" s="30" t="s">
        <v>0</v>
      </c>
      <c r="B1" s="31" t="s">
        <v>109</v>
      </c>
    </row>
    <row r="2" spans="1:8" x14ac:dyDescent="0.3">
      <c r="A2" s="30" t="s">
        <v>2</v>
      </c>
      <c r="B2" s="45">
        <f>DATE(MID("31/03/2025",7,4),MID("31/03/2025",4,2),MID("31/03/2025",1,2))</f>
        <v>45747</v>
      </c>
    </row>
    <row r="3" spans="1:8" ht="15" customHeight="1" x14ac:dyDescent="0.3">
      <c r="C3" s="39"/>
      <c r="D3" s="39"/>
    </row>
    <row r="4" spans="1:8" ht="24" x14ac:dyDescent="0.3">
      <c r="A4" s="40"/>
      <c r="B4" s="40"/>
      <c r="C4" s="47" t="s">
        <v>95</v>
      </c>
      <c r="D4" s="47" t="s">
        <v>144</v>
      </c>
      <c r="E4" s="47" t="s">
        <v>145</v>
      </c>
      <c r="F4" s="47" t="s">
        <v>146</v>
      </c>
      <c r="G4" s="47" t="s">
        <v>147</v>
      </c>
      <c r="H4" s="47" t="s">
        <v>148</v>
      </c>
    </row>
    <row r="5" spans="1:8" x14ac:dyDescent="0.3">
      <c r="A5" s="41">
        <v>1</v>
      </c>
      <c r="B5" s="35" t="s">
        <v>112</v>
      </c>
      <c r="C5" s="27">
        <f>SUM(C6:C12)</f>
        <v>1538581180.7760184</v>
      </c>
      <c r="D5" s="54">
        <f>SUM(D6:D12)</f>
        <v>1411806706.1104655</v>
      </c>
      <c r="E5" s="54">
        <f t="shared" ref="E5:H5" si="0">SUM(E6:E12)</f>
        <v>65234815.836316995</v>
      </c>
      <c r="F5" s="54">
        <f t="shared" si="0"/>
        <v>29827219.684651989</v>
      </c>
      <c r="G5" s="54">
        <f t="shared" si="0"/>
        <v>5303909.8312879996</v>
      </c>
      <c r="H5" s="54">
        <f t="shared" si="0"/>
        <v>26408529.31329602</v>
      </c>
    </row>
    <row r="6" spans="1:8" x14ac:dyDescent="0.3">
      <c r="A6" s="36">
        <v>1.1000000000000001</v>
      </c>
      <c r="B6" s="36" t="s">
        <v>39</v>
      </c>
      <c r="C6" s="27">
        <f>SUM(D6:H6)</f>
        <v>74707162.596646026</v>
      </c>
      <c r="D6" s="55">
        <v>70318450.997746006</v>
      </c>
      <c r="E6" s="55">
        <v>1391529.5899999999</v>
      </c>
      <c r="F6" s="55">
        <v>995021.62000000011</v>
      </c>
      <c r="G6" s="55">
        <v>399669.36999999994</v>
      </c>
      <c r="H6" s="55">
        <v>1602491.0189000003</v>
      </c>
    </row>
    <row r="7" spans="1:8" x14ac:dyDescent="0.3">
      <c r="A7" s="36">
        <v>1.2</v>
      </c>
      <c r="B7" s="36" t="s">
        <v>40</v>
      </c>
      <c r="C7" s="27">
        <f t="shared" ref="C7:C12" si="1">SUM(D7:H7)</f>
        <v>239703745.56484959</v>
      </c>
      <c r="D7" s="55">
        <v>203063360.93815055</v>
      </c>
      <c r="E7" s="55">
        <v>14032573.964748001</v>
      </c>
      <c r="F7" s="55">
        <v>4446795.9452520004</v>
      </c>
      <c r="G7" s="55">
        <v>1805437.628024</v>
      </c>
      <c r="H7" s="55">
        <v>16355577.08867502</v>
      </c>
    </row>
    <row r="8" spans="1:8" x14ac:dyDescent="0.3">
      <c r="A8" s="36">
        <v>1.3</v>
      </c>
      <c r="B8" s="36" t="s">
        <v>41</v>
      </c>
      <c r="C8" s="27">
        <f t="shared" si="1"/>
        <v>49017863.925399914</v>
      </c>
      <c r="D8" s="55">
        <v>45579474.445399918</v>
      </c>
      <c r="E8" s="55">
        <v>1153824.8700000001</v>
      </c>
      <c r="F8" s="55">
        <v>682043.47000000009</v>
      </c>
      <c r="G8" s="55">
        <v>314901.85000000003</v>
      </c>
      <c r="H8" s="55">
        <v>1287619.29</v>
      </c>
    </row>
    <row r="9" spans="1:8" x14ac:dyDescent="0.3">
      <c r="A9" s="36">
        <v>1.4</v>
      </c>
      <c r="B9" s="36" t="s">
        <v>42</v>
      </c>
      <c r="C9" s="27">
        <f t="shared" si="1"/>
        <v>22875.15</v>
      </c>
      <c r="D9" s="55">
        <v>0</v>
      </c>
      <c r="E9" s="55">
        <v>0</v>
      </c>
      <c r="F9" s="55">
        <v>0</v>
      </c>
      <c r="G9" s="55">
        <v>0</v>
      </c>
      <c r="H9" s="55">
        <v>22875.15</v>
      </c>
    </row>
    <row r="10" spans="1:8" x14ac:dyDescent="0.3">
      <c r="A10" s="36">
        <v>1.5</v>
      </c>
      <c r="B10" s="36" t="s">
        <v>43</v>
      </c>
      <c r="C10" s="27">
        <f t="shared" si="1"/>
        <v>1172139307.2391229</v>
      </c>
      <c r="D10" s="55">
        <v>1090353162.2091689</v>
      </c>
      <c r="E10" s="55">
        <v>48494693.421568997</v>
      </c>
      <c r="F10" s="55">
        <v>23590031.90939999</v>
      </c>
      <c r="G10" s="55">
        <v>2705192.783263999</v>
      </c>
      <c r="H10" s="55">
        <v>6996226.9157209983</v>
      </c>
    </row>
    <row r="11" spans="1:8" x14ac:dyDescent="0.3">
      <c r="A11" s="36">
        <v>1.6</v>
      </c>
      <c r="B11" s="36" t="s">
        <v>44</v>
      </c>
      <c r="C11" s="27">
        <f t="shared" si="1"/>
        <v>56174.859999999993</v>
      </c>
      <c r="D11" s="55">
        <v>55965.999999999993</v>
      </c>
      <c r="E11" s="55">
        <v>0</v>
      </c>
      <c r="F11" s="55">
        <v>208.86</v>
      </c>
      <c r="G11" s="55">
        <v>0</v>
      </c>
      <c r="H11" s="55">
        <v>0</v>
      </c>
    </row>
    <row r="12" spans="1:8" x14ac:dyDescent="0.3">
      <c r="A12" s="36">
        <v>1.7</v>
      </c>
      <c r="B12" s="36" t="s">
        <v>45</v>
      </c>
      <c r="C12" s="27">
        <f t="shared" si="1"/>
        <v>2934051.44</v>
      </c>
      <c r="D12" s="55">
        <v>2436291.5199999996</v>
      </c>
      <c r="E12" s="55">
        <v>162193.99</v>
      </c>
      <c r="F12" s="55">
        <v>113117.88</v>
      </c>
      <c r="G12" s="55">
        <v>78708.2</v>
      </c>
      <c r="H12" s="55">
        <v>143739.85</v>
      </c>
    </row>
    <row r="13" spans="1:8" x14ac:dyDescent="0.3">
      <c r="A13" s="41">
        <v>2</v>
      </c>
      <c r="B13" s="35" t="s">
        <v>113</v>
      </c>
      <c r="C13" s="27">
        <f>SUM(D13:H13)</f>
        <v>17111777.419800002</v>
      </c>
      <c r="D13" s="54">
        <v>12218768.200000003</v>
      </c>
      <c r="E13" s="54">
        <v>1643694.0607</v>
      </c>
      <c r="F13" s="54">
        <v>561002.76599999995</v>
      </c>
      <c r="G13" s="54">
        <v>254092.68</v>
      </c>
      <c r="H13" s="54">
        <v>2434219.7130999998</v>
      </c>
    </row>
    <row r="14" spans="1:8" x14ac:dyDescent="0.3">
      <c r="A14" s="41">
        <v>3</v>
      </c>
      <c r="B14" s="35" t="s">
        <v>9</v>
      </c>
      <c r="C14" s="27">
        <f>C5+C13</f>
        <v>1555692958.1958184</v>
      </c>
      <c r="D14" s="54">
        <f>SUM(D13,D5)</f>
        <v>1424025474.3104656</v>
      </c>
      <c r="E14" s="54">
        <f t="shared" ref="E14:H14" si="2">SUM(E13,E5)</f>
        <v>66878509.897016995</v>
      </c>
      <c r="F14" s="54">
        <f t="shared" si="2"/>
        <v>30388222.450651988</v>
      </c>
      <c r="G14" s="54">
        <f t="shared" si="2"/>
        <v>5558002.5112879993</v>
      </c>
      <c r="H14" s="54">
        <f t="shared" si="2"/>
        <v>28842749.026396021</v>
      </c>
    </row>
    <row r="15" spans="1:8" x14ac:dyDescent="0.3">
      <c r="C15" s="38"/>
    </row>
    <row r="16" spans="1:8" x14ac:dyDescent="0.3">
      <c r="C16" s="38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topLeftCell="A25" zoomScale="90" zoomScaleNormal="90" workbookViewId="0">
      <selection activeCell="G5" sqref="G5"/>
    </sheetView>
  </sheetViews>
  <sheetFormatPr defaultColWidth="9.08984375" defaultRowHeight="12" outlineLevelRow="1" x14ac:dyDescent="0.3"/>
  <cols>
    <col min="1" max="1" width="7" style="2" customWidth="1"/>
    <col min="2" max="2" width="41" style="2" customWidth="1"/>
    <col min="3" max="3" width="15.54296875" style="2" customWidth="1"/>
    <col min="4" max="4" width="13.90625" style="2" customWidth="1"/>
    <col min="5" max="6" width="9.08984375" style="2"/>
    <col min="7" max="7" width="16.08984375" style="2" bestFit="1" customWidth="1"/>
    <col min="8" max="8" width="24.90625" style="2" customWidth="1"/>
    <col min="9" max="9" width="20.54296875" style="2" customWidth="1"/>
    <col min="10" max="16384" width="9.08984375" style="2"/>
  </cols>
  <sheetData>
    <row r="1" spans="1:4" ht="32.25" customHeight="1" thickBot="1" x14ac:dyDescent="0.35">
      <c r="A1" s="61" t="s">
        <v>114</v>
      </c>
      <c r="B1" s="62"/>
      <c r="C1" s="65">
        <v>2025</v>
      </c>
      <c r="D1" s="66"/>
    </row>
    <row r="2" spans="1:4" ht="28.5" customHeight="1" thickBot="1" x14ac:dyDescent="0.35">
      <c r="A2" s="63"/>
      <c r="B2" s="64"/>
      <c r="C2" s="65" t="s">
        <v>153</v>
      </c>
      <c r="D2" s="66"/>
    </row>
    <row r="3" spans="1:4" ht="15" customHeight="1" x14ac:dyDescent="0.3">
      <c r="A3" s="42">
        <v>0</v>
      </c>
      <c r="B3" s="67" t="s">
        <v>115</v>
      </c>
      <c r="C3" s="69" t="s">
        <v>116</v>
      </c>
      <c r="D3" s="71" t="s">
        <v>117</v>
      </c>
    </row>
    <row r="4" spans="1:4" ht="107.25" customHeight="1" x14ac:dyDescent="0.3">
      <c r="A4" s="43">
        <v>0</v>
      </c>
      <c r="B4" s="68"/>
      <c r="C4" s="70"/>
      <c r="D4" s="72"/>
    </row>
    <row r="5" spans="1:4" outlineLevel="1" x14ac:dyDescent="0.3">
      <c r="A5" s="44">
        <f t="shared" ref="A5:A33" si="0">A4+1</f>
        <v>1</v>
      </c>
      <c r="B5" s="44" t="str">
        <f>"მიკროსაფინანსო ორგანიზაცია რიკო ექსპრესი"</f>
        <v>მიკროსაფინანსო ორგანიზაცია რიკო ექსპრესი</v>
      </c>
      <c r="C5" s="49">
        <v>762</v>
      </c>
      <c r="D5" s="49">
        <v>68</v>
      </c>
    </row>
    <row r="6" spans="1:4" ht="12" customHeight="1" outlineLevel="1" x14ac:dyDescent="0.3">
      <c r="A6" s="44">
        <f t="shared" si="0"/>
        <v>2</v>
      </c>
      <c r="B6" s="44" t="str">
        <f>"მიკროსაფინანსო ორგანიზაცია სვის კაპიტალი"</f>
        <v>მიკროსაფინანსო ორგანიზაცია სვის კაპიტალი</v>
      </c>
      <c r="C6" s="49">
        <v>495</v>
      </c>
      <c r="D6" s="49">
        <v>35</v>
      </c>
    </row>
    <row r="7" spans="1:4" ht="12" customHeight="1" outlineLevel="1" x14ac:dyDescent="0.3">
      <c r="A7" s="44">
        <f t="shared" si="0"/>
        <v>3</v>
      </c>
      <c r="B7" s="44" t="str">
        <f>"მიკროსაფინანსო ორგანიზაცია ლაზიკა კაპიტალი"</f>
        <v>მიკროსაფინანსო ორგანიზაცია ლაზიკა კაპიტალი</v>
      </c>
      <c r="C7" s="49">
        <v>407</v>
      </c>
      <c r="D7" s="49">
        <v>19</v>
      </c>
    </row>
    <row r="8" spans="1:4" ht="12" customHeight="1" outlineLevel="1" x14ac:dyDescent="0.3">
      <c r="A8" s="44">
        <f t="shared" si="0"/>
        <v>4</v>
      </c>
      <c r="B8" s="44" t="str">
        <f>"მისო ლიდერკრედიტი"</f>
        <v>მისო ლიდერკრედიტი</v>
      </c>
      <c r="C8" s="49">
        <v>373</v>
      </c>
      <c r="D8" s="49">
        <v>48</v>
      </c>
    </row>
    <row r="9" spans="1:4" ht="12" customHeight="1" outlineLevel="1" x14ac:dyDescent="0.3">
      <c r="A9" s="44">
        <f>A8+1</f>
        <v>5</v>
      </c>
      <c r="B9" s="44" t="str">
        <f>"მიკროსაფინანსო ორგანიზაცია კრედიტსერვისი +"</f>
        <v>მიკროსაფინანსო ორგანიზაცია კრედიტსერვისი +</v>
      </c>
      <c r="C9" s="49">
        <v>335</v>
      </c>
      <c r="D9" s="49">
        <v>50</v>
      </c>
    </row>
    <row r="10" spans="1:4" ht="12" customHeight="1" outlineLevel="1" x14ac:dyDescent="0.3">
      <c r="A10" s="44">
        <f t="shared" si="0"/>
        <v>6</v>
      </c>
      <c r="B10" s="44" t="str">
        <f>"მისო ინტელექსპრესი"</f>
        <v>მისო ინტელექსპრესი</v>
      </c>
      <c r="C10" s="49">
        <v>225</v>
      </c>
      <c r="D10" s="49">
        <v>22</v>
      </c>
    </row>
    <row r="11" spans="1:4" ht="12" customHeight="1" outlineLevel="1" x14ac:dyDescent="0.3">
      <c r="A11" s="44">
        <f t="shared" si="0"/>
        <v>7</v>
      </c>
      <c r="B11" s="44" t="str">
        <f>" მიკროსაფინანსო ორგანიზაცია სტანდარტ ფინანსი"</f>
        <v xml:space="preserve"> მიკროსაფინანსო ორგანიზაცია სტანდარტ ფინანსი</v>
      </c>
      <c r="C11" s="49">
        <v>138</v>
      </c>
      <c r="D11" s="49">
        <v>16</v>
      </c>
    </row>
    <row r="12" spans="1:4" ht="12" customHeight="1" outlineLevel="1" x14ac:dyDescent="0.3">
      <c r="A12" s="44">
        <f t="shared" si="0"/>
        <v>8</v>
      </c>
      <c r="B12" s="44" t="str">
        <f>"მისო ევრო კრედიტი"</f>
        <v>მისო ევრო კრედიტი</v>
      </c>
      <c r="C12" s="49">
        <v>133</v>
      </c>
      <c r="D12" s="49">
        <v>21</v>
      </c>
    </row>
    <row r="13" spans="1:4" ht="12" customHeight="1" outlineLevel="1" x14ac:dyDescent="0.3">
      <c r="A13" s="44">
        <f t="shared" si="0"/>
        <v>9</v>
      </c>
      <c r="B13" s="44" t="str">
        <f>"მიკროსაფინანსო ორგანიზაცია სმარტ ფინანსი"</f>
        <v>მიკროსაფინანსო ორგანიზაცია სმარტ ფინანსი</v>
      </c>
      <c r="C13" s="49">
        <v>108</v>
      </c>
      <c r="D13" s="49">
        <v>12</v>
      </c>
    </row>
    <row r="14" spans="1:4" ht="12" customHeight="1" outlineLevel="1" x14ac:dyDescent="0.3">
      <c r="A14" s="44">
        <f t="shared" si="0"/>
        <v>10</v>
      </c>
      <c r="B14" s="44" t="str">
        <f>"მიკროსაფინანსო ორგანიზაცია ბერმელი"</f>
        <v>მიკროსაფინანსო ორგანიზაცია ბერმელი</v>
      </c>
      <c r="C14" s="49">
        <v>94</v>
      </c>
      <c r="D14" s="49">
        <v>25</v>
      </c>
    </row>
    <row r="15" spans="1:4" ht="12" customHeight="1" outlineLevel="1" x14ac:dyDescent="0.3">
      <c r="A15" s="44">
        <f t="shared" si="0"/>
        <v>11</v>
      </c>
      <c r="B15" s="44" t="str">
        <f>"მისო მონეტა ექსპრესი"</f>
        <v>მისო მონეტა ექსპრესი</v>
      </c>
      <c r="C15" s="49">
        <v>71</v>
      </c>
      <c r="D15" s="49">
        <v>9</v>
      </c>
    </row>
    <row r="16" spans="1:4" ht="12" customHeight="1" outlineLevel="1" x14ac:dyDescent="0.3">
      <c r="A16" s="44">
        <f t="shared" si="0"/>
        <v>12</v>
      </c>
      <c r="B16" s="44" t="str">
        <f>"მისო ქართული კრედიტი"</f>
        <v>მისო ქართული კრედიტი</v>
      </c>
      <c r="C16" s="49">
        <v>66</v>
      </c>
      <c r="D16" s="49">
        <v>8</v>
      </c>
    </row>
    <row r="17" spans="1:4" ht="12" customHeight="1" outlineLevel="1" x14ac:dyDescent="0.3">
      <c r="A17" s="44">
        <f t="shared" si="0"/>
        <v>13</v>
      </c>
      <c r="B17" s="44" t="str">
        <f>"მიკროსაფინანსო ორგანიზაცია გირო კრედიტი"</f>
        <v>მიკროსაფინანსო ორგანიზაცია გირო კრედიტი</v>
      </c>
      <c r="C17" s="49">
        <v>64</v>
      </c>
      <c r="D17" s="49">
        <v>8</v>
      </c>
    </row>
    <row r="18" spans="1:4" ht="12" customHeight="1" outlineLevel="1" x14ac:dyDescent="0.3">
      <c r="A18" s="44">
        <f t="shared" si="0"/>
        <v>14</v>
      </c>
      <c r="B18" s="44" t="str">
        <f>"მიკროსაფინანსო ორგანიზაცია ცენტრალი"</f>
        <v>მიკროსაფინანსო ორგანიზაცია ცენტრალი</v>
      </c>
      <c r="C18" s="49">
        <v>53</v>
      </c>
      <c r="D18" s="49">
        <v>5</v>
      </c>
    </row>
    <row r="19" spans="1:4" ht="12" customHeight="1" outlineLevel="1" x14ac:dyDescent="0.3">
      <c r="A19" s="44">
        <f t="shared" si="0"/>
        <v>15</v>
      </c>
      <c r="B19" s="44" t="str">
        <f>"მიკროსაფინანსო ორგანიზაცია ლენდაფ"</f>
        <v>მიკროსაფინანსო ორგანიზაცია ლენდაფ</v>
      </c>
      <c r="C19" s="49">
        <v>47</v>
      </c>
      <c r="D19" s="49">
        <v>5</v>
      </c>
    </row>
    <row r="20" spans="1:4" ht="12" customHeight="1" outlineLevel="1" x14ac:dyDescent="0.3">
      <c r="A20" s="44">
        <f t="shared" si="0"/>
        <v>16</v>
      </c>
      <c r="B20" s="44" t="str">
        <f>"მიკროსაფინანსო ორგანიზაცია ფინაგრო"</f>
        <v>მიკროსაფინანსო ორგანიზაცია ფინაგრო</v>
      </c>
      <c r="C20" s="49">
        <v>22</v>
      </c>
      <c r="D20" s="49">
        <v>3</v>
      </c>
    </row>
    <row r="21" spans="1:4" ht="12" customHeight="1" outlineLevel="1" x14ac:dyDescent="0.3">
      <c r="A21" s="44">
        <f t="shared" si="0"/>
        <v>17</v>
      </c>
      <c r="B21" s="44" t="str">
        <f>"მისო ექსპრეს კაპიტალ +"</f>
        <v>მისო ექსპრეს კაპიტალ +</v>
      </c>
      <c r="C21" s="49">
        <v>22</v>
      </c>
      <c r="D21" s="49">
        <v>3</v>
      </c>
    </row>
    <row r="22" spans="1:4" ht="12" customHeight="1" outlineLevel="1" x14ac:dyDescent="0.3">
      <c r="A22" s="44">
        <f t="shared" si="0"/>
        <v>18</v>
      </c>
      <c r="B22" s="44" t="str">
        <f>"მიკროსაფინანსო ორგანიზაცია MJC"</f>
        <v>მიკროსაფინანსო ორგანიზაცია MJC</v>
      </c>
      <c r="C22" s="49">
        <v>21</v>
      </c>
      <c r="D22" s="49">
        <v>3</v>
      </c>
    </row>
    <row r="23" spans="1:4" ht="12" customHeight="1" outlineLevel="1" x14ac:dyDescent="0.3">
      <c r="A23" s="44">
        <f t="shared" si="0"/>
        <v>19</v>
      </c>
      <c r="B23" s="44" t="str">
        <f>"მიკროსაფინანსო ორგანიზაცია კროს კრედიტი"</f>
        <v>მიკროსაფინანსო ორგანიზაცია კროს კრედიტი</v>
      </c>
      <c r="C23" s="49">
        <v>14</v>
      </c>
      <c r="D23" s="49">
        <v>2</v>
      </c>
    </row>
    <row r="24" spans="1:4" ht="12" customHeight="1" outlineLevel="1" x14ac:dyDescent="0.3">
      <c r="A24" s="44">
        <f t="shared" si="0"/>
        <v>20</v>
      </c>
      <c r="B24" s="44" t="str">
        <f>"მიკროსაფინანსო ორგანიზაცია გლობალ კრედიტი"</f>
        <v>მიკროსაფინანსო ორგანიზაცია გლობალ კრედიტი</v>
      </c>
      <c r="C24" s="49">
        <v>13</v>
      </c>
      <c r="D24" s="49">
        <v>1</v>
      </c>
    </row>
    <row r="25" spans="1:4" ht="12" customHeight="1" outlineLevel="1" x14ac:dyDescent="0.3">
      <c r="A25" s="44">
        <f t="shared" si="0"/>
        <v>21</v>
      </c>
      <c r="B25" s="44" t="str">
        <f>"მისო ჯი-აი-სი"</f>
        <v>მისო ჯი-აი-სი</v>
      </c>
      <c r="C25" s="49">
        <v>12</v>
      </c>
      <c r="D25" s="49">
        <v>1</v>
      </c>
    </row>
    <row r="26" spans="1:4" ht="12" customHeight="1" outlineLevel="1" x14ac:dyDescent="0.3">
      <c r="A26" s="44">
        <f t="shared" si="0"/>
        <v>22</v>
      </c>
      <c r="B26" s="44" t="str">
        <f>"მიკროსაფინანსო ორგანიზაცია მაიკრო ფინი"</f>
        <v>მიკროსაფინანსო ორგანიზაცია მაიკრო ფინი</v>
      </c>
      <c r="C26" s="49">
        <v>10</v>
      </c>
      <c r="D26" s="49">
        <v>1</v>
      </c>
    </row>
    <row r="27" spans="1:4" ht="12" customHeight="1" outlineLevel="1" x14ac:dyDescent="0.3">
      <c r="A27" s="44">
        <f t="shared" si="0"/>
        <v>23</v>
      </c>
      <c r="B27" s="44" t="str">
        <f>"მიკროსაფინანსო ორგანიზაცია ალფა ექსპრესი"</f>
        <v>მიკროსაფინანსო ორგანიზაცია ალფა ექსპრესი</v>
      </c>
      <c r="C27" s="49">
        <v>9</v>
      </c>
      <c r="D27" s="49">
        <v>1</v>
      </c>
    </row>
    <row r="28" spans="1:4" ht="12" customHeight="1" outlineLevel="1" x14ac:dyDescent="0.3">
      <c r="A28" s="44">
        <f t="shared" si="0"/>
        <v>24</v>
      </c>
      <c r="B28" s="44" t="str">
        <f>"მისო ინვესტ ჯორჯია"</f>
        <v>მისო ინვესტ ჯორჯია</v>
      </c>
      <c r="C28" s="49">
        <v>9</v>
      </c>
      <c r="D28" s="49">
        <v>2</v>
      </c>
    </row>
    <row r="29" spans="1:4" ht="12" customHeight="1" outlineLevel="1" x14ac:dyDescent="0.3">
      <c r="A29" s="44">
        <f t="shared" si="0"/>
        <v>25</v>
      </c>
      <c r="B29" s="44" t="str">
        <f>"მიკროსაფინანსო ორგანიზაცია ჯორჯიან კაპიტალი"</f>
        <v>მიკროსაფინანსო ორგანიზაცია ჯორჯიან კაპიტალი</v>
      </c>
      <c r="C29" s="49">
        <v>8</v>
      </c>
      <c r="D29" s="49">
        <v>1</v>
      </c>
    </row>
    <row r="30" spans="1:4" ht="12" customHeight="1" outlineLevel="1" x14ac:dyDescent="0.3">
      <c r="A30" s="44">
        <f t="shared" si="0"/>
        <v>26</v>
      </c>
      <c r="B30" s="44" t="str">
        <f>"მიკროსაფინანსო ორგანიზაცია PIAZZA CAPITAL"</f>
        <v>მიკროსაფინანსო ორგანიზაცია PIAZZA CAPITAL</v>
      </c>
      <c r="C30" s="49">
        <v>8</v>
      </c>
      <c r="D30" s="49">
        <v>1</v>
      </c>
    </row>
    <row r="31" spans="1:4" ht="12" customHeight="1" outlineLevel="1" x14ac:dyDescent="0.3">
      <c r="A31" s="44">
        <f t="shared" si="0"/>
        <v>27</v>
      </c>
      <c r="B31" s="44" t="str">
        <f>"მისო Bკრედიტი"</f>
        <v>მისო Bკრედიტი</v>
      </c>
      <c r="C31" s="49">
        <v>7</v>
      </c>
      <c r="D31" s="49">
        <v>1</v>
      </c>
    </row>
    <row r="32" spans="1:4" ht="12" customHeight="1" outlineLevel="1" x14ac:dyDescent="0.3">
      <c r="A32" s="44">
        <f t="shared" si="0"/>
        <v>28</v>
      </c>
      <c r="B32" s="44" t="str">
        <f>"მიკროსაფინანსო ორგანიზაცია კრედიტორი"</f>
        <v>მიკროსაფინანსო ორგანიზაცია კრედიტორი</v>
      </c>
      <c r="C32" s="49">
        <v>7</v>
      </c>
      <c r="D32" s="49">
        <v>1</v>
      </c>
    </row>
    <row r="33" spans="1:4" ht="12" customHeight="1" outlineLevel="1" x14ac:dyDescent="0.3">
      <c r="A33" s="44">
        <f t="shared" si="0"/>
        <v>29</v>
      </c>
      <c r="B33" s="44" t="str">
        <f>"მისო ნოვა კრედიტი"</f>
        <v>მისო ნოვა კრედიტი</v>
      </c>
      <c r="C33" s="49">
        <v>6</v>
      </c>
      <c r="D33" s="49">
        <v>1</v>
      </c>
    </row>
  </sheetData>
  <sortState ref="B5:D33">
    <sortCondition descending="1" ref="C5:C33"/>
  </sortState>
  <mergeCells count="6">
    <mergeCell ref="A1:B2"/>
    <mergeCell ref="C1:D1"/>
    <mergeCell ref="C2:D2"/>
    <mergeCell ref="B3:B4"/>
    <mergeCell ref="C3:C4"/>
    <mergeCell ref="D3:D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bnRldHJ1YXNodmlsaTwvVXNlck5hbWU+PERhdGVUaW1lPjUvOC8yMDI1IDE6MTY6NDUgUE08L0RhdGVUaW1lPjxMYWJlbFN0cmluZz5UaGlzIGl0ZW0gaGFzIG5vIGNsYXNzaWZpY2F0aW9uPC9MYWJlbFN0cmluZz48L2l0ZW0+PC9sYWJlbEhpc3Rvcnk+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28596DB8-0B2E-49DD-BB56-22E70AE0E557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4583BC25-9A68-4449-8162-FF3B8501D70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1. Balance Sheet</vt:lpstr>
      <vt:lpstr>2. Income Statement</vt:lpstr>
      <vt:lpstr>3. Borrowed Funds</vt:lpstr>
      <vt:lpstr>4. Loans By Sector</vt:lpstr>
      <vt:lpstr>5. Loans By Interest Rate</vt:lpstr>
      <vt:lpstr>6. Collateral</vt:lpstr>
      <vt:lpstr>7. Par</vt:lpstr>
      <vt:lpstr>8. NPL</vt:lpstr>
      <vt:lpstr>9. Branches</vt:lpstr>
      <vt:lpstr>Bank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Aleksandre Oniani</dc:creator>
  <cp:lastModifiedBy>Nana Tetruashvili</cp:lastModifiedBy>
  <dcterms:created xsi:type="dcterms:W3CDTF">2019-05-13T06:54:10Z</dcterms:created>
  <dcterms:modified xsi:type="dcterms:W3CDTF">2025-05-13T12:03:57Z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58fb9a09-2278-4215-93c3-d8076e173293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M3JZiXQNydeFJFUfOdkI6MHyMLe4jCxq</vt:lpwstr>
  </property>
  <property fmtid="{D5CDD505-2E9C-101B-9397-08002B2CF9AE}" pid="5" name="bjClsUserRVM">
    <vt:lpwstr>[]</vt:lpwstr>
  </property>
  <property fmtid="{D5CDD505-2E9C-101B-9397-08002B2CF9AE}" pid="6" name="bjLabelHistoryID">
    <vt:lpwstr>{28596DB8-0B2E-49DD-BB56-22E70AE0E557}</vt:lpwstr>
  </property>
</Properties>
</file>