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746206E3-F4FF-4245-B7A3-F3C951F7B326}" xr6:coauthVersionLast="47" xr6:coauthVersionMax="47" xr10:uidLastSave="{00000000-0000-0000-0000-000000000000}"/>
  <bookViews>
    <workbookView xWindow="-108" yWindow="-108" windowWidth="23256" windowHeight="13896" tabRatio="895"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Instruction!$A$108:$C$112</definedName>
    <definedName name="_sum1">#REF!</definedName>
    <definedName name="_sum2">#REF!</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all">#REF!</definedName>
    <definedName name="convert">#REF!</definedName>
    <definedName name="Countries">#REF!</definedName>
    <definedName name="currencies">#REF!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#REF!</definedName>
    <definedName name="date1">#REF!</definedName>
    <definedName name="dependency">#REF!</definedName>
    <definedName name="fintype">#REF!</definedName>
    <definedName name="L_FORMULAS_GEO">#REF!</definedName>
    <definedName name="LDtype">#REF!</definedName>
    <definedName name="NDtype">#REF!</definedName>
    <definedName name="s">#REF!</definedName>
    <definedName name="Sheet" localSheetId="11">#REF!</definedName>
    <definedName name="Sheet" localSheetId="12">#REF!</definedName>
    <definedName name="Sheet">#REF!</definedName>
    <definedName name="sub">#REF!</definedName>
    <definedName name="v">#REF!</definedName>
    <definedName name="z">#REF!</definedName>
    <definedName name="ა">#REF!</definedName>
    <definedName name="საკრედიტო" localSheetId="11">#REF!</definedName>
    <definedName name="საკრედიტო" localSheetId="12">#REF!</definedName>
    <definedName name="საკრედიტო">#REF!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 name="ჯ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9" i="104" l="1"/>
  <c r="U19" i="104"/>
  <c r="T19" i="104"/>
  <c r="S19" i="104"/>
  <c r="R19" i="104"/>
  <c r="Q19" i="104"/>
  <c r="P19" i="104"/>
  <c r="O19" i="104"/>
  <c r="N19" i="104"/>
  <c r="M19" i="104"/>
  <c r="L19" i="104"/>
  <c r="K19" i="104"/>
  <c r="J19" i="104"/>
  <c r="I19" i="104"/>
  <c r="H19" i="104"/>
  <c r="G19" i="104"/>
  <c r="F19" i="104"/>
  <c r="E19" i="104"/>
  <c r="D19" i="104"/>
  <c r="C19" i="104"/>
  <c r="E35" i="97" l="1"/>
  <c r="E33" i="97"/>
  <c r="D32" i="102" l="1"/>
  <c r="D24" i="102"/>
  <c r="D23" i="102"/>
  <c r="D22" i="102"/>
  <c r="D21" i="102"/>
  <c r="D20" i="102"/>
  <c r="D12" i="102"/>
  <c r="D11" i="102"/>
  <c r="D10" i="102"/>
  <c r="D9" i="102"/>
  <c r="D7" i="102"/>
  <c r="D13" i="102"/>
  <c r="D14" i="102"/>
  <c r="D15" i="102"/>
  <c r="D16" i="102"/>
  <c r="D17" i="102"/>
  <c r="D18" i="102"/>
  <c r="D19" i="102"/>
  <c r="D25" i="102"/>
  <c r="D26" i="102"/>
  <c r="D27" i="102"/>
  <c r="D28" i="102"/>
  <c r="D29" i="102"/>
  <c r="D30" i="102"/>
  <c r="D31" i="102"/>
  <c r="C18" i="100" l="1"/>
  <c r="D18" i="100"/>
  <c r="E15" i="95" l="1"/>
  <c r="G31" i="80" l="1"/>
  <c r="C8" i="80" l="1"/>
  <c r="C4" i="70" l="1"/>
  <c r="D8" i="104" l="1"/>
  <c r="L33" i="102"/>
  <c r="K33" i="102"/>
  <c r="J33" i="102"/>
  <c r="G33" i="102"/>
  <c r="F33" i="102"/>
  <c r="E33" i="102"/>
  <c r="C10" i="98"/>
  <c r="E22" i="96"/>
  <c r="C7" i="98" l="1"/>
  <c r="C15" i="98" s="1"/>
  <c r="H8" i="102"/>
  <c r="E8" i="97"/>
  <c r="M8" i="104" l="1"/>
  <c r="C17" i="98"/>
  <c r="N8" i="104"/>
  <c r="H33" i="102"/>
  <c r="I8" i="102"/>
  <c r="I33" i="102" s="1"/>
  <c r="D9" i="74" l="1"/>
  <c r="D10" i="74"/>
  <c r="D11" i="74"/>
  <c r="D12" i="74"/>
  <c r="D13" i="74"/>
  <c r="D14" i="74"/>
  <c r="D15" i="74"/>
  <c r="D16" i="74"/>
  <c r="D17" i="74"/>
  <c r="D19" i="74"/>
  <c r="D20" i="74"/>
  <c r="D21" i="74"/>
  <c r="D8" i="74"/>
  <c r="D18" i="74"/>
  <c r="P8" i="37" l="1"/>
  <c r="O8" i="37"/>
  <c r="N8" i="37"/>
  <c r="M8" i="37"/>
  <c r="L8" i="37"/>
  <c r="K8" i="37"/>
  <c r="J8" i="37"/>
  <c r="G8" i="37"/>
  <c r="F8" i="37"/>
  <c r="C8" i="37"/>
  <c r="E32" i="92"/>
  <c r="C31" i="69" s="1"/>
  <c r="D30" i="92"/>
  <c r="C30" i="92"/>
  <c r="H32" i="92"/>
  <c r="H32" i="93"/>
  <c r="E32" i="93"/>
  <c r="H32" i="94"/>
  <c r="E32" i="94"/>
  <c r="G30" i="94"/>
  <c r="F30" i="94"/>
  <c r="D30" i="94"/>
  <c r="C30" i="94"/>
  <c r="D31" i="72"/>
  <c r="Q32" i="37"/>
  <c r="I32" i="37"/>
  <c r="H32" i="97"/>
  <c r="C33" i="72" l="1"/>
  <c r="D10" i="98" l="1"/>
  <c r="D7" i="98"/>
  <c r="D15" i="98" l="1"/>
  <c r="E23" i="96" s="1"/>
  <c r="D23" i="96" s="1"/>
  <c r="K24" i="36"/>
  <c r="J24" i="36"/>
  <c r="I24" i="36"/>
  <c r="K23" i="36"/>
  <c r="J23" i="36"/>
  <c r="J25" i="36" s="1"/>
  <c r="I23" i="36"/>
  <c r="K25" i="36" l="1"/>
  <c r="I25" i="36"/>
  <c r="D33" i="97" l="1"/>
  <c r="H24" i="36" l="1"/>
  <c r="G24" i="36"/>
  <c r="F24" i="36"/>
  <c r="H23" i="36"/>
  <c r="G23" i="36"/>
  <c r="F23" i="36"/>
  <c r="F25" i="36" l="1"/>
  <c r="G25" i="36"/>
  <c r="H25" i="36"/>
  <c r="C11" i="80" l="1"/>
  <c r="B2" i="107" l="1"/>
  <c r="B2" i="37"/>
  <c r="C8" i="74"/>
  <c r="C9" i="74"/>
  <c r="C10" i="74"/>
  <c r="C11" i="74"/>
  <c r="C12" i="74"/>
  <c r="C13" i="74"/>
  <c r="C14" i="74"/>
  <c r="C15" i="74"/>
  <c r="C16" i="74"/>
  <c r="C17" i="74"/>
  <c r="C18" i="74"/>
  <c r="C19" i="74"/>
  <c r="C20" i="74"/>
  <c r="C21" i="74"/>
  <c r="G21" i="95" s="1"/>
  <c r="C19" i="77"/>
  <c r="C20" i="77"/>
  <c r="D14" i="95" l="1"/>
  <c r="D13" i="96"/>
  <c r="D15" i="95"/>
  <c r="D14" i="96"/>
  <c r="C8" i="102" s="1"/>
  <c r="D12" i="96"/>
  <c r="D13" i="95"/>
  <c r="C22" i="74"/>
  <c r="D7" i="96"/>
  <c r="D8" i="95"/>
  <c r="C27" i="92"/>
  <c r="C14" i="100" l="1"/>
  <c r="H8" i="104"/>
  <c r="D22" i="96"/>
  <c r="C18" i="80"/>
  <c r="S13" i="35"/>
  <c r="E35" i="72"/>
  <c r="E29" i="72"/>
  <c r="E27" i="72"/>
  <c r="E24" i="72"/>
  <c r="E23" i="72"/>
  <c r="E19" i="72"/>
  <c r="E18" i="72"/>
  <c r="E17" i="72"/>
  <c r="E15" i="72"/>
  <c r="E14" i="72"/>
  <c r="E13" i="72"/>
  <c r="E12" i="72"/>
  <c r="D8" i="102" l="1"/>
  <c r="D33" i="102" s="1"/>
  <c r="C33" i="102"/>
  <c r="I8" i="104"/>
  <c r="C8" i="100"/>
  <c r="D14" i="100"/>
  <c r="D8" i="100" s="1"/>
  <c r="C59" i="92"/>
  <c r="D59" i="92"/>
  <c r="C63" i="92"/>
  <c r="D63" i="92"/>
  <c r="F35" i="97" l="1"/>
  <c r="C38" i="94" l="1"/>
  <c r="Q33" i="37" l="1"/>
  <c r="I33" i="37"/>
  <c r="Q31" i="37"/>
  <c r="I31" i="37"/>
  <c r="I30" i="37"/>
  <c r="Q29" i="37"/>
  <c r="I29" i="37"/>
  <c r="Q28" i="37"/>
  <c r="I28" i="37"/>
  <c r="Q27" i="37"/>
  <c r="I27" i="37"/>
  <c r="I26" i="37"/>
  <c r="Q25" i="37"/>
  <c r="I25" i="37"/>
  <c r="Q24" i="37"/>
  <c r="I24" i="37"/>
  <c r="Q23" i="37"/>
  <c r="Q22" i="37" s="1"/>
  <c r="I23" i="37"/>
  <c r="I22" i="37"/>
  <c r="Q21" i="37"/>
  <c r="I21" i="37"/>
  <c r="Q20" i="37"/>
  <c r="I20" i="37"/>
  <c r="Q19" i="37"/>
  <c r="I19" i="37"/>
  <c r="I18" i="37"/>
  <c r="Q17" i="37"/>
  <c r="I17" i="37"/>
  <c r="Q16" i="37"/>
  <c r="I16" i="37"/>
  <c r="Q15" i="37"/>
  <c r="Q14" i="37" s="1"/>
  <c r="I15" i="37"/>
  <c r="I14" i="37"/>
  <c r="Q13" i="37"/>
  <c r="I13" i="37"/>
  <c r="Q12" i="37"/>
  <c r="I12" i="37"/>
  <c r="Q11" i="37"/>
  <c r="I11" i="37"/>
  <c r="I10" i="37"/>
  <c r="P9" i="37"/>
  <c r="O9" i="37"/>
  <c r="N9" i="37"/>
  <c r="M9" i="37"/>
  <c r="L9" i="37"/>
  <c r="K9" i="37"/>
  <c r="J9" i="37"/>
  <c r="G9" i="37"/>
  <c r="F9" i="37"/>
  <c r="C9" i="37"/>
  <c r="P7" i="37"/>
  <c r="O7" i="37"/>
  <c r="N7" i="37"/>
  <c r="M7" i="37"/>
  <c r="L7" i="37"/>
  <c r="K7" i="37"/>
  <c r="J7" i="37"/>
  <c r="G7" i="37"/>
  <c r="F7" i="37"/>
  <c r="I7" i="37" s="1"/>
  <c r="C7" i="37"/>
  <c r="E6" i="37"/>
  <c r="E34" i="37" s="1"/>
  <c r="C13" i="79" s="1"/>
  <c r="D6" i="37"/>
  <c r="D34" i="37" s="1"/>
  <c r="C22" i="79"/>
  <c r="L6" i="37" l="1"/>
  <c r="L34" i="37" s="1"/>
  <c r="Q8" i="37"/>
  <c r="I9" i="37"/>
  <c r="G6" i="37"/>
  <c r="G34" i="37" s="1"/>
  <c r="C11" i="79" s="1"/>
  <c r="J6" i="37"/>
  <c r="J34" i="37" s="1"/>
  <c r="M6" i="37"/>
  <c r="M34" i="37" s="1"/>
  <c r="K6" i="37"/>
  <c r="K34" i="37" s="1"/>
  <c r="Q10" i="37"/>
  <c r="Q18" i="37"/>
  <c r="N6" i="37"/>
  <c r="N34" i="37" s="1"/>
  <c r="O6" i="37"/>
  <c r="O34" i="37" s="1"/>
  <c r="P6" i="37"/>
  <c r="P34" i="37" s="1"/>
  <c r="I8" i="37"/>
  <c r="Q30" i="37"/>
  <c r="Q9" i="37"/>
  <c r="Q26" i="37"/>
  <c r="C6" i="37"/>
  <c r="C34" i="37" s="1"/>
  <c r="F6" i="37"/>
  <c r="F34" i="37" s="1"/>
  <c r="Q7" i="37"/>
  <c r="I6" i="37" l="1"/>
  <c r="Q6" i="37"/>
  <c r="Q34" i="37" s="1"/>
  <c r="I34" i="37"/>
  <c r="C12" i="79" s="1"/>
  <c r="C14" i="79" s="1"/>
  <c r="C10" i="79"/>
  <c r="F6" i="107"/>
  <c r="E6" i="107"/>
  <c r="D6" i="107"/>
  <c r="C6" i="107"/>
  <c r="G38" i="94" l="1"/>
  <c r="F38" i="94"/>
  <c r="D38" i="94" l="1"/>
  <c r="B2" i="106" l="1"/>
  <c r="B1" i="106"/>
  <c r="B1" i="105"/>
  <c r="B2" i="105"/>
  <c r="E12" i="106" l="1"/>
  <c r="D12" i="106"/>
  <c r="C12" i="106"/>
  <c r="B12" i="106"/>
  <c r="E11" i="106"/>
  <c r="D11" i="106"/>
  <c r="C11" i="106"/>
  <c r="B11" i="106"/>
  <c r="E10" i="106"/>
  <c r="D10" i="106"/>
  <c r="C10" i="106"/>
  <c r="B10" i="106"/>
  <c r="F9" i="106"/>
  <c r="E9" i="106"/>
  <c r="D9" i="106"/>
  <c r="C9" i="106"/>
  <c r="B9" i="106"/>
  <c r="F10" i="106" l="1"/>
  <c r="F12" i="106"/>
  <c r="F11" i="106"/>
  <c r="C22" i="95" l="1"/>
  <c r="H21" i="95"/>
  <c r="B1" i="94" l="1"/>
  <c r="B1" i="93"/>
  <c r="B1" i="92"/>
  <c r="B1" i="104" l="1"/>
  <c r="B1" i="103"/>
  <c r="B1" i="102"/>
  <c r="B1" i="101"/>
  <c r="B1" i="100"/>
  <c r="B1" i="99"/>
  <c r="B1" i="98"/>
  <c r="B1" i="97"/>
  <c r="B1" i="96"/>
  <c r="B1" i="95"/>
  <c r="C10" i="99" l="1"/>
  <c r="C18" i="99"/>
  <c r="H9" i="97"/>
  <c r="H10" i="97"/>
  <c r="H11" i="97"/>
  <c r="H12" i="97"/>
  <c r="H13" i="97"/>
  <c r="H14" i="97"/>
  <c r="H15" i="97"/>
  <c r="H16" i="97"/>
  <c r="H17" i="97"/>
  <c r="H18" i="97"/>
  <c r="H19" i="97"/>
  <c r="H20" i="97"/>
  <c r="H21" i="97"/>
  <c r="H22" i="97"/>
  <c r="H23" i="97"/>
  <c r="H24" i="97"/>
  <c r="H25" i="97"/>
  <c r="H26" i="97"/>
  <c r="H27" i="97"/>
  <c r="H28" i="97"/>
  <c r="H29" i="97"/>
  <c r="H30" i="97"/>
  <c r="H31" i="97"/>
  <c r="H33" i="97"/>
  <c r="C34" i="97"/>
  <c r="E34" i="97"/>
  <c r="F34" i="97"/>
  <c r="G34" i="97"/>
  <c r="H7" i="96"/>
  <c r="H8" i="96"/>
  <c r="H9" i="96"/>
  <c r="H10" i="96"/>
  <c r="H11" i="96"/>
  <c r="H12" i="96"/>
  <c r="H13" i="96"/>
  <c r="H14" i="96"/>
  <c r="H15" i="96"/>
  <c r="H16" i="96"/>
  <c r="H17" i="96"/>
  <c r="H18" i="96"/>
  <c r="H19" i="96"/>
  <c r="H20" i="96"/>
  <c r="C21" i="96"/>
  <c r="D21" i="96"/>
  <c r="E21" i="96"/>
  <c r="F21" i="96"/>
  <c r="G21" i="96"/>
  <c r="H22" i="96"/>
  <c r="H23" i="96"/>
  <c r="I23" i="96" s="1"/>
  <c r="H8" i="95"/>
  <c r="H9" i="95"/>
  <c r="H10" i="95"/>
  <c r="H11" i="95"/>
  <c r="H12" i="95"/>
  <c r="H13" i="95"/>
  <c r="H14" i="95"/>
  <c r="H15" i="95"/>
  <c r="H16" i="95"/>
  <c r="H17" i="95"/>
  <c r="H18" i="95"/>
  <c r="H19" i="95"/>
  <c r="H20" i="95"/>
  <c r="D22" i="95"/>
  <c r="E22" i="95"/>
  <c r="F22" i="95"/>
  <c r="G22" i="95"/>
  <c r="C35" i="97" l="1"/>
  <c r="I14" i="96"/>
  <c r="I13" i="96"/>
  <c r="I12" i="96"/>
  <c r="H21" i="96"/>
  <c r="I16" i="96"/>
  <c r="H22" i="95"/>
  <c r="H23" i="95" s="1"/>
  <c r="I15" i="96"/>
  <c r="C62" i="69"/>
  <c r="C58" i="69"/>
  <c r="C14" i="69"/>
  <c r="D8" i="72"/>
  <c r="D16" i="72"/>
  <c r="D20" i="72"/>
  <c r="D25" i="72"/>
  <c r="C16" i="72"/>
  <c r="E16" i="72" l="1"/>
  <c r="H43" i="94"/>
  <c r="E43" i="94"/>
  <c r="H42" i="94"/>
  <c r="E42" i="94"/>
  <c r="H41" i="94"/>
  <c r="E41" i="94"/>
  <c r="H40" i="94"/>
  <c r="E40" i="94"/>
  <c r="H39" i="94"/>
  <c r="E39" i="94"/>
  <c r="E38" i="94"/>
  <c r="H37" i="94"/>
  <c r="E37" i="94"/>
  <c r="H36" i="94"/>
  <c r="E36" i="94"/>
  <c r="H35" i="94"/>
  <c r="E35" i="94"/>
  <c r="H34" i="94"/>
  <c r="E34" i="94"/>
  <c r="H33" i="94"/>
  <c r="E33" i="94"/>
  <c r="H31" i="94"/>
  <c r="E31" i="94"/>
  <c r="H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G14" i="94"/>
  <c r="F14" i="94"/>
  <c r="H13" i="94"/>
  <c r="E13" i="94"/>
  <c r="H12" i="94"/>
  <c r="E12" i="94"/>
  <c r="G11" i="94"/>
  <c r="F11" i="94"/>
  <c r="D11" i="94"/>
  <c r="C11" i="94"/>
  <c r="H10" i="94"/>
  <c r="E10" i="94"/>
  <c r="H9" i="94"/>
  <c r="E9" i="94"/>
  <c r="G8" i="94"/>
  <c r="F8" i="94"/>
  <c r="D8" i="94"/>
  <c r="C8" i="94"/>
  <c r="H7" i="94"/>
  <c r="E7" i="94"/>
  <c r="H6" i="94"/>
  <c r="E6" i="94"/>
  <c r="H44" i="93"/>
  <c r="E44" i="93"/>
  <c r="H42" i="93"/>
  <c r="E42" i="93"/>
  <c r="H41" i="93"/>
  <c r="E41" i="93"/>
  <c r="H40" i="93"/>
  <c r="E40" i="93"/>
  <c r="H39" i="93"/>
  <c r="E39" i="93"/>
  <c r="H38" i="93"/>
  <c r="E38" i="93"/>
  <c r="H37" i="93"/>
  <c r="D37" i="93"/>
  <c r="C37" i="93"/>
  <c r="H36" i="93"/>
  <c r="E36" i="93"/>
  <c r="E46" i="93" s="1"/>
  <c r="H35" i="93"/>
  <c r="E35" i="93"/>
  <c r="D34" i="93"/>
  <c r="C34" i="93"/>
  <c r="E34" i="93" s="1"/>
  <c r="H33" i="93"/>
  <c r="E33" i="93"/>
  <c r="H31" i="93"/>
  <c r="E31" i="93"/>
  <c r="H30" i="93"/>
  <c r="E30" i="93"/>
  <c r="D29" i="93"/>
  <c r="D43" i="93" s="1"/>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D13" i="93"/>
  <c r="C13" i="93"/>
  <c r="H12" i="93"/>
  <c r="E12" i="93"/>
  <c r="H11" i="93"/>
  <c r="E11" i="93"/>
  <c r="H10" i="93"/>
  <c r="E10" i="93"/>
  <c r="H9" i="93"/>
  <c r="E9" i="93"/>
  <c r="H8" i="93"/>
  <c r="E8" i="93"/>
  <c r="H7" i="93"/>
  <c r="E7" i="93"/>
  <c r="D6" i="93"/>
  <c r="C6" i="93"/>
  <c r="H67" i="92"/>
  <c r="E67" i="92"/>
  <c r="C66" i="69" s="1"/>
  <c r="H66" i="92"/>
  <c r="E66" i="92"/>
  <c r="H65" i="92"/>
  <c r="E65" i="92"/>
  <c r="H64" i="92"/>
  <c r="E64" i="92"/>
  <c r="H63" i="92"/>
  <c r="E63" i="92"/>
  <c r="H62" i="92"/>
  <c r="E62" i="92"/>
  <c r="H61" i="92"/>
  <c r="E61" i="92"/>
  <c r="H60" i="92"/>
  <c r="E60" i="92"/>
  <c r="H59" i="92"/>
  <c r="E59" i="92"/>
  <c r="H58" i="92"/>
  <c r="E58" i="92"/>
  <c r="H57" i="92"/>
  <c r="E57" i="92"/>
  <c r="H56" i="92"/>
  <c r="E56" i="92"/>
  <c r="C55" i="69" s="1"/>
  <c r="H55" i="92"/>
  <c r="E55" i="92"/>
  <c r="C54" i="69" s="1"/>
  <c r="H52" i="92"/>
  <c r="E52" i="92"/>
  <c r="H51" i="92"/>
  <c r="E51" i="92"/>
  <c r="C50" i="69" s="1"/>
  <c r="H50" i="92"/>
  <c r="E50" i="92"/>
  <c r="H49" i="92"/>
  <c r="E49" i="92"/>
  <c r="C48" i="69" s="1"/>
  <c r="H48" i="92"/>
  <c r="E48" i="92"/>
  <c r="C47" i="69" s="1"/>
  <c r="H47" i="92"/>
  <c r="D47" i="92"/>
  <c r="C47" i="92"/>
  <c r="H46" i="92"/>
  <c r="E46" i="92"/>
  <c r="H45" i="92"/>
  <c r="E45" i="92"/>
  <c r="C44" i="69" s="1"/>
  <c r="H44" i="92"/>
  <c r="E44" i="92"/>
  <c r="H43" i="92"/>
  <c r="E43" i="92"/>
  <c r="H42" i="92"/>
  <c r="E42" i="92"/>
  <c r="C41" i="69" s="1"/>
  <c r="D41" i="92"/>
  <c r="D53" i="92" s="1"/>
  <c r="C41" i="92"/>
  <c r="H40" i="92"/>
  <c r="E40" i="92"/>
  <c r="H39" i="92"/>
  <c r="E39" i="92"/>
  <c r="H38" i="92"/>
  <c r="E38" i="92"/>
  <c r="H35" i="92"/>
  <c r="E35" i="92"/>
  <c r="H34" i="92"/>
  <c r="E34" i="92"/>
  <c r="H33" i="92"/>
  <c r="E33" i="92"/>
  <c r="H31" i="92"/>
  <c r="E31" i="92"/>
  <c r="E30" i="92"/>
  <c r="H29" i="92"/>
  <c r="E29" i="92"/>
  <c r="H28" i="92"/>
  <c r="E28" i="92"/>
  <c r="H27" i="92"/>
  <c r="D27" i="92"/>
  <c r="H26" i="92"/>
  <c r="E26" i="92"/>
  <c r="H25" i="92"/>
  <c r="E25" i="92"/>
  <c r="D24" i="92"/>
  <c r="C24" i="92"/>
  <c r="E24" i="92" s="1"/>
  <c r="H23" i="92"/>
  <c r="E23" i="92"/>
  <c r="H22" i="92"/>
  <c r="E22" i="92"/>
  <c r="H21" i="92"/>
  <c r="E21" i="92"/>
  <c r="H20" i="92"/>
  <c r="E20" i="92"/>
  <c r="H19" i="92"/>
  <c r="D19" i="92"/>
  <c r="C19" i="92"/>
  <c r="H18" i="92"/>
  <c r="E18" i="92"/>
  <c r="H17" i="92"/>
  <c r="E17" i="92"/>
  <c r="H16" i="92"/>
  <c r="E16" i="92"/>
  <c r="H15" i="92"/>
  <c r="D15" i="92"/>
  <c r="C15" i="92"/>
  <c r="H14" i="92"/>
  <c r="E14" i="92"/>
  <c r="H13" i="92"/>
  <c r="E13" i="92"/>
  <c r="H12" i="92"/>
  <c r="E12" i="92"/>
  <c r="H11" i="92"/>
  <c r="E11" i="92"/>
  <c r="H10" i="92"/>
  <c r="E10" i="92"/>
  <c r="H9" i="92"/>
  <c r="E9" i="92"/>
  <c r="D7" i="97" s="1"/>
  <c r="H8" i="92"/>
  <c r="E8" i="92"/>
  <c r="H7" i="92"/>
  <c r="D7" i="92"/>
  <c r="C7" i="92"/>
  <c r="C20" i="69" l="1"/>
  <c r="C22" i="72"/>
  <c r="E22" i="72" s="1"/>
  <c r="C43" i="93"/>
  <c r="C45" i="93" s="1"/>
  <c r="E15" i="92"/>
  <c r="D15" i="100"/>
  <c r="C15" i="100"/>
  <c r="C7" i="69"/>
  <c r="C9" i="72"/>
  <c r="E9" i="72" s="1"/>
  <c r="E37" i="93"/>
  <c r="E13" i="93"/>
  <c r="C40" i="69"/>
  <c r="E19" i="92"/>
  <c r="D8" i="97" s="1"/>
  <c r="H8" i="97" s="1"/>
  <c r="H7" i="97"/>
  <c r="C46" i="69"/>
  <c r="C34" i="72"/>
  <c r="E34" i="72" s="1"/>
  <c r="C32" i="69"/>
  <c r="C28" i="69"/>
  <c r="C26" i="69" s="1"/>
  <c r="C30" i="72"/>
  <c r="D36" i="92"/>
  <c r="C30" i="69"/>
  <c r="C32" i="72"/>
  <c r="C8" i="69"/>
  <c r="C10" i="72"/>
  <c r="C19" i="69"/>
  <c r="C18" i="69" s="1"/>
  <c r="C21" i="72"/>
  <c r="C24" i="69"/>
  <c r="C23" i="69" s="1"/>
  <c r="C26" i="72"/>
  <c r="E33" i="72"/>
  <c r="C9" i="69"/>
  <c r="C11" i="72"/>
  <c r="E11" i="72" s="1"/>
  <c r="E27" i="92"/>
  <c r="E29" i="93"/>
  <c r="E41" i="92"/>
  <c r="C29" i="69"/>
  <c r="C36" i="92"/>
  <c r="D68" i="92"/>
  <c r="H41" i="92"/>
  <c r="E47" i="92"/>
  <c r="C68" i="92"/>
  <c r="G70" i="92"/>
  <c r="C67" i="69"/>
  <c r="H29" i="93"/>
  <c r="H34" i="93"/>
  <c r="H30" i="92"/>
  <c r="E6" i="93"/>
  <c r="H36" i="92"/>
  <c r="H8" i="94"/>
  <c r="E8" i="94"/>
  <c r="E14" i="94"/>
  <c r="H38" i="94"/>
  <c r="E30" i="94"/>
  <c r="E11" i="94"/>
  <c r="E17" i="94"/>
  <c r="H11" i="94"/>
  <c r="H14" i="94"/>
  <c r="H6" i="93"/>
  <c r="D45" i="93"/>
  <c r="C53" i="92"/>
  <c r="H68" i="92"/>
  <c r="E7" i="92"/>
  <c r="H24" i="92"/>
  <c r="C52" i="69" l="1"/>
  <c r="D69" i="92"/>
  <c r="C6" i="69"/>
  <c r="C35" i="69" s="1"/>
  <c r="E32" i="72"/>
  <c r="C31" i="72"/>
  <c r="D34" i="97"/>
  <c r="D35" i="97" s="1"/>
  <c r="D70" i="92"/>
  <c r="E21" i="72"/>
  <c r="C20" i="72"/>
  <c r="E20" i="72" s="1"/>
  <c r="E10" i="72"/>
  <c r="C8" i="72"/>
  <c r="E31" i="72"/>
  <c r="D30" i="72"/>
  <c r="D28" i="72" s="1"/>
  <c r="D37" i="72" s="1"/>
  <c r="C28" i="72"/>
  <c r="E26" i="72"/>
  <c r="C25" i="72"/>
  <c r="E25" i="72" s="1"/>
  <c r="C68" i="69"/>
  <c r="E36" i="92"/>
  <c r="E68" i="92"/>
  <c r="H53" i="92"/>
  <c r="H69" i="92" s="1"/>
  <c r="H70" i="92" s="1"/>
  <c r="F70" i="92"/>
  <c r="C69" i="92"/>
  <c r="H45" i="93"/>
  <c r="H43" i="93"/>
  <c r="E45" i="93"/>
  <c r="E43" i="93"/>
  <c r="E53" i="92"/>
  <c r="E69" i="92" l="1"/>
  <c r="E70" i="92" s="1"/>
  <c r="H34" i="97"/>
  <c r="H35" i="97" s="1"/>
  <c r="E30" i="72"/>
  <c r="E28" i="72"/>
  <c r="E8" i="72"/>
  <c r="C37" i="72"/>
  <c r="C38" i="72" s="1"/>
  <c r="C70" i="92"/>
  <c r="C69" i="69"/>
  <c r="H25" i="96"/>
  <c r="B1" i="80"/>
  <c r="F33" i="80"/>
  <c r="E33" i="80"/>
  <c r="D33" i="80"/>
  <c r="G24" i="80"/>
  <c r="F24" i="80"/>
  <c r="E24" i="80"/>
  <c r="D24" i="80"/>
  <c r="C24" i="80"/>
  <c r="G18" i="80"/>
  <c r="F18" i="80"/>
  <c r="E18" i="80"/>
  <c r="D18" i="80"/>
  <c r="G14" i="80"/>
  <c r="F14" i="80"/>
  <c r="E14" i="80"/>
  <c r="D14" i="80"/>
  <c r="C14" i="80"/>
  <c r="G11" i="80"/>
  <c r="F11" i="80"/>
  <c r="E11" i="80"/>
  <c r="D11" i="80"/>
  <c r="G8" i="80"/>
  <c r="F8" i="80"/>
  <c r="E8" i="80"/>
  <c r="D8" i="80"/>
  <c r="C33" i="80" l="1"/>
  <c r="E37" i="72"/>
  <c r="G33" i="80"/>
  <c r="G37" i="80" s="1"/>
  <c r="H24" i="96"/>
  <c r="C6" i="79"/>
  <c r="C70" i="69"/>
  <c r="G21" i="80"/>
  <c r="G6" i="71"/>
  <c r="G13" i="71" s="1"/>
  <c r="G14" i="71" s="1"/>
  <c r="F6" i="71"/>
  <c r="F13" i="71" s="1"/>
  <c r="F14" i="71" s="1"/>
  <c r="E6" i="71"/>
  <c r="E13" i="71" s="1"/>
  <c r="E14" i="71" s="1"/>
  <c r="D6" i="71"/>
  <c r="D13" i="71" s="1"/>
  <c r="D14" i="71" s="1"/>
  <c r="C6" i="71"/>
  <c r="C13" i="71" s="1"/>
  <c r="G42" i="80" l="1"/>
  <c r="G39" i="80"/>
  <c r="C14" i="71"/>
  <c r="B1" i="79"/>
  <c r="B1" i="36"/>
  <c r="B1" i="74"/>
  <c r="B1" i="64"/>
  <c r="B1" i="35"/>
  <c r="B1" i="69"/>
  <c r="B1" i="77"/>
  <c r="B1" i="28"/>
  <c r="B1" i="73"/>
  <c r="B1" i="72"/>
  <c r="B1" i="52"/>
  <c r="B1" i="71"/>
  <c r="B1" i="6"/>
  <c r="B1" i="107" l="1"/>
  <c r="B1" i="37"/>
  <c r="C21" i="77"/>
  <c r="D16" i="77"/>
  <c r="D17" i="77"/>
  <c r="D15" i="77"/>
  <c r="D12" i="77"/>
  <c r="D13" i="77"/>
  <c r="D11" i="77"/>
  <c r="D8" i="77"/>
  <c r="D9" i="77"/>
  <c r="D7" i="77"/>
  <c r="D21" i="77" l="1"/>
  <c r="D19" i="77"/>
  <c r="D20" i="77"/>
  <c r="C5" i="73" l="1"/>
  <c r="E21" i="77" l="1"/>
  <c r="E19" i="77"/>
  <c r="E20" i="77"/>
  <c r="S21" i="35"/>
  <c r="F21" i="74" s="1"/>
  <c r="G21" i="74" s="1"/>
  <c r="H21" i="74" s="1"/>
  <c r="S20" i="35"/>
  <c r="F20" i="74" s="1"/>
  <c r="G20" i="74" s="1"/>
  <c r="H20" i="74" s="1"/>
  <c r="S19" i="35"/>
  <c r="F19" i="74" s="1"/>
  <c r="G19" i="74" s="1"/>
  <c r="H19" i="74" s="1"/>
  <c r="S18" i="35"/>
  <c r="F18" i="74" s="1"/>
  <c r="G18" i="74" s="1"/>
  <c r="H18" i="74" s="1"/>
  <c r="S17" i="35"/>
  <c r="F17" i="74" s="1"/>
  <c r="G17" i="74" s="1"/>
  <c r="H17" i="74" s="1"/>
  <c r="S16" i="35"/>
  <c r="F16" i="74" s="1"/>
  <c r="G16" i="74" s="1"/>
  <c r="H16" i="74" s="1"/>
  <c r="S15" i="35"/>
  <c r="F15" i="74" s="1"/>
  <c r="G15" i="74" s="1"/>
  <c r="H15" i="74" s="1"/>
  <c r="S14" i="35"/>
  <c r="F14" i="74" s="1"/>
  <c r="G14" i="74" s="1"/>
  <c r="H14" i="74" s="1"/>
  <c r="F13" i="74"/>
  <c r="G13" i="74" s="1"/>
  <c r="H13" i="74" s="1"/>
  <c r="S12" i="35"/>
  <c r="F12" i="74" s="1"/>
  <c r="G12" i="74" s="1"/>
  <c r="H12" i="74" s="1"/>
  <c r="S11" i="35"/>
  <c r="F11" i="74" s="1"/>
  <c r="G11" i="74" s="1"/>
  <c r="H11" i="74" s="1"/>
  <c r="S10" i="35"/>
  <c r="F10" i="74" s="1"/>
  <c r="G10" i="74" s="1"/>
  <c r="H10" i="74" s="1"/>
  <c r="S9" i="35"/>
  <c r="F9" i="74" s="1"/>
  <c r="G9" i="74" s="1"/>
  <c r="H9" i="74" s="1"/>
  <c r="S8" i="35"/>
  <c r="F8" i="74" s="1"/>
  <c r="G8" i="74" s="1"/>
  <c r="G22" i="74" l="1"/>
  <c r="H8" i="74"/>
  <c r="S22" i="35"/>
  <c r="S23" i="35" s="1"/>
  <c r="G23" i="74" l="1"/>
  <c r="D22" i="35"/>
  <c r="E22" i="35"/>
  <c r="F22" i="35"/>
  <c r="G22" i="35"/>
  <c r="H22" i="35"/>
  <c r="I22" i="35"/>
  <c r="J22" i="35"/>
  <c r="K22" i="35"/>
  <c r="L22" i="35"/>
  <c r="M22" i="35"/>
  <c r="N22" i="35"/>
  <c r="O22" i="35"/>
  <c r="P22" i="35"/>
  <c r="Q22" i="35"/>
  <c r="R22" i="35"/>
  <c r="C22" i="35"/>
  <c r="C26" i="79" l="1"/>
  <c r="S24" i="35"/>
  <c r="F22" i="74"/>
  <c r="V7" i="64" l="1"/>
  <c r="T21" i="64" l="1"/>
  <c r="U21" i="64"/>
  <c r="V9" i="64"/>
  <c r="D22" i="74" l="1"/>
  <c r="C23" i="74" s="1"/>
  <c r="E22" i="74"/>
  <c r="H22" i="74" s="1"/>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C36" i="28"/>
  <c r="C42" i="28" s="1"/>
  <c r="C12" i="28"/>
  <c r="C7" i="79" l="1"/>
  <c r="C8" i="79" s="1"/>
  <c r="C6" i="28"/>
  <c r="C29" i="28" s="1"/>
  <c r="C32" i="79" l="1"/>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5" i="28" l="1"/>
  <c r="C31" i="79"/>
  <c r="C34" i="79" s="1"/>
  <c r="C5" i="71"/>
  <c r="E5" i="71"/>
  <c r="F5" i="71"/>
  <c r="D5"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<sst xmlns="http://schemas.openxmlformats.org/spreadsheetml/2006/main" count="1640" uniqueCount="1024">
  <si>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</si>
  <si>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</si>
  <si>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</si>
  <si>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</si>
  <si>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</si>
  <si>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</si>
  <si>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</si>
  <si>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</si>
  <si>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</si>
  <si>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</si>
  <si>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</si>
  <si>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</si>
  <si>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</si>
  <si>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</si>
  <si>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</si>
  <si>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</si>
  <si>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</si>
  <si>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</si>
  <si>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</si>
  <si>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</si>
  <si>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</si>
  <si>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</si>
  <si>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</si>
  <si>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</si>
  <si>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</si>
  <si>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</si>
  <si>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</si>
  <si>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</si>
  <si>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</si>
  <si>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</si>
  <si>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</si>
  <si>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</si>
  <si>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</si>
  <si>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</si>
  <si>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</si>
  <si>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</si>
  <si>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</si>
  <si>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</si>
  <si>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</si>
  <si>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</si>
  <si>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</si>
  <si>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</si>
  <si>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</si>
  <si>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</si>
  <si>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</si>
  <si>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</si>
  <si>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</si>
  <si>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</si>
  <si>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</si>
  <si>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</si>
  <si>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</si>
  <si>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</si>
  <si>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</si>
  <si>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</si>
  <si>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</si>
  <si>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</si>
  <si>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</si>
  <si>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</si>
  <si>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</si>
  <si>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</si>
  <si>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</si>
  <si>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</si>
  <si>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</si>
  <si>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</si>
  <si>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</si>
  <si>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</si>
  <si>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</si>
  <si>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</si>
  <si>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</si>
  <si>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</si>
  <si>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</si>
  <si>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</si>
  <si>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</si>
  <si>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</si>
  <si>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</si>
  <si>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</si>
  <si>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</si>
  <si>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</si>
  <si>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</si>
  <si>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</si>
  <si>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</si>
  <si>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</si>
  <si>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</si>
  <si>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</si>
  <si>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</si>
  <si>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</si>
  <si>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</si>
  <si>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</si>
  <si>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</si>
  <si>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</si>
  <si>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</si>
  <si>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</si>
  <si>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</si>
  <si>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</si>
  <si>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</si>
  <si>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</si>
  <si>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</si>
  <si>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</si>
  <si>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</si>
  <si>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</si>
  <si>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</si>
  <si>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</si>
  <si>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</si>
  <si>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</si>
  <si>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</si>
  <si>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</si>
  <si>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</si>
  <si>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</si>
  <si>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</si>
  <si>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</si>
  <si>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</si>
  <si>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</si>
  <si>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</si>
  <si>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</si>
  <si>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</si>
  <si>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</si>
  <si>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</si>
  <si>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</si>
  <si>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</si>
  <si>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</si>
  <si>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</si>
  <si>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</si>
  <si>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</si>
  <si>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</si>
  <si>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</si>
  <si>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</si>
  <si>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</si>
  <si>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</si>
  <si>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</si>
  <si>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</si>
  <si>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</si>
  <si>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</si>
  <si>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</si>
  <si>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</si>
  <si>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</si>
  <si>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</si>
  <si>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</si>
  <si>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</si>
  <si>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</si>
  <si>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</si>
  <si>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</si>
  <si>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</si>
  <si>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</si>
  <si>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</si>
  <si>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</si>
  <si>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</si>
  <si>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</si>
  <si>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</si>
  <si>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</si>
  <si>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</si>
  <si>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</si>
  <si>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</si>
  <si>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</si>
  <si>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</si>
  <si>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</si>
  <si>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</si>
  <si>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</si>
  <si>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</si>
  <si>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</si>
  <si>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</si>
  <si>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</si>
  <si>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</si>
  <si>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</si>
  <si>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</si>
  <si>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</si>
  <si>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</si>
  <si>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</si>
  <si>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</si>
  <si>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</si>
  <si>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</si>
  <si>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</si>
  <si>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</si>
  <si>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</si>
  <si>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</si>
  <si>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</si>
  <si>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</si>
  <si>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</si>
  <si>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</si>
  <si>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</si>
  <si>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</si>
  <si>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</si>
  <si>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</si>
  <si>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</si>
  <si>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</si>
  <si>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</si>
  <si>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</si>
  <si>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</si>
  <si>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</si>
  <si>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</si>
  <si>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</si>
  <si>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</si>
  <si>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</si>
  <si>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</si>
  <si>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</si>
  <si>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</si>
  <si>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</si>
  <si>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</si>
  <si>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</si>
  <si>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</si>
  <si>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</si>
  <si>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</si>
  <si>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</si>
  <si>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</si>
  <si>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</si>
  <si>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</si>
  <si>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</si>
  <si>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</si>
  <si>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</si>
  <si>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</si>
  <si>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</si>
  <si>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</si>
  <si>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</si>
  <si>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</si>
  <si>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</si>
  <si>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</si>
  <si>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</si>
  <si>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</si>
  <si>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</si>
  <si>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</si>
  <si>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</si>
  <si>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</si>
  <si>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</si>
  <si>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</si>
  <si>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</si>
  <si>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</si>
  <si>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</si>
  <si>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</si>
  <si>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</si>
  <si>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</si>
  <si>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</si>
  <si>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</si>
  <si>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</si>
  <si>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</si>
  <si>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</si>
  <si>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</si>
  <si>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</si>
  <si>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</si>
  <si>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</si>
  <si>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</si>
  <si>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</si>
  <si>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</si>
  <si>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</si>
  <si>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</si>
  <si>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</si>
  <si>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</si>
  <si>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</si>
  <si>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</si>
  <si>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</si>
  <si>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</si>
  <si>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</si>
  <si>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</si>
  <si>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</si>
  <si>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</si>
  <si>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</si>
  <si>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</si>
  <si>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</si>
  <si>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</si>
  <si>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</si>
  <si>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</si>
  <si>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</si>
  <si>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</si>
  <si>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</si>
  <si>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</si>
  <si>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</si>
  <si>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</si>
  <si>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</si>
  <si>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</si>
  <si>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</si>
  <si>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</si>
  <si>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</si>
  <si>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</si>
  <si>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</si>
  <si>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</si>
  <si>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</si>
  <si>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</si>
  <si>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</si>
  <si>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</si>
  <si>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</si>
  <si>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</si>
  <si>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</si>
  <si>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</si>
  <si>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</si>
  <si>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</si>
  <si>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</si>
  <si>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</si>
  <si>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</si>
  <si>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</si>
  <si>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</si>
  <si>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</si>
  <si>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</si>
  <si>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</si>
  <si>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</si>
  <si>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</si>
  <si>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</si>
  <si>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</si>
  <si>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</si>
  <si>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</si>
  <si>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</si>
  <si>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</si>
  <si>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</si>
  <si>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</si>
  <si>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</si>
  <si>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</si>
  <si>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</si>
  <si>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</si>
  <si>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</si>
  <si>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</si>
  <si>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</si>
  <si>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</si>
  <si>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</si>
  <si>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</si>
  <si>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</si>
  <si>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</si>
  <si>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</si>
  <si>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</si>
  <si>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</si>
  <si>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</si>
  <si>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</si>
  <si>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</si>
  <si>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</si>
  <si>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</si>
  <si>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</si>
  <si>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</si>
  <si>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</si>
  <si>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</si>
  <si>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</si>
  <si>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</si>
  <si>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</si>
  <si>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</si>
  <si>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</si>
  <si>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</si>
  <si>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</si>
  <si>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</si>
  <si>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</si>
  <si>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</si>
  <si>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</si>
  <si>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</si>
  <si>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</si>
  <si>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</si>
  <si>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</si>
  <si>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</si>
  <si>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</si>
  <si>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</si>
  <si>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</si>
  <si>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</si>
  <si>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</si>
  <si>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</si>
  <si>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</si>
  <si>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</si>
  <si>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</si>
  <si>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</si>
  <si>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</si>
  <si>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</si>
  <si>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</si>
  <si>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</si>
  <si>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</si>
  <si>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</si>
  <si>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</si>
  <si>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</si>
  <si>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</si>
  <si>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</si>
  <si>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</si>
  <si>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</si>
  <si>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</si>
  <si>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</si>
  <si>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</si>
  <si>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</si>
  <si>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</si>
  <si>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</si>
  <si>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</si>
  <si>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</si>
  <si>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</si>
  <si>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</si>
  <si>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</si>
  <si>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</si>
  <si>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</si>
  <si>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</si>
  <si>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</si>
  <si>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</si>
  <si>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</si>
  <si>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</si>
  <si>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</si>
  <si>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</si>
  <si>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</si>
  <si>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</si>
  <si>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</si>
  <si>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</si>
  <si>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</si>
  <si>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</si>
  <si>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</si>
  <si>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</si>
  <si>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</si>
  <si>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</si>
  <si>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</si>
  <si>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</si>
  <si>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</si>
  <si>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</si>
  <si>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</si>
  <si>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</si>
  <si>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</si>
  <si>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</si>
  <si>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</si>
  <si>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</si>
  <si>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</si>
  <si>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</si>
  <si>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</si>
  <si>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</si>
  <si>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</si>
  <si>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</si>
  <si>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</si>
  <si>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</si>
  <si>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</si>
  <si>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</si>
  <si>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</si>
  <si>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</si>
  <si>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</si>
  <si>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</si>
  <si>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</si>
  <si>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</si>
  <si>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</si>
  <si>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</si>
  <si>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</si>
  <si>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</si>
  <si>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</si>
  <si>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</si>
  <si>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</si>
  <si>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</si>
  <si>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</si>
  <si>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</si>
  <si>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</si>
  <si>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</si>
  <si>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</si>
  <si>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</si>
  <si>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</si>
  <si>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</si>
  <si>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</si>
  <si>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</si>
  <si>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</si>
  <si>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</si>
  <si>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</si>
  <si>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</si>
  <si>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</si>
  <si>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</si>
  <si>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</si>
  <si>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</si>
  <si>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</si>
  <si>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</si>
  <si>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</si>
  <si>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</si>
  <si>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</si>
  <si>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</si>
  <si>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</si>
  <si>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</si>
  <si>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</si>
  <si>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</si>
  <si>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</si>
  <si>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</si>
  <si>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</si>
  <si>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</si>
  <si>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</si>
  <si>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</si>
  <si>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</si>
  <si>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</si>
  <si>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</si>
  <si>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</si>
  <si>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</si>
  <si>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</si>
  <si>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</si>
  <si>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</si>
  <si>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</si>
  <si>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</si>
  <si>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</si>
  <si>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</si>
  <si>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</si>
  <si>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</si>
  <si>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</si>
  <si>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</si>
  <si>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</si>
  <si>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</si>
  <si>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</si>
  <si>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</si>
  <si>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</si>
  <si>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</si>
  <si>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</si>
  <si>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</si>
  <si>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</si>
  <si>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</si>
  <si>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</si>
  <si>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</si>
  <si>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</si>
  <si>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</si>
  <si>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</si>
  <si>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</si>
  <si>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</si>
  <si>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</si>
  <si>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</si>
  <si>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</si>
  <si>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</si>
  <si>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</si>
  <si>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</si>
  <si>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</si>
  <si>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</si>
  <si>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</si>
  <si>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</si>
  <si>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</si>
  <si>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</si>
  <si>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</si>
  <si>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</si>
  <si>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</si>
  <si>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</si>
  <si>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</si>
  <si>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</si>
  <si>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</si>
  <si>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</si>
  <si>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</si>
  <si>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</si>
  <si>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</si>
  <si>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</si>
  <si>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</si>
  <si>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</si>
  <si>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</si>
  <si>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</si>
  <si>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</si>
  <si>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</si>
  <si>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</si>
  <si>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</si>
  <si>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</si>
  <si>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</si>
  <si>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</si>
  <si>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</si>
  <si>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</si>
  <si>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</si>
  <si>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</si>
  <si>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</si>
  <si>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</si>
  <si>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</si>
  <si>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</si>
  <si>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</si>
  <si>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</si>
  <si>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</si>
  <si>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</si>
  <si>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</si>
  <si>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</si>
  <si>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</si>
  <si>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</si>
  <si>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</si>
  <si>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</si>
  <si>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</si>
  <si>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</si>
  <si>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</si>
  <si>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</si>
  <si>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</si>
  <si>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</si>
  <si>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</si>
  <si>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</si>
  <si>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</si>
  <si>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</si>
  <si>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</si>
  <si>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</si>
  <si>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</si>
  <si>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</si>
  <si>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</si>
  <si>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</si>
  <si>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</si>
  <si>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</si>
  <si>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</si>
  <si>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</si>
  <si>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</si>
  <si>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</si>
  <si>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</si>
  <si>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</si>
  <si>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</si>
  <si>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</si>
  <si>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</si>
  <si>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</si>
  <si>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</si>
  <si>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</si>
  <si>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</si>
  <si>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</si>
  <si>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</si>
  <si>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</si>
  <si>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</si>
  <si>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</si>
  <si>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</si>
  <si>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</si>
  <si>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</si>
  <si>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</si>
  <si>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</si>
  <si>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</si>
  <si>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</si>
  <si>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</si>
  <si>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</si>
  <si>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</si>
  <si>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</si>
  <si>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</si>
  <si>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</si>
  <si>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</si>
  <si>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</si>
  <si>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</si>
  <si>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</si>
  <si>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</si>
  <si>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</si>
  <si>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</si>
  <si>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</si>
  <si>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</si>
  <si>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</si>
  <si>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</si>
  <si>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</si>
  <si>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</si>
  <si>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</si>
  <si>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</si>
  <si>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</si>
  <si>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</si>
  <si>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</si>
  <si>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</si>
  <si>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</si>
  <si>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</si>
  <si>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</si>
  <si>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</si>
  <si>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</si>
  <si>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</si>
  <si>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</si>
  <si>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</si>
  <si>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</si>
  <si>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</si>
  <si>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</si>
  <si>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</si>
  <si>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</si>
  <si>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</si>
  <si>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</si>
  <si>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</si>
  <si>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</si>
  <si>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</si>
  <si>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</si>
  <si>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</si>
  <si>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</si>
  <si>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</si>
  <si>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</si>
  <si>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</si>
  <si>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</si>
  <si>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</si>
  <si>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</si>
  <si>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</si>
  <si>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</si>
  <si>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</si>
  <si>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</si>
  <si>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</si>
  <si>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</si>
  <si>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</si>
  <si>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</si>
  <si>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</si>
  <si>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</si>
  <si>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</si>
  <si>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</si>
  <si>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</si>
  <si>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</si>
  <si>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</si>
  <si>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</si>
  <si>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</si>
  <si>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</si>
  <si>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</si>
  <si>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</si>
  <si>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</si>
  <si>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</si>
  <si>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</si>
  <si>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</si>
  <si>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</si>
  <si>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</si>
  <si>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</si>
  <si>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</si>
  <si>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</si>
  <si>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</si>
  <si>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</si>
  <si>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</si>
  <si>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</si>
  <si>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</si>
  <si>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</si>
  <si>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</si>
  <si>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</si>
  <si>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</si>
  <si>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</si>
  <si>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</si>
  <si>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</si>
  <si>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</si>
  <si>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</si>
  <si>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</si>
  <si>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</si>
  <si>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</si>
  <si>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</si>
  <si>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</si>
  <si>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</si>
  <si>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</si>
  <si>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</si>
  <si>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</si>
  <si>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</si>
  <si>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</si>
  <si>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</si>
  <si>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</si>
  <si>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</si>
  <si>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</si>
  <si>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</si>
  <si>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</si>
  <si>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</si>
  <si>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</si>
  <si>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</si>
  <si>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</si>
  <si>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</si>
  <si>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</si>
  <si>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</si>
  <si>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</si>
  <si>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</si>
  <si>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</si>
  <si>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</si>
  <si>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</si>
  <si>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</si>
  <si>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</si>
  <si>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</si>
  <si>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</si>
  <si>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</si>
  <si>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</si>
  <si>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</si>
  <si>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</si>
  <si>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</si>
  <si>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</si>
  <si>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</si>
  <si>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</si>
  <si>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</si>
  <si>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</si>
  <si>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</si>
  <si>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</si>
  <si>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</si>
  <si>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</si>
  <si>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</si>
  <si>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</si>
  <si>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</si>
  <si>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</si>
  <si>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</si>
  <si>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</si>
  <si>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</si>
  <si>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</si>
  <si>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</si>
  <si>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</si>
  <si>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</si>
  <si>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</si>
  <si>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</si>
  <si>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</si>
  <si>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</si>
  <si>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</si>
  <si>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</si>
  <si>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</si>
  <si>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</si>
  <si>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</si>
  <si>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</si>
  <si>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</si>
  <si>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</si>
  <si>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</si>
  <si>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</si>
  <si>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</si>
  <si>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</si>
  <si>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</si>
  <si>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</si>
  <si>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</si>
  <si>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</si>
  <si>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</si>
  <si>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</si>
  <si>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</si>
  <si>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</si>
  <si>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</si>
  <si>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</si>
  <si>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</si>
  <si>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</si>
  <si>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</si>
  <si>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</si>
  <si>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</si>
  <si>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</si>
  <si>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</si>
  <si>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</si>
  <si>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</si>
  <si>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</si>
  <si>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</si>
  <si>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</si>
  <si>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</si>
  <si>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</si>
  <si>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</si>
  <si>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</si>
  <si>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</si>
  <si>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</si>
  <si>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</si>
  <si>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</si>
  <si>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</si>
  <si>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</si>
  <si>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</si>
  <si>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</si>
  <si>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</si>
  <si>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</si>
  <si>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</si>
  <si>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</si>
  <si>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</si>
  <si>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</si>
  <si>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</si>
  <si>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</si>
  <si>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</si>
  <si>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</si>
  <si>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</si>
  <si>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</si>
  <si>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</si>
  <si>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</si>
  <si>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</si>
  <si>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</si>
  <si>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</si>
  <si>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</si>
  <si>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</si>
  <si>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</si>
  <si>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</si>
  <si>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</si>
  <si>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</si>
  <si>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</si>
  <si>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</si>
  <si>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</si>
  <si>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</si>
  <si>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</si>
  <si>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</si>
  <si>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</si>
  <si>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</si>
  <si>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</si>
  <si>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</si>
  <si>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</si>
  <si>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</si>
  <si>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</si>
  <si>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</si>
  <si>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</si>
  <si>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</si>
  <si>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</si>
  <si>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</si>
  <si>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</si>
  <si>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</si>
  <si>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</si>
  <si>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</si>
  <si>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</si>
  <si>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</si>
  <si>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</si>
  <si>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</si>
  <si>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</si>
  <si>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</si>
  <si>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</si>
  <si>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</si>
  <si>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</si>
  <si>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</si>
  <si>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</si>
  <si>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</si>
  <si>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</si>
  <si>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</si>
  <si>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</si>
  <si>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</si>
  <si>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</si>
  <si>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</si>
  <si>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</si>
  <si>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</si>
  <si>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</si>
  <si>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</si>
  <si>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</si>
  <si>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</si>
  <si>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</si>
  <si>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</si>
  <si>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</si>
  <si>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</si>
  <si>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</si>
  <si>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</si>
  <si>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</si>
  <si>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</si>
  <si>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</si>
  <si>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</si>
  <si>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</si>
  <si>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</si>
  <si>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</si>
  <si>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</si>
  <si>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</si>
  <si>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</si>
  <si>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</si>
  <si>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</si>
  <si>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</si>
  <si>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</si>
  <si>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</si>
  <si>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</si>
  <si>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</si>
  <si>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</si>
  <si>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</si>
  <si>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</si>
  <si>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</si>
  <si>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</si>
  <si>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</si>
  <si>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</si>
  <si>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</si>
  <si>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</si>
  <si>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</si>
  <si>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</si>
  <si>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</si>
  <si>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</si>
  <si>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</si>
  <si>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</si>
  <si>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</si>
  <si>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</si>
  <si>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</si>
  <si>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</si>
  <si>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</si>
  <si>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</si>
  <si>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</si>
  <si>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</si>
  <si>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</si>
  <si>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</si>
  <si>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</si>
  <si>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</si>
  <si>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</si>
  <si>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</si>
  <si>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</si>
  <si>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</si>
  <si>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</si>
  <si>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</si>
  <si>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</si>
  <si>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</si>
  <si>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</si>
  <si>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</si>
  <si>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</si>
  <si>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</si>
  <si>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</si>
  <si>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</si>
  <si>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</si>
  <si>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</si>
  <si>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</si>
  <si>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</si>
  <si>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</si>
  <si>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</si>
  <si>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</si>
  <si>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</si>
  <si>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</si>
  <si>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</si>
  <si>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</si>
  <si>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</si>
  <si>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</si>
  <si>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</si>
  <si>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</si>
  <si>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</si>
  <si>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</si>
  <si>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</si>
  <si>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</si>
  <si>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</si>
  <si>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</si>
  <si>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</si>
  <si>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</si>
  <si>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</si>
  <si>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</si>
  <si>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</si>
  <si>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</si>
  <si>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</si>
  <si>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</si>
  <si>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</si>
  <si>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</si>
  <si>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</si>
  <si>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</si>
  <si>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</si>
  <si>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</si>
  <si>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</si>
  <si>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</si>
  <si>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</si>
  <si>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</si>
  <si>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</si>
  <si>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</si>
  <si>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</si>
  <si>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</si>
  <si>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</si>
  <si>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</si>
  <si>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</si>
  <si>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</si>
  <si>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</si>
  <si>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</si>
  <si>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</si>
  <si>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</si>
  <si>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</si>
  <si>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</si>
  <si>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</si>
  <si>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</si>
  <si>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</si>
  <si>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</si>
  <si>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</si>
  <si>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</si>
  <si>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</si>
  <si>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</si>
  <si>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</si>
  <si>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</si>
  <si>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</si>
  <si>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</si>
  <si>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</si>
  <si>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</si>
  <si>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</si>
  <si>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</si>
  <si>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</si>
  <si>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</si>
  <si>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</si>
  <si>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</si>
  <si>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</si>
  <si>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"ჰეშ ბანკი"</t>
  </si>
  <si>
    <t>ლაშა პაპაშვილი</t>
  </si>
  <si>
    <t>https://hashbank.ge</t>
  </si>
  <si>
    <t xml:space="preserve">ლაშა პაპაშვილი </t>
  </si>
  <si>
    <t>არადამოუკიდებელი თავმჯდომარე</t>
  </si>
  <si>
    <t xml:space="preserve">მერაბ კაკულია </t>
  </si>
  <si>
    <t>დამოუკიდებელი წევრი</t>
  </si>
  <si>
    <t xml:space="preserve">გოჩა მაცაბერიძე </t>
  </si>
  <si>
    <t xml:space="preserve">თეონა მაკალათია </t>
  </si>
  <si>
    <t>არადამოუკიდებელ წევრი</t>
  </si>
  <si>
    <t xml:space="preserve">ნანა ქებურია </t>
  </si>
  <si>
    <t>გენერალური დირექტორი</t>
  </si>
  <si>
    <t>ირაკლი ჩახნაშვილი</t>
  </si>
  <si>
    <t>ფინანსური დირექტორი</t>
  </si>
  <si>
    <t>გიორგი ჩანადირი</t>
  </si>
  <si>
    <t>გიორგი ქეშელაშვილი</t>
  </si>
  <si>
    <t>რისკების დირექტორი</t>
  </si>
  <si>
    <t>ვოლოდიმირ ნოსოვი</t>
  </si>
  <si>
    <t>სულხან პაპაშვილი</t>
  </si>
  <si>
    <t>ირაკლი გოგიშვილი</t>
  </si>
  <si>
    <t>კომერციული დირექტორი</t>
  </si>
  <si>
    <t xml:space="preserve"> ცხრილი 9 (Capital), N2 </t>
  </si>
  <si>
    <t xml:space="preserve"> ცხრილი 9 (Capital), N 6</t>
  </si>
  <si>
    <t xml:space="preserve"> ცხრილი 9 (Capital), N27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</si>
</sst>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0.0%"/>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_-* #,##0.00\ _₾_-;\-* #,##0.00\ _₾_-;_-* &quot;-&quot;??\ _₾_-;_-@_-"/>
  </numFmts>
  <fonts count="167">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11"/>
      <color theme="1"/>
      <name val="Arial"/>
      <family val="2"/>
    </font>
    <font>
      <sz val="11"/>
      <color rgb="FFFF0000"/>
      <name val="Calibri"/>
      <family val="2"/>
      <scheme val="minor"/>
    </font>
    <font>
      <sz val="10"/>
      <color theme="1"/>
      <name val="Calibri"/>
      <family val="2"/>
    </font>
    <font>
      <b/>
      <sz val="11"/>
      <color rgb="FFFF0000"/>
      <name val="Calibri"/>
      <family val="2"/>
      <scheme val="minor"/>
    </font>
    <font>
      <b/>
      <sz val="9"/>
      <color rgb="FFFF0000"/>
      <name val="Sylfaen"/>
      <family val="1"/>
    </font>
  </fonts>
  <fills count="8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00"/>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20">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9"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68"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69"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9"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0" fontId="69"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9"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168"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9"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9"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9"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88" fontId="2" fillId="69" borderId="99" applyFont="0">
      <alignment horizontal="right" vertical="center"/>
    </xf>
    <xf numFmtId="3" fontId="2" fillId="69" borderId="99" applyFont="0">
      <alignment horizontal="right" vertical="center"/>
    </xf>
    <xf numFmtId="0" fontId="83"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9"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3" fontId="2" fillId="74" borderId="99" applyFont="0">
      <alignment horizontal="right" vertical="center"/>
      <protection locked="0"/>
    </xf>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3" fontId="2" fillId="71" borderId="99" applyFont="0">
      <alignment horizontal="right" vertical="center"/>
      <protection locked="0"/>
    </xf>
    <xf numFmtId="0" fontId="66"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9"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2" fillId="70" borderId="100" applyNumberFormat="0" applyFont="0" applyBorder="0" applyProtection="0">
      <alignment horizontal="left" vertical="center"/>
    </xf>
    <xf numFmtId="9" fontId="2" fillId="70" borderId="99" applyFont="0" applyProtection="0">
      <alignment horizontal="right" vertical="center"/>
    </xf>
    <xf numFmtId="3" fontId="2" fillId="70" borderId="99" applyFont="0" applyProtection="0">
      <alignment horizontal="right" vertical="center"/>
    </xf>
    <xf numFmtId="0" fontId="62" fillId="69" borderId="100" applyFont="0" applyBorder="0">
      <alignment horizontal="center" wrapText="1"/>
    </xf>
    <xf numFmtId="168" fontId="54" fillId="0" borderId="97">
      <alignment horizontal="left" vertical="center"/>
    </xf>
    <xf numFmtId="0" fontId="54" fillId="0" borderId="97">
      <alignment horizontal="left" vertical="center"/>
    </xf>
    <xf numFmtId="0" fontId="54" fillId="0" borderId="97">
      <alignment horizontal="left" vertical="center"/>
    </xf>
    <xf numFmtId="0" fontId="2" fillId="68" borderId="99" applyNumberFormat="0" applyFont="0" applyBorder="0" applyProtection="0">
      <alignment horizontal="center" vertical="center"/>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8"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9"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1" fillId="0" borderId="0"/>
    <xf numFmtId="169" fontId="26" fillId="36" borderId="0"/>
    <xf numFmtId="0" fontId="2" fillId="0" borderId="0">
      <alignment vertical="center"/>
    </xf>
    <xf numFmtId="164" fontId="1" fillId="0" borderId="0" applyFont="0" applyFill="0" applyBorder="0" applyAlignment="0" applyProtection="0"/>
    <xf numFmtId="0" fontId="128" fillId="0" borderId="0"/>
    <xf numFmtId="0" fontId="1" fillId="0" borderId="0"/>
    <xf numFmtId="0" fontId="1" fillId="0" borderId="0"/>
    <xf numFmtId="164" fontId="2" fillId="0" borderId="0" applyFont="0" applyFill="0" applyBorder="0" applyAlignment="0" applyProtection="0"/>
    <xf numFmtId="43" fontId="164" fillId="0" borderId="0" applyFont="0" applyFill="0" applyBorder="0" applyAlignment="0" applyProtection="0"/>
    <xf numFmtId="164" fontId="1" fillId="0" borderId="0" applyFont="0" applyFill="0" applyBorder="0" applyAlignment="0" applyProtection="0"/>
  </cellStyleXfs>
  <cellXfs count="1039">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5" fontId="7" fillId="3" borderId="3" xfId="1" applyNumberFormat="1" applyFont="1" applyFill="1" applyBorder="1" applyAlignment="1" applyProtection="1">
      <alignment horizontal="center" vertical="center" wrapText="1"/>
      <protection locked="0"/>
    </xf>
    <xf numFmtId="165" fontId="7" fillId="3" borderId="19" xfId="1" applyNumberFormat="1" applyFont="1" applyFill="1" applyBorder="1" applyAlignment="1" applyProtection="1">
      <alignment horizontal="center" vertical="center" wrapText="1"/>
      <protection locked="0"/>
    </xf>
    <xf numFmtId="165"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5"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3" fillId="0" borderId="60" xfId="0" applyNumberFormat="1" applyFont="1" applyBorder="1" applyAlignment="1">
      <alignment horizontal="center"/>
    </xf>
    <xf numFmtId="167" fontId="23" fillId="0" borderId="58" xfId="0" applyNumberFormat="1" applyFont="1" applyBorder="1" applyAlignment="1">
      <alignment horizontal="center"/>
    </xf>
    <xf numFmtId="167" fontId="19" fillId="0" borderId="58" xfId="0" applyNumberFormat="1" applyFont="1" applyBorder="1" applyAlignment="1">
      <alignment horizontal="center"/>
    </xf>
    <xf numFmtId="167" fontId="23" fillId="0" borderId="61" xfId="0" applyNumberFormat="1" applyFont="1" applyBorder="1" applyAlignment="1">
      <alignment horizontal="center"/>
    </xf>
    <xf numFmtId="167" fontId="23" fillId="0" borderId="62"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3"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2" fillId="0" borderId="3" xfId="20960" applyFont="1" applyFill="1" applyBorder="1" applyAlignment="1" applyProtection="1">
      <alignment horizontal="center" vertical="center"/>
    </xf>
    <xf numFmtId="0" fontId="103"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8"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4" fillId="0" borderId="22" xfId="0" applyFont="1" applyFill="1" applyBorder="1" applyAlignment="1">
      <alignment horizontal="center" vertical="center"/>
    </xf>
    <xf numFmtId="0" fontId="105" fillId="0" borderId="0" xfId="0" applyFont="1" applyFill="1" applyBorder="1" applyAlignment="1"/>
    <xf numFmtId="49" fontId="105" fillId="0" borderId="7" xfId="0" applyNumberFormat="1" applyFont="1" applyFill="1" applyBorder="1" applyAlignment="1">
      <alignment horizontal="right" vertical="center"/>
    </xf>
    <xf numFmtId="49" fontId="105" fillId="0" borderId="76" xfId="0" applyNumberFormat="1" applyFont="1" applyFill="1" applyBorder="1" applyAlignment="1">
      <alignment horizontal="right" vertical="center"/>
    </xf>
    <xf numFmtId="49" fontId="105" fillId="0" borderId="79" xfId="0" applyNumberFormat="1" applyFont="1" applyFill="1" applyBorder="1" applyAlignment="1">
      <alignment horizontal="right" vertical="center"/>
    </xf>
    <xf numFmtId="49" fontId="105" fillId="0" borderId="84"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84"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3" fontId="21" fillId="35" borderId="23"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193" fontId="0" fillId="35" borderId="18" xfId="0" applyNumberFormat="1" applyFill="1" applyBorder="1" applyAlignment="1">
      <alignment horizontal="center" vertical="center"/>
    </xf>
    <xf numFmtId="193" fontId="0" fillId="0" borderId="20" xfId="0" applyNumberFormat="1" applyBorder="1" applyAlignment="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7" fillId="35"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5"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5" borderId="20" xfId="2" applyNumberFormat="1" applyFont="1" applyFill="1" applyBorder="1" applyAlignment="1" applyProtection="1">
      <alignment vertical="top" wrapText="1"/>
      <protection locked="0"/>
    </xf>
    <xf numFmtId="193" fontId="7" fillId="35" borderId="24" xfId="2" applyNumberFormat="1" applyFont="1" applyFill="1" applyBorder="1" applyAlignment="1" applyProtection="1">
      <alignment vertical="top" wrapText="1"/>
    </xf>
    <xf numFmtId="193" fontId="4" fillId="0" borderId="3" xfId="0" applyNumberFormat="1" applyFont="1" applyBorder="1" applyAlignment="1"/>
    <xf numFmtId="193" fontId="4" fillId="35" borderId="23" xfId="0" applyNumberFormat="1" applyFont="1" applyFill="1" applyBorder="1"/>
    <xf numFmtId="193" fontId="4" fillId="0" borderId="19" xfId="0" applyNumberFormat="1" applyFont="1" applyBorder="1" applyAlignment="1"/>
    <xf numFmtId="193" fontId="4" fillId="0" borderId="20" xfId="0" applyNumberFormat="1" applyFont="1" applyBorder="1" applyAlignment="1"/>
    <xf numFmtId="193" fontId="4" fillId="35" borderId="51" xfId="0" applyNumberFormat="1" applyFont="1" applyFill="1" applyBorder="1" applyAlignment="1"/>
    <xf numFmtId="193" fontId="4" fillId="35" borderId="22" xfId="0" applyNumberFormat="1" applyFont="1" applyFill="1" applyBorder="1"/>
    <xf numFmtId="193" fontId="4" fillId="35" borderId="24" xfId="0" applyNumberFormat="1" applyFont="1" applyFill="1" applyBorder="1"/>
    <xf numFmtId="193" fontId="4" fillId="35" borderId="52" xfId="0" applyNumberFormat="1" applyFont="1" applyFill="1" applyBorder="1"/>
    <xf numFmtId="193" fontId="4" fillId="0" borderId="3" xfId="0" applyNumberFormat="1" applyFont="1" applyBorder="1"/>
    <xf numFmtId="193" fontId="4" fillId="0" borderId="3"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applyAlignment="1"/>
    <xf numFmtId="0" fontId="4" fillId="0" borderId="26" xfId="0" applyFont="1" applyBorder="1" applyAlignment="1">
      <alignment wrapText="1"/>
    </xf>
    <xf numFmtId="193" fontId="4" fillId="0" borderId="8" xfId="0" applyNumberFormat="1" applyFont="1" applyBorder="1"/>
    <xf numFmtId="193" fontId="4" fillId="0" borderId="21" xfId="0" applyNumberFormat="1" applyFont="1" applyBorder="1" applyAlignment="1"/>
    <xf numFmtId="193" fontId="4" fillId="0" borderId="21"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6"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5" borderId="24" xfId="20961" applyFont="1" applyFill="1" applyBorder="1"/>
    <xf numFmtId="167" fontId="4" fillId="0" borderId="20" xfId="0" applyNumberFormat="1" applyFont="1" applyBorder="1" applyAlignment="1"/>
    <xf numFmtId="167" fontId="6" fillId="35" borderId="23" xfId="0" applyNumberFormat="1" applyFont="1" applyFill="1" applyBorder="1" applyAlignment="1">
      <alignment horizontal="center" vertical="center"/>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6" fillId="36" borderId="0" xfId="20" applyBorder="1"/>
    <xf numFmtId="169" fontId="26" fillId="36" borderId="92" xfId="20" applyBorder="1"/>
    <xf numFmtId="0" fontId="4" fillId="0" borderId="7" xfId="0" applyFont="1" applyFill="1" applyBorder="1" applyAlignment="1">
      <alignment vertical="center"/>
    </xf>
    <xf numFmtId="0" fontId="4" fillId="0" borderId="99" xfId="0" applyFont="1" applyFill="1" applyBorder="1" applyAlignment="1">
      <alignment vertical="center"/>
    </xf>
    <xf numFmtId="0" fontId="6" fillId="0" borderId="99" xfId="0" applyFont="1" applyFill="1" applyBorder="1" applyAlignment="1">
      <alignment vertical="center"/>
    </xf>
    <xf numFmtId="0" fontId="4" fillId="0" borderId="17" xfId="0" applyFont="1" applyFill="1" applyBorder="1" applyAlignment="1">
      <alignment vertical="center"/>
    </xf>
    <xf numFmtId="0" fontId="4" fillId="0" borderId="94" xfId="0" applyFont="1" applyFill="1" applyBorder="1" applyAlignment="1">
      <alignment vertical="center"/>
    </xf>
    <xf numFmtId="0" fontId="4" fillId="0" borderId="96" xfId="0" applyFont="1" applyFill="1" applyBorder="1" applyAlignment="1">
      <alignment vertical="center"/>
    </xf>
    <xf numFmtId="0" fontId="4" fillId="0" borderId="16" xfId="0" applyFont="1" applyFill="1" applyBorder="1" applyAlignment="1">
      <alignment horizontal="center" vertical="center"/>
    </xf>
    <xf numFmtId="0" fontId="4" fillId="0" borderId="107" xfId="0" applyFont="1" applyFill="1" applyBorder="1" applyAlignment="1">
      <alignment horizontal="center" vertical="center"/>
    </xf>
    <xf numFmtId="0" fontId="4" fillId="0" borderId="109" xfId="0" applyFont="1" applyFill="1" applyBorder="1" applyAlignment="1">
      <alignment horizontal="center" vertical="center"/>
    </xf>
    <xf numFmtId="169" fontId="26" fillId="36" borderId="29" xfId="20" applyBorder="1"/>
    <xf numFmtId="169" fontId="26" fillId="36" borderId="111" xfId="20" applyBorder="1"/>
    <xf numFmtId="169" fontId="26" fillId="36" borderId="101" xfId="20" applyBorder="1"/>
    <xf numFmtId="169" fontId="26" fillId="36" borderId="55" xfId="20" applyBorder="1"/>
    <xf numFmtId="0" fontId="4" fillId="3" borderId="63" xfId="0" applyFont="1" applyFill="1" applyBorder="1" applyAlignment="1">
      <alignment horizontal="center" vertical="center"/>
    </xf>
    <xf numFmtId="0" fontId="4" fillId="3" borderId="0" xfId="0" applyFont="1" applyFill="1" applyBorder="1" applyAlignment="1">
      <alignment vertical="center"/>
    </xf>
    <xf numFmtId="0" fontId="4" fillId="0" borderId="69" xfId="0" applyFont="1" applyFill="1" applyBorder="1" applyAlignment="1">
      <alignment horizontal="center" vertical="center"/>
    </xf>
    <xf numFmtId="0" fontId="4" fillId="3" borderId="97" xfId="0" applyFont="1" applyFill="1" applyBorder="1" applyAlignment="1">
      <alignment vertical="center"/>
    </xf>
    <xf numFmtId="0" fontId="14" fillId="3" borderId="112" xfId="0" applyFont="1" applyFill="1" applyBorder="1" applyAlignment="1">
      <alignment horizontal="left"/>
    </xf>
    <xf numFmtId="0" fontId="14" fillId="3" borderId="113" xfId="0" applyFont="1" applyFill="1" applyBorder="1" applyAlignment="1">
      <alignment horizontal="left"/>
    </xf>
    <xf numFmtId="0" fontId="4" fillId="0" borderId="0" xfId="0" applyFont="1"/>
    <xf numFmtId="0" fontId="4" fillId="0" borderId="0" xfId="0" applyFont="1" applyFill="1"/>
    <xf numFmtId="0" fontId="4" fillId="0" borderId="99" xfId="0" applyFont="1" applyFill="1" applyBorder="1" applyAlignment="1">
      <alignment horizontal="center" vertical="center" wrapText="1"/>
    </xf>
    <xf numFmtId="0" fontId="105" fillId="0" borderId="86" xfId="0" applyFont="1" applyFill="1" applyBorder="1" applyAlignment="1">
      <alignment horizontal="right" vertical="center"/>
    </xf>
    <xf numFmtId="0" fontId="4" fillId="0" borderId="114" xfId="0" applyFont="1" applyFill="1" applyBorder="1" applyAlignment="1">
      <alignment horizontal="center" vertical="center" wrapText="1"/>
    </xf>
    <xf numFmtId="0" fontId="6" fillId="3" borderId="115" xfId="0" applyFont="1" applyFill="1" applyBorder="1" applyAlignment="1">
      <alignment vertical="center"/>
    </xf>
    <xf numFmtId="0" fontId="4" fillId="3" borderId="21" xfId="0" applyFont="1" applyFill="1" applyBorder="1" applyAlignment="1">
      <alignment vertical="center"/>
    </xf>
    <xf numFmtId="0" fontId="4" fillId="0" borderId="116" xfId="0" applyFont="1" applyFill="1" applyBorder="1" applyAlignment="1">
      <alignment horizontal="center" vertical="center"/>
    </xf>
    <xf numFmtId="0" fontId="6" fillId="0" borderId="23" xfId="0" applyFont="1" applyFill="1" applyBorder="1" applyAlignment="1">
      <alignment vertical="center"/>
    </xf>
    <xf numFmtId="169" fontId="26" fillId="36" borderId="25" xfId="20" applyBorder="1"/>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6" xfId="0" applyBorder="1"/>
    <xf numFmtId="0" fontId="0" fillId="0" borderId="22" xfId="0" applyBorder="1"/>
    <xf numFmtId="0" fontId="6" fillId="35" borderId="117"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6" xfId="0" applyFont="1" applyFill="1" applyBorder="1" applyAlignment="1">
      <alignment horizontal="left" vertical="center" wrapText="1"/>
    </xf>
    <xf numFmtId="0" fontId="6" fillId="35" borderId="99" xfId="0" applyFont="1" applyFill="1" applyBorder="1" applyAlignment="1">
      <alignment horizontal="left" vertical="center" wrapText="1"/>
    </xf>
    <xf numFmtId="0" fontId="6" fillId="35" borderId="114" xfId="0" applyFont="1" applyFill="1" applyBorder="1" applyAlignment="1">
      <alignment horizontal="left" vertical="center" wrapText="1"/>
    </xf>
    <xf numFmtId="0" fontId="4" fillId="0" borderId="116" xfId="0" applyFont="1" applyFill="1" applyBorder="1" applyAlignment="1">
      <alignment horizontal="right" vertical="center" wrapText="1"/>
    </xf>
    <xf numFmtId="0" fontId="4" fillId="0" borderId="99" xfId="0" applyFont="1" applyFill="1" applyBorder="1" applyAlignment="1">
      <alignment horizontal="left" vertical="center" wrapText="1"/>
    </xf>
    <xf numFmtId="0" fontId="108" fillId="0" borderId="116" xfId="0" applyFont="1" applyFill="1" applyBorder="1" applyAlignment="1">
      <alignment horizontal="right" vertical="center" wrapText="1"/>
    </xf>
    <xf numFmtId="0" fontId="108" fillId="0" borderId="99" xfId="0" applyFont="1" applyFill="1" applyBorder="1" applyAlignment="1">
      <alignment horizontal="left" vertical="center" wrapText="1"/>
    </xf>
    <xf numFmtId="0" fontId="6" fillId="0" borderId="11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22" xfId="5" applyNumberFormat="1" applyFont="1" applyFill="1" applyBorder="1" applyAlignment="1" applyProtection="1">
      <alignment horizontal="left" vertical="center"/>
      <protection locked="0"/>
    </xf>
    <xf numFmtId="0" fontId="110" fillId="0" borderId="23" xfId="9" applyFont="1" applyFill="1" applyBorder="1" applyAlignment="1" applyProtection="1">
      <alignment horizontal="left" vertical="center" wrapText="1"/>
      <protection locked="0"/>
    </xf>
    <xf numFmtId="0" fontId="20" fillId="0" borderId="116" xfId="0" applyFont="1" applyBorder="1" applyAlignment="1">
      <alignment horizontal="center" vertical="center" wrapText="1"/>
    </xf>
    <xf numFmtId="3" fontId="21" fillId="35" borderId="99" xfId="0" applyNumberFormat="1" applyFont="1" applyFill="1" applyBorder="1" applyAlignment="1">
      <alignment vertical="center" wrapText="1"/>
    </xf>
    <xf numFmtId="3" fontId="21" fillId="35" borderId="114" xfId="0" applyNumberFormat="1" applyFont="1" applyFill="1" applyBorder="1" applyAlignment="1">
      <alignment vertical="center" wrapText="1"/>
    </xf>
    <xf numFmtId="14" fontId="7" fillId="3" borderId="99" xfId="8" quotePrefix="1" applyNumberFormat="1" applyFont="1" applyFill="1" applyBorder="1" applyAlignment="1" applyProtection="1">
      <alignment horizontal="left" vertical="center" wrapText="1" indent="2"/>
      <protection locked="0"/>
    </xf>
    <xf numFmtId="3" fontId="21" fillId="0" borderId="99" xfId="0" applyNumberFormat="1" applyFont="1" applyBorder="1" applyAlignment="1">
      <alignment vertical="center" wrapText="1"/>
    </xf>
    <xf numFmtId="14" fontId="7" fillId="3" borderId="99" xfId="8" quotePrefix="1" applyNumberFormat="1" applyFont="1" applyFill="1" applyBorder="1" applyAlignment="1" applyProtection="1">
      <alignment horizontal="left" vertical="center" wrapText="1" indent="3"/>
      <protection locked="0"/>
    </xf>
    <xf numFmtId="3" fontId="21" fillId="0" borderId="99" xfId="0" applyNumberFormat="1" applyFont="1" applyFill="1" applyBorder="1" applyAlignment="1">
      <alignment vertical="center" wrapText="1"/>
    </xf>
    <xf numFmtId="0" fontId="11" fillId="0" borderId="99" xfId="17" applyFill="1" applyBorder="1" applyAlignment="1" applyProtection="1"/>
    <xf numFmtId="49" fontId="108" fillId="0" borderId="116" xfId="0" applyNumberFormat="1" applyFont="1" applyFill="1" applyBorder="1" applyAlignment="1">
      <alignment horizontal="right" vertical="center" wrapText="1"/>
    </xf>
    <xf numFmtId="0" fontId="7" fillId="3" borderId="99" xfId="20960" applyFont="1" applyFill="1" applyBorder="1" applyAlignment="1" applyProtection="1"/>
    <xf numFmtId="0" fontId="102" fillId="0" borderId="99" xfId="20960" applyFont="1" applyFill="1" applyBorder="1" applyAlignment="1" applyProtection="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8" fillId="0" borderId="99" xfId="0" applyNumberFormat="1" applyFont="1" applyFill="1" applyBorder="1" applyAlignment="1">
      <alignment horizontal="right" vertical="center" wrapText="1"/>
    </xf>
    <xf numFmtId="0" fontId="11" fillId="0" borderId="99" xfId="17" applyFill="1" applyBorder="1" applyAlignment="1" applyProtection="1">
      <alignment horizontal="left" vertical="center"/>
    </xf>
    <xf numFmtId="0" fontId="4" fillId="0" borderId="99" xfId="0" applyFont="1" applyFill="1" applyBorder="1"/>
    <xf numFmtId="0" fontId="20" fillId="0" borderId="116" xfId="0" applyFont="1" applyFill="1" applyBorder="1" applyAlignment="1">
      <alignment horizontal="center" vertical="center" wrapText="1"/>
    </xf>
    <xf numFmtId="10" fontId="7" fillId="0" borderId="99" xfId="20961" applyNumberFormat="1" applyFont="1" applyFill="1" applyBorder="1" applyAlignment="1">
      <alignment horizontal="left" vertical="center" wrapText="1"/>
    </xf>
    <xf numFmtId="10" fontId="4" fillId="0"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left" vertical="center" wrapText="1"/>
    </xf>
    <xf numFmtId="10" fontId="108" fillId="0" borderId="99" xfId="20961" applyNumberFormat="1" applyFont="1" applyFill="1" applyBorder="1" applyAlignment="1">
      <alignment horizontal="left" vertical="center" wrapText="1"/>
    </xf>
    <xf numFmtId="10" fontId="6" fillId="35"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center" vertical="center" wrapText="1"/>
    </xf>
    <xf numFmtId="10" fontId="110" fillId="0" borderId="23" xfId="20961" applyNumberFormat="1" applyFont="1" applyFill="1" applyBorder="1" applyAlignment="1" applyProtection="1">
      <alignment horizontal="left" vertical="center"/>
    </xf>
    <xf numFmtId="43" fontId="7" fillId="0" borderId="0" xfId="7" applyFont="1"/>
    <xf numFmtId="0" fontId="106"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9" fillId="0" borderId="116" xfId="0" applyFont="1" applyFill="1" applyBorder="1" applyAlignment="1">
      <alignment horizontal="right" vertical="center" wrapText="1"/>
    </xf>
    <xf numFmtId="0" fontId="7" fillId="0" borderId="99" xfId="0" applyFont="1" applyFill="1" applyBorder="1" applyAlignment="1">
      <alignment vertical="center" wrapText="1"/>
    </xf>
    <xf numFmtId="0" fontId="4" fillId="0" borderId="99" xfId="0" applyFont="1" applyBorder="1" applyAlignment="1">
      <alignment vertical="center" wrapText="1"/>
    </xf>
    <xf numFmtId="0" fontId="4" fillId="0" borderId="99" xfId="0" applyFont="1" applyFill="1" applyBorder="1" applyAlignment="1">
      <alignment horizontal="left" vertical="center" wrapText="1" indent="2"/>
    </xf>
    <xf numFmtId="0" fontId="4" fillId="0" borderId="99" xfId="0" applyFont="1" applyFill="1" applyBorder="1" applyAlignment="1">
      <alignment vertical="center" wrapText="1"/>
    </xf>
    <xf numFmtId="3" fontId="21" fillId="35" borderId="100" xfId="0" applyNumberFormat="1" applyFont="1" applyFill="1" applyBorder="1" applyAlignment="1">
      <alignment vertical="center" wrapText="1"/>
    </xf>
    <xf numFmtId="3" fontId="21" fillId="35" borderId="21" xfId="0" applyNumberFormat="1" applyFont="1" applyFill="1" applyBorder="1" applyAlignment="1">
      <alignment vertical="center" wrapText="1"/>
    </xf>
    <xf numFmtId="3" fontId="21" fillId="0" borderId="100" xfId="0" applyNumberFormat="1" applyFont="1" applyBorder="1" applyAlignment="1">
      <alignment vertical="center" wrapText="1"/>
    </xf>
    <xf numFmtId="3" fontId="21" fillId="0" borderId="21" xfId="0" applyNumberFormat="1" applyFont="1" applyBorder="1" applyAlignment="1">
      <alignment vertical="center" wrapText="1"/>
    </xf>
    <xf numFmtId="3" fontId="21" fillId="0" borderId="21" xfId="0" applyNumberFormat="1" applyFont="1" applyFill="1" applyBorder="1" applyAlignment="1">
      <alignment vertical="center" wrapText="1"/>
    </xf>
    <xf numFmtId="3" fontId="21" fillId="35" borderId="25" xfId="0" applyNumberFormat="1" applyFont="1" applyFill="1" applyBorder="1" applyAlignment="1">
      <alignment vertical="center" wrapText="1"/>
    </xf>
    <xf numFmtId="3" fontId="21" fillId="35"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4" xfId="0" applyFont="1" applyBorder="1" applyAlignment="1"/>
    <xf numFmtId="0" fontId="9" fillId="0" borderId="114" xfId="0" applyFont="1" applyBorder="1" applyAlignment="1"/>
    <xf numFmtId="0" fontId="9" fillId="0" borderId="114" xfId="0" applyFont="1" applyBorder="1" applyAlignment="1">
      <alignment wrapText="1"/>
    </xf>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6"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6" fillId="0" borderId="99" xfId="0" applyFont="1" applyFill="1" applyBorder="1" applyAlignment="1">
      <alignment horizontal="left" vertical="center" wrapText="1"/>
    </xf>
    <xf numFmtId="193" fontId="7" fillId="0" borderId="99" xfId="0" applyNumberFormat="1" applyFont="1" applyFill="1" applyBorder="1" applyAlignment="1" applyProtection="1">
      <alignment vertical="center" wrapText="1"/>
      <protection locked="0"/>
    </xf>
    <xf numFmtId="193" fontId="4" fillId="0" borderId="99" xfId="0" applyNumberFormat="1" applyFont="1" applyFill="1" applyBorder="1" applyAlignment="1" applyProtection="1">
      <alignment vertical="center" wrapText="1"/>
      <protection locked="0"/>
    </xf>
    <xf numFmtId="193" fontId="7" fillId="0" borderId="99" xfId="0" applyNumberFormat="1" applyFont="1" applyFill="1" applyBorder="1" applyAlignment="1" applyProtection="1">
      <alignment horizontal="right" vertical="center" wrapText="1"/>
      <protection locked="0"/>
    </xf>
    <xf numFmtId="0" fontId="7" fillId="0" borderId="99" xfId="0" applyFont="1" applyBorder="1" applyAlignment="1">
      <alignment vertical="center" wrapText="1"/>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3" fontId="9" fillId="2" borderId="99" xfId="0" applyNumberFormat="1" applyFont="1" applyFill="1" applyBorder="1" applyAlignment="1" applyProtection="1">
      <alignment vertical="center"/>
      <protection locked="0"/>
    </xf>
    <xf numFmtId="0" fontId="15" fillId="0" borderId="116" xfId="0" applyFont="1" applyFill="1" applyBorder="1" applyAlignment="1">
      <alignment horizontal="center" vertical="center" wrapText="1"/>
    </xf>
    <xf numFmtId="14" fontId="4" fillId="0" borderId="0" xfId="0" applyNumberFormat="1" applyFont="1"/>
    <xf numFmtId="10" fontId="4" fillId="0" borderId="99" xfId="20961" applyNumberFormat="1" applyFont="1" applyFill="1" applyBorder="1" applyAlignment="1" applyProtection="1">
      <alignment horizontal="right" vertical="center" wrapText="1"/>
      <protection locked="0"/>
    </xf>
    <xf numFmtId="10" fontId="4" fillId="0" borderId="99"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54" xfId="0" applyFont="1" applyFill="1" applyBorder="1"/>
    <xf numFmtId="0" fontId="4" fillId="3" borderId="119" xfId="0" applyFont="1" applyFill="1" applyBorder="1" applyAlignment="1">
      <alignment wrapText="1"/>
    </xf>
    <xf numFmtId="0" fontId="4" fillId="3" borderId="120" xfId="0" applyFont="1" applyFill="1" applyBorder="1"/>
    <xf numFmtId="0" fontId="6" fillId="3" borderId="11" xfId="0" applyFont="1" applyFill="1" applyBorder="1" applyAlignment="1">
      <alignment horizontal="center" wrapText="1"/>
    </xf>
    <xf numFmtId="0" fontId="4" fillId="0" borderId="99" xfId="0" applyFont="1" applyFill="1" applyBorder="1" applyAlignment="1">
      <alignment horizontal="center"/>
    </xf>
    <xf numFmtId="0" fontId="4" fillId="0" borderId="99" xfId="0" applyFont="1" applyBorder="1" applyAlignment="1">
      <alignment horizontal="center"/>
    </xf>
    <xf numFmtId="0" fontId="4" fillId="3" borderId="63"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2" xfId="0" applyFont="1" applyFill="1" applyBorder="1" applyAlignment="1">
      <alignment horizontal="center" vertical="center" wrapText="1"/>
    </xf>
    <xf numFmtId="0" fontId="4" fillId="0" borderId="116" xfId="0" applyFont="1" applyBorder="1"/>
    <xf numFmtId="0" fontId="4" fillId="0" borderId="99" xfId="0" applyFont="1" applyBorder="1" applyAlignment="1">
      <alignment wrapText="1"/>
    </xf>
    <xf numFmtId="165" fontId="4" fillId="0" borderId="99" xfId="7" applyNumberFormat="1" applyFont="1" applyBorder="1"/>
    <xf numFmtId="165" fontId="4" fillId="0" borderId="114" xfId="7" applyNumberFormat="1" applyFont="1" applyBorder="1"/>
    <xf numFmtId="0" fontId="14" fillId="0" borderId="99" xfId="0" applyFont="1" applyBorder="1" applyAlignment="1">
      <alignment horizontal="left" wrapText="1" indent="2"/>
    </xf>
    <xf numFmtId="169" fontId="26" fillId="36" borderId="99" xfId="20" applyBorder="1"/>
    <xf numFmtId="165" fontId="4" fillId="0" borderId="99" xfId="7" applyNumberFormat="1" applyFont="1" applyBorder="1" applyAlignment="1">
      <alignment vertical="center"/>
    </xf>
    <xf numFmtId="0" fontId="6" fillId="0" borderId="116" xfId="0" applyFont="1" applyBorder="1"/>
    <xf numFmtId="0" fontId="6" fillId="0" borderId="99" xfId="0" applyFont="1" applyBorder="1" applyAlignment="1">
      <alignment wrapText="1"/>
    </xf>
    <xf numFmtId="165" fontId="6" fillId="0" borderId="114" xfId="7" applyNumberFormat="1" applyFont="1" applyBorder="1"/>
    <xf numFmtId="0" fontId="3" fillId="3" borderId="63" xfId="0" applyFont="1" applyFill="1" applyBorder="1" applyAlignment="1">
      <alignment horizontal="left"/>
    </xf>
    <xf numFmtId="165" fontId="4" fillId="3" borderId="0" xfId="7" applyNumberFormat="1" applyFont="1" applyFill="1" applyBorder="1"/>
    <xf numFmtId="165" fontId="4" fillId="3" borderId="0" xfId="7" applyNumberFormat="1" applyFont="1" applyFill="1" applyBorder="1" applyAlignment="1">
      <alignment vertical="center"/>
    </xf>
    <xf numFmtId="165" fontId="4" fillId="3" borderId="92" xfId="7" applyNumberFormat="1" applyFont="1" applyFill="1" applyBorder="1"/>
    <xf numFmtId="165" fontId="4" fillId="0" borderId="99" xfId="7" applyNumberFormat="1" applyFont="1" applyFill="1" applyBorder="1"/>
    <xf numFmtId="165" fontId="4" fillId="0" borderId="99" xfId="7" applyNumberFormat="1" applyFont="1" applyFill="1" applyBorder="1" applyAlignment="1">
      <alignment vertical="center"/>
    </xf>
    <xf numFmtId="0" fontId="14" fillId="0" borderId="99"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2" xfId="0" applyFont="1" applyFill="1" applyBorder="1"/>
    <xf numFmtId="0" fontId="6" fillId="0" borderId="22" xfId="0" applyFont="1" applyBorder="1"/>
    <xf numFmtId="0" fontId="6" fillId="0" borderId="23" xfId="0" applyFont="1" applyBorder="1" applyAlignment="1">
      <alignment wrapText="1"/>
    </xf>
    <xf numFmtId="169" fontId="26" fillId="36" borderId="117"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0" fontId="9" fillId="0" borderId="99" xfId="0" applyFont="1" applyFill="1" applyBorder="1" applyAlignment="1">
      <alignment horizontal="left" vertical="center" wrapText="1"/>
    </xf>
    <xf numFmtId="0" fontId="6" fillId="3" borderId="0" xfId="0" applyFont="1" applyFill="1" applyBorder="1" applyAlignment="1">
      <alignment horizontal="center"/>
    </xf>
    <xf numFmtId="0" fontId="105" fillId="0" borderId="86" xfId="0" applyFont="1" applyFill="1" applyBorder="1" applyAlignment="1">
      <alignment horizontal="left" vertical="center"/>
    </xf>
    <xf numFmtId="0" fontId="105" fillId="0" borderId="84" xfId="0" applyFont="1" applyFill="1" applyBorder="1" applyAlignment="1">
      <alignment vertical="center" wrapText="1"/>
    </xf>
    <xf numFmtId="0" fontId="105" fillId="0" borderId="84"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0" fontId="116" fillId="0" borderId="0" xfId="0" applyFont="1" applyAlignment="1">
      <alignment wrapText="1"/>
    </xf>
    <xf numFmtId="0" fontId="119" fillId="0" borderId="0" xfId="0" applyFont="1"/>
    <xf numFmtId="0" fontId="116" fillId="0" borderId="0" xfId="0" applyFont="1" applyFill="1"/>
    <xf numFmtId="0" fontId="116" fillId="0" borderId="0" xfId="0" applyFont="1" applyBorder="1"/>
    <xf numFmtId="0" fontId="116" fillId="0" borderId="0" xfId="0" applyFont="1" applyBorder="1" applyAlignment="1">
      <alignment horizontal="left"/>
    </xf>
    <xf numFmtId="0" fontId="118" fillId="0" borderId="130" xfId="0" applyNumberFormat="1" applyFont="1" applyFill="1" applyBorder="1" applyAlignment="1">
      <alignment horizontal="left" vertical="center" wrapText="1"/>
    </xf>
    <xf numFmtId="0" fontId="124" fillId="0" borderId="0" xfId="0" applyFont="1"/>
    <xf numFmtId="49" fontId="105" fillId="0" borderId="99" xfId="0" applyNumberFormat="1" applyFont="1" applyFill="1" applyBorder="1" applyAlignment="1">
      <alignment horizontal="right" vertical="center"/>
    </xf>
    <xf numFmtId="0" fontId="125" fillId="0" borderId="0" xfId="0" applyFont="1" applyFill="1" applyBorder="1" applyAlignment="1"/>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0" xfId="0" applyFont="1" applyFill="1" applyAlignment="1">
      <alignment horizontal="left" vertical="top" wrapText="1"/>
    </xf>
    <xf numFmtId="193" fontId="7" fillId="3" borderId="114" xfId="2" applyNumberFormat="1" applyFont="1" applyFill="1" applyBorder="1" applyAlignment="1" applyProtection="1">
      <alignment vertical="top" wrapText="1"/>
      <protection locked="0"/>
    </xf>
    <xf numFmtId="0" fontId="9" fillId="0" borderId="99" xfId="0" applyFont="1" applyFill="1" applyBorder="1" applyAlignment="1" applyProtection="1">
      <alignment horizontal="center" vertical="center" wrapText="1"/>
    </xf>
    <xf numFmtId="0" fontId="3" fillId="0" borderId="99" xfId="0" applyFont="1" applyBorder="1" applyAlignment="1">
      <alignment horizontal="center" vertical="center"/>
    </xf>
    <xf numFmtId="0" fontId="129" fillId="3" borderId="99" xfId="21414" applyFont="1" applyFill="1" applyBorder="1" applyAlignment="1">
      <alignment horizontal="left" vertical="center" wrapText="1"/>
    </xf>
    <xf numFmtId="0" fontId="130" fillId="0" borderId="99" xfId="21414" applyFont="1" applyFill="1" applyBorder="1" applyAlignment="1">
      <alignment horizontal="left" vertical="center" wrapText="1" indent="1"/>
    </xf>
    <xf numFmtId="0" fontId="131" fillId="3" borderId="99" xfId="21414" applyFont="1" applyFill="1" applyBorder="1" applyAlignment="1">
      <alignment horizontal="left" vertical="center" wrapText="1"/>
    </xf>
    <xf numFmtId="0" fontId="130" fillId="3" borderId="99" xfId="21414" applyFont="1" applyFill="1" applyBorder="1" applyAlignment="1">
      <alignment horizontal="left" vertical="center" wrapText="1" indent="1"/>
    </xf>
    <xf numFmtId="0" fontId="129" fillId="0" borderId="137" xfId="0" applyFont="1" applyFill="1" applyBorder="1" applyAlignment="1">
      <alignment horizontal="left" vertical="center" wrapText="1"/>
    </xf>
    <xf numFmtId="0" fontId="131" fillId="0" borderId="137" xfId="0" applyFont="1" applyFill="1" applyBorder="1" applyAlignment="1">
      <alignment horizontal="left" vertical="center" wrapText="1"/>
    </xf>
    <xf numFmtId="0" fontId="132" fillId="3" borderId="137" xfId="0" applyFont="1" applyFill="1" applyBorder="1" applyAlignment="1">
      <alignment horizontal="left" vertical="center" wrapText="1" indent="1"/>
    </xf>
    <xf numFmtId="0" fontId="131" fillId="3" borderId="137" xfId="0" applyFont="1" applyFill="1" applyBorder="1" applyAlignment="1">
      <alignment horizontal="left" vertical="center" wrapText="1"/>
    </xf>
    <xf numFmtId="0" fontId="131" fillId="3" borderId="138" xfId="0" applyFont="1" applyFill="1" applyBorder="1" applyAlignment="1">
      <alignment horizontal="left" vertical="center" wrapText="1"/>
    </xf>
    <xf numFmtId="0" fontId="132" fillId="0" borderId="137" xfId="0" applyFont="1" applyFill="1" applyBorder="1" applyAlignment="1">
      <alignment horizontal="left" vertical="center" wrapText="1" indent="1"/>
    </xf>
    <xf numFmtId="0" fontId="132" fillId="0" borderId="99" xfId="21414" applyFont="1" applyFill="1" applyBorder="1" applyAlignment="1">
      <alignment horizontal="left" vertical="center" wrapText="1" indent="1"/>
    </xf>
    <xf numFmtId="0" fontId="131" fillId="0" borderId="99" xfId="21414" applyFont="1" applyFill="1" applyBorder="1" applyAlignment="1">
      <alignment horizontal="left" vertical="center" wrapText="1"/>
    </xf>
    <xf numFmtId="0" fontId="133" fillId="0" borderId="99" xfId="21414" applyFont="1" applyFill="1" applyBorder="1" applyAlignment="1">
      <alignment horizontal="center" vertical="center" wrapText="1"/>
    </xf>
    <xf numFmtId="0" fontId="131" fillId="3" borderId="139" xfId="0" applyFont="1" applyFill="1" applyBorder="1" applyAlignment="1">
      <alignment horizontal="left" vertical="center" wrapText="1"/>
    </xf>
    <xf numFmtId="0" fontId="130" fillId="3" borderId="140" xfId="21414" applyFont="1" applyFill="1" applyBorder="1" applyAlignment="1">
      <alignment horizontal="left" vertical="center" wrapText="1" indent="1"/>
    </xf>
    <xf numFmtId="0" fontId="130" fillId="3" borderId="137" xfId="0" applyFont="1" applyFill="1" applyBorder="1" applyAlignment="1">
      <alignment horizontal="left" vertical="center" wrapText="1" indent="1"/>
    </xf>
    <xf numFmtId="0" fontId="130" fillId="0" borderId="140" xfId="21414" applyFont="1" applyFill="1" applyBorder="1" applyAlignment="1">
      <alignment horizontal="left" vertical="center" wrapText="1" indent="1"/>
    </xf>
    <xf numFmtId="0" fontId="131" fillId="0" borderId="137" xfId="0" applyFont="1" applyBorder="1" applyAlignment="1">
      <alignment horizontal="left" vertical="center" wrapText="1"/>
    </xf>
    <xf numFmtId="0" fontId="130" fillId="0" borderId="137" xfId="0" applyFont="1" applyBorder="1" applyAlignment="1">
      <alignment horizontal="left" vertical="center" wrapText="1" indent="1"/>
    </xf>
    <xf numFmtId="0" fontId="130" fillId="0" borderId="138" xfId="0" applyFont="1" applyBorder="1" applyAlignment="1">
      <alignment horizontal="left" vertical="center" wrapText="1" indent="1"/>
    </xf>
    <xf numFmtId="0" fontId="131" fillId="0" borderId="140" xfId="21414" applyFont="1" applyFill="1" applyBorder="1" applyAlignment="1">
      <alignment horizontal="left" vertical="center" wrapText="1"/>
    </xf>
    <xf numFmtId="0" fontId="131" fillId="3" borderId="140" xfId="21414" applyFont="1" applyFill="1" applyBorder="1" applyAlignment="1">
      <alignment horizontal="left" vertical="center" wrapText="1"/>
    </xf>
    <xf numFmtId="0" fontId="133" fillId="0" borderId="140" xfId="21414" applyFont="1" applyFill="1" applyBorder="1" applyAlignment="1">
      <alignment horizontal="center" vertical="center" wrapText="1"/>
    </xf>
    <xf numFmtId="0" fontId="131" fillId="0" borderId="140" xfId="21414" applyFont="1" applyBorder="1" applyAlignment="1">
      <alignment horizontal="left" vertical="center" wrapText="1"/>
    </xf>
    <xf numFmtId="0" fontId="130" fillId="0" borderId="137" xfId="0" applyFont="1" applyFill="1" applyBorder="1" applyAlignment="1">
      <alignment horizontal="left" vertical="center" wrapText="1" indent="1"/>
    </xf>
    <xf numFmtId="0" fontId="134" fillId="0" borderId="140" xfId="0" applyFont="1" applyBorder="1" applyAlignment="1">
      <alignment horizontal="left"/>
    </xf>
    <xf numFmtId="0" fontId="131" fillId="0" borderId="140" xfId="0" applyFont="1" applyFill="1" applyBorder="1" applyAlignment="1">
      <alignment horizontal="left" vertical="center" wrapText="1"/>
    </xf>
    <xf numFmtId="0" fontId="0" fillId="0" borderId="0" xfId="0" applyAlignment="1">
      <alignment horizontal="left" vertical="center"/>
    </xf>
    <xf numFmtId="0" fontId="9" fillId="0" borderId="140" xfId="0" applyFont="1" applyFill="1" applyBorder="1" applyAlignment="1" applyProtection="1">
      <alignment horizontal="center" vertical="center" wrapText="1"/>
    </xf>
    <xf numFmtId="0" fontId="131" fillId="0" borderId="145" xfId="0" applyFont="1" applyFill="1" applyBorder="1" applyAlignment="1">
      <alignment horizontal="justify" vertical="center" wrapText="1"/>
    </xf>
    <xf numFmtId="0" fontId="130" fillId="0" borderId="139" xfId="0" applyFont="1" applyFill="1" applyBorder="1" applyAlignment="1">
      <alignment horizontal="left" vertical="center" wrapText="1" indent="1"/>
    </xf>
    <xf numFmtId="0" fontId="130" fillId="0" borderId="138" xfId="0" applyFont="1" applyFill="1" applyBorder="1" applyAlignment="1">
      <alignment horizontal="left" vertical="center" wrapText="1" indent="1"/>
    </xf>
    <xf numFmtId="0" fontId="131" fillId="0" borderId="137" xfId="0" applyFont="1" applyFill="1" applyBorder="1" applyAlignment="1">
      <alignment horizontal="justify" vertical="center" wrapText="1"/>
    </xf>
    <xf numFmtId="0" fontId="129" fillId="0" borderId="137" xfId="0" applyFont="1" applyFill="1" applyBorder="1" applyAlignment="1">
      <alignment horizontal="justify" vertical="center" wrapText="1"/>
    </xf>
    <xf numFmtId="0" fontId="131" fillId="3" borderId="137" xfId="0" applyFont="1" applyFill="1" applyBorder="1" applyAlignment="1">
      <alignment horizontal="justify" vertical="center" wrapText="1"/>
    </xf>
    <xf numFmtId="0" fontId="131" fillId="0" borderId="138" xfId="0" applyFont="1" applyFill="1" applyBorder="1" applyAlignment="1">
      <alignment horizontal="justify" vertical="center" wrapText="1"/>
    </xf>
    <xf numFmtId="0" fontId="131" fillId="0" borderId="139" xfId="0" applyFont="1" applyFill="1" applyBorder="1" applyAlignment="1">
      <alignment horizontal="justify" vertical="center" wrapText="1"/>
    </xf>
    <xf numFmtId="0" fontId="131" fillId="0" borderId="140" xfId="21414" applyFont="1" applyFill="1" applyBorder="1" applyAlignment="1">
      <alignment horizontal="justify" vertical="center" wrapText="1"/>
    </xf>
    <xf numFmtId="0" fontId="132" fillId="0" borderId="131" xfId="0" applyFont="1" applyFill="1" applyBorder="1" applyAlignment="1">
      <alignment horizontal="left" vertical="center" wrapText="1" indent="1"/>
    </xf>
    <xf numFmtId="0" fontId="129" fillId="0" borderId="137" xfId="0" applyFont="1" applyFill="1" applyBorder="1" applyAlignment="1">
      <alignment vertical="center" wrapText="1"/>
    </xf>
    <xf numFmtId="0" fontId="131" fillId="0" borderId="137" xfId="0" applyFont="1" applyFill="1" applyBorder="1" applyAlignment="1">
      <alignment vertical="center" wrapText="1"/>
    </xf>
    <xf numFmtId="0" fontId="131" fillId="0" borderId="140" xfId="21414" applyFont="1" applyFill="1" applyBorder="1" applyAlignment="1">
      <alignment vertical="center" wrapText="1"/>
    </xf>
    <xf numFmtId="0" fontId="9" fillId="0" borderId="114" xfId="0" applyFont="1" applyFill="1" applyBorder="1" applyAlignment="1" applyProtection="1">
      <alignment horizontal="center" vertical="center" wrapText="1"/>
    </xf>
    <xf numFmtId="0" fontId="0" fillId="0" borderId="140" xfId="0" applyBorder="1" applyAlignment="1">
      <alignment horizontal="center"/>
    </xf>
    <xf numFmtId="193" fontId="9" fillId="0" borderId="140" xfId="0" applyNumberFormat="1" applyFont="1" applyFill="1" applyBorder="1" applyAlignment="1" applyProtection="1">
      <alignment horizontal="right"/>
    </xf>
    <xf numFmtId="193" fontId="9" fillId="35" borderId="140" xfId="0" applyNumberFormat="1" applyFont="1" applyFill="1" applyBorder="1" applyAlignment="1" applyProtection="1">
      <alignment horizontal="right"/>
    </xf>
    <xf numFmtId="193" fontId="9" fillId="35" borderId="114" xfId="0" applyNumberFormat="1" applyFont="1" applyFill="1" applyBorder="1" applyAlignment="1" applyProtection="1">
      <alignment horizontal="right"/>
    </xf>
    <xf numFmtId="0" fontId="15" fillId="0" borderId="140" xfId="0" applyNumberFormat="1" applyFont="1" applyFill="1" applyBorder="1" applyAlignment="1">
      <alignment vertical="center" wrapText="1"/>
    </xf>
    <xf numFmtId="0" fontId="7" fillId="0" borderId="140" xfId="0" applyNumberFormat="1" applyFont="1" applyFill="1" applyBorder="1" applyAlignment="1">
      <alignment horizontal="left" vertical="center" wrapText="1" indent="1"/>
    </xf>
    <xf numFmtId="0" fontId="3" fillId="0" borderId="140" xfId="0" applyFont="1" applyBorder="1" applyAlignment="1">
      <alignment vertical="center"/>
    </xf>
    <xf numFmtId="0" fontId="135" fillId="0" borderId="140" xfId="0" applyFont="1" applyFill="1" applyBorder="1" applyAlignment="1" applyProtection="1">
      <alignment horizontal="left" vertical="center" indent="1"/>
      <protection locked="0"/>
    </xf>
    <xf numFmtId="0" fontId="136" fillId="0" borderId="140" xfId="0" applyFont="1" applyFill="1" applyBorder="1" applyAlignment="1" applyProtection="1">
      <alignment horizontal="left" vertical="center" indent="3"/>
      <protection locked="0"/>
    </xf>
    <xf numFmtId="0" fontId="137" fillId="0" borderId="140" xfId="0" applyFont="1" applyFill="1" applyBorder="1" applyAlignment="1" applyProtection="1">
      <alignment horizontal="left" vertical="center" indent="3"/>
      <protection locked="0"/>
    </xf>
    <xf numFmtId="0" fontId="3" fillId="0" borderId="140" xfId="0" applyFont="1" applyFill="1" applyBorder="1" applyAlignment="1">
      <alignment vertical="center"/>
    </xf>
    <xf numFmtId="0" fontId="3" fillId="0" borderId="140" xfId="0" applyFont="1" applyBorder="1"/>
    <xf numFmtId="0" fontId="0" fillId="0" borderId="0" xfId="0" applyAlignment="1">
      <alignment horizontal="center"/>
    </xf>
    <xf numFmtId="193" fontId="9" fillId="0" borderId="0" xfId="0" applyNumberFormat="1" applyFont="1" applyFill="1" applyBorder="1" applyAlignment="1" applyProtection="1">
      <alignment horizontal="right"/>
    </xf>
    <xf numFmtId="49" fontId="105" fillId="0" borderId="140" xfId="0" applyNumberFormat="1" applyFont="1" applyFill="1" applyBorder="1" applyAlignment="1">
      <alignment horizontal="right" vertical="center"/>
    </xf>
    <xf numFmtId="0" fontId="0" fillId="0" borderId="140" xfId="0" applyBorder="1" applyAlignment="1">
      <alignment horizontal="center" vertical="center"/>
    </xf>
    <xf numFmtId="43" fontId="4" fillId="0" borderId="140" xfId="7" applyFont="1" applyFill="1" applyBorder="1" applyAlignment="1">
      <alignment vertical="center" wrapText="1"/>
    </xf>
    <xf numFmtId="43" fontId="4" fillId="0" borderId="99" xfId="7" applyFont="1" applyBorder="1" applyAlignment="1">
      <alignment vertical="center"/>
    </xf>
    <xf numFmtId="43" fontId="4" fillId="0" borderId="140" xfId="7" applyFont="1" applyBorder="1" applyAlignment="1">
      <alignment vertical="center"/>
    </xf>
    <xf numFmtId="0" fontId="0" fillId="0" borderId="144" xfId="0" applyBorder="1" applyAlignment="1">
      <alignment horizontal="center"/>
    </xf>
    <xf numFmtId="0" fontId="130" fillId="0" borderId="144" xfId="21414" applyFont="1" applyFill="1" applyBorder="1" applyAlignment="1">
      <alignment horizontal="left" vertical="center" wrapText="1" indent="1"/>
    </xf>
    <xf numFmtId="0" fontId="130" fillId="3" borderId="140" xfId="0" applyFont="1" applyFill="1" applyBorder="1" applyAlignment="1">
      <alignment horizontal="left" vertical="center" wrapText="1" indent="1"/>
    </xf>
    <xf numFmtId="167" fontId="23" fillId="0" borderId="140" xfId="0" applyNumberFormat="1" applyFont="1" applyBorder="1" applyAlignment="1">
      <alignment horizontal="center"/>
    </xf>
    <xf numFmtId="0" fontId="131" fillId="0" borderId="140" xfId="0" applyFont="1" applyBorder="1" applyAlignment="1">
      <alignment horizontal="left" vertical="center" wrapText="1"/>
    </xf>
    <xf numFmtId="0" fontId="23" fillId="0" borderId="140" xfId="0" applyFont="1" applyBorder="1"/>
    <xf numFmtId="0" fontId="130" fillId="0" borderId="140" xfId="0" applyFont="1" applyBorder="1" applyAlignment="1">
      <alignment horizontal="left" vertical="center" wrapText="1" indent="1"/>
    </xf>
    <xf numFmtId="0" fontId="130" fillId="0" borderId="140" xfId="0" applyFont="1" applyFill="1" applyBorder="1" applyAlignment="1">
      <alignment horizontal="left" vertical="center" wrapText="1" indent="1"/>
    </xf>
    <xf numFmtId="0" fontId="132" fillId="3" borderId="140" xfId="0" applyFont="1" applyFill="1" applyBorder="1" applyAlignment="1">
      <alignment horizontal="left" vertical="center" wrapText="1" indent="1"/>
    </xf>
    <xf numFmtId="0" fontId="132" fillId="0" borderId="140" xfId="0" applyFont="1" applyFill="1" applyBorder="1" applyAlignment="1">
      <alignment horizontal="left" vertical="center" wrapText="1" indent="1"/>
    </xf>
    <xf numFmtId="167" fontId="23" fillId="0" borderId="140" xfId="0" applyNumberFormat="1" applyFont="1" applyFill="1" applyBorder="1" applyAlignment="1">
      <alignment horizontal="center"/>
    </xf>
    <xf numFmtId="167" fontId="22" fillId="0" borderId="56" xfId="0" applyNumberFormat="1" applyFont="1" applyFill="1" applyBorder="1" applyAlignment="1">
      <alignment horizontal="center"/>
    </xf>
    <xf numFmtId="167" fontId="18" fillId="0" borderId="58" xfId="0" applyNumberFormat="1" applyFont="1" applyFill="1" applyBorder="1" applyAlignment="1">
      <alignment horizontal="center"/>
    </xf>
    <xf numFmtId="0" fontId="119" fillId="0" borderId="140" xfId="0" applyFont="1" applyBorder="1"/>
    <xf numFmtId="49" fontId="121" fillId="0" borderId="140" xfId="5" applyNumberFormat="1" applyFont="1" applyFill="1" applyBorder="1" applyAlignment="1" applyProtection="1">
      <alignment horizontal="right" vertical="center"/>
      <protection locked="0"/>
    </xf>
    <xf numFmtId="0" fontId="120" fillId="3" borderId="140" xfId="13" applyFont="1" applyFill="1" applyBorder="1" applyAlignment="1" applyProtection="1">
      <alignment horizontal="left" vertical="center" wrapText="1"/>
      <protection locked="0"/>
    </xf>
    <xf numFmtId="49" fontId="120" fillId="3" borderId="140" xfId="5" applyNumberFormat="1" applyFont="1" applyFill="1" applyBorder="1" applyAlignment="1" applyProtection="1">
      <alignment horizontal="right" vertical="center"/>
      <protection locked="0"/>
    </xf>
    <xf numFmtId="0" fontId="120" fillId="0" borderId="140" xfId="13" applyFont="1" applyFill="1" applyBorder="1" applyAlignment="1" applyProtection="1">
      <alignment horizontal="left" vertical="center" wrapText="1"/>
      <protection locked="0"/>
    </xf>
    <xf numFmtId="49" fontId="120" fillId="0" borderId="140" xfId="5" applyNumberFormat="1" applyFont="1" applyFill="1" applyBorder="1" applyAlignment="1" applyProtection="1">
      <alignment horizontal="right" vertical="center"/>
      <protection locked="0"/>
    </xf>
    <xf numFmtId="0" fontId="122" fillId="0" borderId="140" xfId="13" applyFont="1" applyFill="1" applyBorder="1" applyAlignment="1" applyProtection="1">
      <alignment horizontal="left" vertical="center" wrapText="1"/>
      <protection locked="0"/>
    </xf>
    <xf numFmtId="0" fontId="119" fillId="0" borderId="140" xfId="0" applyFont="1" applyBorder="1" applyAlignment="1">
      <alignment horizontal="center" vertical="center" wrapText="1"/>
    </xf>
    <xf numFmtId="0" fontId="119" fillId="0" borderId="140" xfId="0" applyFont="1" applyFill="1" applyBorder="1" applyAlignment="1">
      <alignment horizontal="center" vertical="center" wrapText="1"/>
    </xf>
    <xf numFmtId="164" fontId="115" fillId="35" borderId="148" xfId="21413" applyFont="1" applyFill="1" applyBorder="1"/>
    <xf numFmtId="0" fontId="115" fillId="0" borderId="148" xfId="0" applyFont="1" applyBorder="1"/>
    <xf numFmtId="0" fontId="115" fillId="0" borderId="148" xfId="0" applyFont="1" applyFill="1" applyBorder="1"/>
    <xf numFmtId="0" fontId="115" fillId="0" borderId="148" xfId="0" applyFont="1" applyBorder="1" applyAlignment="1">
      <alignment horizontal="left" indent="8"/>
    </xf>
    <xf numFmtId="0" fontId="115" fillId="0" borderId="148" xfId="0" applyFont="1" applyBorder="1" applyAlignment="1">
      <alignment wrapText="1"/>
    </xf>
    <xf numFmtId="0" fontId="118" fillId="0" borderId="148" xfId="0" applyFont="1" applyBorder="1"/>
    <xf numFmtId="49" fontId="121" fillId="0" borderId="148" xfId="5" applyNumberFormat="1" applyFont="1" applyFill="1" applyBorder="1" applyAlignment="1" applyProtection="1">
      <alignment horizontal="right" vertical="center" wrapText="1"/>
      <protection locked="0"/>
    </xf>
    <xf numFmtId="49" fontId="120" fillId="3" borderId="148" xfId="5" applyNumberFormat="1" applyFont="1" applyFill="1" applyBorder="1" applyAlignment="1" applyProtection="1">
      <alignment horizontal="right" vertical="center" wrapText="1"/>
      <protection locked="0"/>
    </xf>
    <xf numFmtId="49" fontId="120" fillId="0" borderId="148" xfId="5" applyNumberFormat="1" applyFont="1" applyFill="1" applyBorder="1" applyAlignment="1" applyProtection="1">
      <alignment horizontal="right" vertical="center" wrapText="1"/>
      <protection locked="0"/>
    </xf>
    <xf numFmtId="0" fontId="115" fillId="0" borderId="148" xfId="0" applyFont="1" applyBorder="1" applyAlignment="1">
      <alignment horizontal="center" vertical="center" wrapText="1"/>
    </xf>
    <xf numFmtId="0" fontId="115" fillId="0" borderId="149" xfId="0" applyFont="1" applyFill="1" applyBorder="1" applyAlignment="1">
      <alignment horizontal="center" vertical="center" wrapText="1"/>
    </xf>
    <xf numFmtId="0" fontId="115" fillId="0" borderId="148"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8" fillId="0" borderId="148" xfId="0" applyFont="1" applyFill="1" applyBorder="1"/>
    <xf numFmtId="0" fontId="115" fillId="0" borderId="148" xfId="0" applyNumberFormat="1" applyFont="1" applyFill="1" applyBorder="1" applyAlignment="1">
      <alignment horizontal="left" vertical="center" wrapText="1"/>
    </xf>
    <xf numFmtId="0" fontId="118" fillId="0" borderId="148" xfId="0" applyFont="1" applyFill="1" applyBorder="1" applyAlignment="1">
      <alignment horizontal="left" wrapText="1" indent="1"/>
    </xf>
    <xf numFmtId="0" fontId="118" fillId="0" borderId="148" xfId="0" applyFont="1" applyFill="1" applyBorder="1" applyAlignment="1">
      <alignment horizontal="left" vertical="center" indent="1"/>
    </xf>
    <xf numFmtId="0" fontId="115" fillId="0" borderId="148" xfId="0" applyFont="1" applyFill="1" applyBorder="1" applyAlignment="1">
      <alignment horizontal="left" wrapText="1" indent="1"/>
    </xf>
    <xf numFmtId="0" fontId="115" fillId="0" borderId="148" xfId="0" applyFont="1" applyFill="1" applyBorder="1" applyAlignment="1">
      <alignment horizontal="left" indent="1"/>
    </xf>
    <xf numFmtId="0" fontId="115" fillId="0" borderId="148" xfId="0" applyFont="1" applyFill="1" applyBorder="1" applyAlignment="1">
      <alignment horizontal="left" wrapText="1" indent="4"/>
    </xf>
    <xf numFmtId="0" fontId="115" fillId="0" borderId="148" xfId="0" applyNumberFormat="1" applyFont="1" applyFill="1" applyBorder="1" applyAlignment="1">
      <alignment horizontal="left" indent="3"/>
    </xf>
    <xf numFmtId="0" fontId="118" fillId="0" borderId="148" xfId="0" applyFont="1" applyFill="1" applyBorder="1" applyAlignment="1">
      <alignment horizontal="left" indent="1"/>
    </xf>
    <xf numFmtId="0" fontId="119" fillId="0" borderId="148" xfId="0" applyFont="1" applyFill="1" applyBorder="1" applyAlignment="1">
      <alignment horizontal="center" vertical="center" wrapText="1"/>
    </xf>
    <xf numFmtId="0" fontId="115" fillId="78" borderId="148" xfId="0" applyFont="1" applyFill="1" applyBorder="1"/>
    <xf numFmtId="0" fontId="118" fillId="0" borderId="7" xfId="0" applyFont="1" applyBorder="1"/>
    <xf numFmtId="0" fontId="115" fillId="0" borderId="148" xfId="0" applyFont="1" applyFill="1" applyBorder="1" applyAlignment="1">
      <alignment horizontal="left" wrapText="1" indent="2"/>
    </xf>
    <xf numFmtId="0" fontId="115" fillId="0" borderId="148" xfId="0" applyFont="1" applyFill="1" applyBorder="1" applyAlignment="1">
      <alignment horizontal="left" wrapText="1"/>
    </xf>
    <xf numFmtId="0" fontId="115" fillId="0" borderId="0" xfId="0" applyFont="1" applyBorder="1"/>
    <xf numFmtId="0" fontId="118" fillId="80" borderId="148" xfId="0" applyFont="1" applyFill="1" applyBorder="1"/>
    <xf numFmtId="0" fontId="115" fillId="0" borderId="148" xfId="0" applyFont="1" applyBorder="1" applyAlignment="1">
      <alignment horizontal="left" indent="1"/>
    </xf>
    <xf numFmtId="0" fontId="115" fillId="0" borderId="148" xfId="0" applyFont="1" applyBorder="1" applyAlignment="1">
      <alignment horizontal="center"/>
    </xf>
    <xf numFmtId="0" fontId="115" fillId="0" borderId="0" xfId="0" applyFont="1" applyBorder="1" applyAlignment="1">
      <alignment horizontal="center" vertical="center"/>
    </xf>
    <xf numFmtId="0" fontId="115" fillId="0" borderId="148" xfId="0" applyFont="1" applyFill="1" applyBorder="1" applyAlignment="1">
      <alignment horizontal="center" vertical="center" wrapText="1"/>
    </xf>
    <xf numFmtId="0" fontId="115" fillId="0" borderId="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53" xfId="0" applyFont="1" applyBorder="1" applyAlignment="1">
      <alignment wrapText="1"/>
    </xf>
    <xf numFmtId="0" fontId="115" fillId="0" borderId="7" xfId="0" applyFont="1" applyBorder="1" applyAlignment="1">
      <alignment wrapText="1"/>
    </xf>
    <xf numFmtId="0" fontId="115" fillId="0" borderId="0" xfId="0" applyFont="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150" xfId="0" applyFont="1" applyFill="1" applyBorder="1" applyAlignment="1">
      <alignment horizontal="center" vertical="center" wrapText="1"/>
    </xf>
    <xf numFmtId="0" fontId="115" fillId="0" borderId="146" xfId="0" applyFont="1" applyFill="1" applyBorder="1" applyAlignment="1">
      <alignment horizontal="center" vertical="center" wrapText="1"/>
    </xf>
    <xf numFmtId="0" fontId="115" fillId="0" borderId="0" xfId="0" applyFont="1" applyFill="1"/>
    <xf numFmtId="0" fontId="115" fillId="0" borderId="154" xfId="0" applyFont="1" applyFill="1" applyBorder="1"/>
    <xf numFmtId="0" fontId="115" fillId="0" borderId="155" xfId="0" applyFont="1" applyFill="1" applyBorder="1"/>
    <xf numFmtId="49" fontId="115" fillId="0" borderId="156" xfId="0" applyNumberFormat="1" applyFont="1" applyFill="1" applyBorder="1" applyAlignment="1">
      <alignment horizontal="left" wrapText="1" indent="1"/>
    </xf>
    <xf numFmtId="49" fontId="115" fillId="0" borderId="154" xfId="0" applyNumberFormat="1" applyFont="1" applyFill="1" applyBorder="1" applyAlignment="1">
      <alignment horizontal="left" wrapText="1" indent="1"/>
    </xf>
    <xf numFmtId="0" fontId="115" fillId="0" borderId="156" xfId="0" applyNumberFormat="1" applyFont="1" applyFill="1" applyBorder="1" applyAlignment="1">
      <alignment horizontal="left" wrapText="1" indent="1"/>
    </xf>
    <xf numFmtId="0" fontId="115" fillId="0" borderId="157" xfId="0" applyFont="1" applyFill="1" applyBorder="1"/>
    <xf numFmtId="49" fontId="115" fillId="0" borderId="158" xfId="0" applyNumberFormat="1" applyFont="1" applyFill="1" applyBorder="1" applyAlignment="1">
      <alignment horizontal="left" wrapText="1" indent="1"/>
    </xf>
    <xf numFmtId="49" fontId="115" fillId="0" borderId="157" xfId="0" applyNumberFormat="1" applyFont="1" applyFill="1" applyBorder="1" applyAlignment="1">
      <alignment horizontal="left" wrapText="1" indent="1"/>
    </xf>
    <xf numFmtId="0" fontId="115" fillId="0" borderId="158" xfId="0" applyNumberFormat="1" applyFont="1" applyFill="1" applyBorder="1" applyAlignment="1">
      <alignment horizontal="left" wrapText="1" indent="1"/>
    </xf>
    <xf numFmtId="49" fontId="115" fillId="0" borderId="158" xfId="0" applyNumberFormat="1" applyFont="1" applyFill="1" applyBorder="1" applyAlignment="1">
      <alignment horizontal="left" wrapText="1" indent="3"/>
    </xf>
    <xf numFmtId="49" fontId="115" fillId="0" borderId="157" xfId="0" applyNumberFormat="1" applyFont="1" applyFill="1" applyBorder="1" applyAlignment="1">
      <alignment horizontal="left" wrapText="1" indent="3"/>
    </xf>
    <xf numFmtId="49" fontId="115" fillId="0" borderId="158" xfId="0" applyNumberFormat="1" applyFont="1" applyFill="1" applyBorder="1" applyAlignment="1">
      <alignment horizontal="left" wrapText="1" indent="2"/>
    </xf>
    <xf numFmtId="49" fontId="115" fillId="0" borderId="157" xfId="0" applyNumberFormat="1" applyFont="1" applyFill="1" applyBorder="1" applyAlignment="1">
      <alignment horizontal="left" wrapText="1" indent="2"/>
    </xf>
    <xf numFmtId="49" fontId="115" fillId="0" borderId="158" xfId="0" applyNumberFormat="1" applyFont="1" applyBorder="1" applyAlignment="1">
      <alignment horizontal="left" wrapText="1" indent="2"/>
    </xf>
    <xf numFmtId="49" fontId="115" fillId="0" borderId="158" xfId="0" applyNumberFormat="1" applyFont="1" applyFill="1" applyBorder="1" applyAlignment="1">
      <alignment horizontal="left" vertical="top" wrapText="1" indent="2"/>
    </xf>
    <xf numFmtId="49" fontId="115" fillId="0" borderId="157" xfId="0" applyNumberFormat="1" applyFont="1" applyFill="1" applyBorder="1" applyAlignment="1">
      <alignment horizontal="left" vertical="top" wrapText="1" indent="2"/>
    </xf>
    <xf numFmtId="0" fontId="115" fillId="79" borderId="157" xfId="0" applyFont="1" applyFill="1" applyBorder="1"/>
    <xf numFmtId="0" fontId="115" fillId="79" borderId="148" xfId="0" applyFont="1" applyFill="1" applyBorder="1"/>
    <xf numFmtId="0" fontId="115" fillId="79" borderId="158" xfId="0" applyFont="1" applyFill="1" applyBorder="1"/>
    <xf numFmtId="49" fontId="115" fillId="0" borderId="157" xfId="0" applyNumberFormat="1" applyFont="1" applyFill="1" applyBorder="1" applyAlignment="1">
      <alignment horizontal="left" indent="1"/>
    </xf>
    <xf numFmtId="0" fontId="115" fillId="0" borderId="158" xfId="0" applyNumberFormat="1" applyFont="1" applyBorder="1" applyAlignment="1">
      <alignment horizontal="left" indent="1"/>
    </xf>
    <xf numFmtId="0" fontId="115" fillId="0" borderId="157" xfId="0" applyFont="1" applyBorder="1"/>
    <xf numFmtId="49" fontId="115" fillId="0" borderId="158" xfId="0" applyNumberFormat="1" applyFont="1" applyFill="1" applyBorder="1" applyAlignment="1">
      <alignment horizontal="left" indent="1"/>
    </xf>
    <xf numFmtId="49" fontId="115" fillId="0" borderId="158" xfId="0" applyNumberFormat="1" applyFont="1" applyBorder="1" applyAlignment="1">
      <alignment horizontal="left" indent="1"/>
    </xf>
    <xf numFmtId="49" fontId="115" fillId="0" borderId="158" xfId="0" applyNumberFormat="1" applyFont="1" applyFill="1" applyBorder="1" applyAlignment="1">
      <alignment horizontal="left" indent="3"/>
    </xf>
    <xf numFmtId="49" fontId="115" fillId="0" borderId="157" xfId="0" applyNumberFormat="1" applyFont="1" applyFill="1" applyBorder="1" applyAlignment="1">
      <alignment horizontal="left" indent="3"/>
    </xf>
    <xf numFmtId="49" fontId="115" fillId="0" borderId="158" xfId="0" applyNumberFormat="1" applyFont="1" applyBorder="1" applyAlignment="1">
      <alignment horizontal="left" indent="3"/>
    </xf>
    <xf numFmtId="0" fontId="115" fillId="0" borderId="158" xfId="0" applyFont="1" applyBorder="1" applyAlignment="1">
      <alignment horizontal="left" indent="2"/>
    </xf>
    <xf numFmtId="0" fontId="115" fillId="0" borderId="157" xfId="0" applyFont="1" applyBorder="1" applyAlignment="1">
      <alignment horizontal="left" indent="2"/>
    </xf>
    <xf numFmtId="0" fontId="115" fillId="0" borderId="158" xfId="0" applyFont="1" applyBorder="1" applyAlignment="1">
      <alignment horizontal="left" indent="1"/>
    </xf>
    <xf numFmtId="0" fontId="115" fillId="0" borderId="157" xfId="0" applyFont="1" applyBorder="1" applyAlignment="1">
      <alignment horizontal="left" indent="1"/>
    </xf>
    <xf numFmtId="0" fontId="118" fillId="0" borderId="69" xfId="0" applyFont="1" applyBorder="1"/>
    <xf numFmtId="0" fontId="118" fillId="0" borderId="64" xfId="0" applyFont="1" applyBorder="1"/>
    <xf numFmtId="0" fontId="115" fillId="0" borderId="69" xfId="0" applyFont="1" applyBorder="1"/>
    <xf numFmtId="0" fontId="115" fillId="0" borderId="0" xfId="0" applyFont="1" applyBorder="1" applyAlignment="1">
      <alignment wrapText="1"/>
    </xf>
    <xf numFmtId="0" fontId="115" fillId="0" borderId="0" xfId="0" applyFont="1" applyAlignment="1">
      <alignment horizontal="center" vertical="center"/>
    </xf>
    <xf numFmtId="0" fontId="115" fillId="0" borderId="0" xfId="0" applyFont="1" applyBorder="1" applyAlignment="1">
      <alignment horizontal="left"/>
    </xf>
    <xf numFmtId="0" fontId="118" fillId="0" borderId="148" xfId="0" applyNumberFormat="1" applyFont="1" applyFill="1" applyBorder="1" applyAlignment="1">
      <alignment horizontal="left" vertical="center" wrapText="1"/>
    </xf>
    <xf numFmtId="0" fontId="115" fillId="0" borderId="148" xfId="0" applyFont="1" applyBorder="1" applyAlignment="1">
      <alignment horizontal="center" vertical="center" textRotation="90" wrapText="1"/>
    </xf>
    <xf numFmtId="0" fontId="115" fillId="0" borderId="7" xfId="0" applyFont="1" applyFill="1" applyBorder="1" applyAlignment="1">
      <alignment horizontal="center" vertical="center" wrapText="1"/>
    </xf>
    <xf numFmtId="0" fontId="9" fillId="0" borderId="0" xfId="0" applyFont="1" applyFill="1" applyBorder="1" applyAlignment="1">
      <alignment wrapText="1"/>
    </xf>
    <xf numFmtId="0" fontId="120" fillId="0" borderId="148" xfId="0" applyFont="1" applyBorder="1"/>
    <xf numFmtId="0" fontId="118" fillId="0" borderId="148"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35" xfId="0" applyNumberFormat="1" applyFont="1" applyFill="1" applyBorder="1" applyAlignment="1">
      <alignment horizontal="left" vertical="center" wrapText="1" indent="1" readingOrder="1"/>
    </xf>
    <xf numFmtId="0" fontId="120" fillId="0" borderId="148" xfId="0" applyFont="1" applyBorder="1" applyAlignment="1">
      <alignment horizontal="left" indent="3"/>
    </xf>
    <xf numFmtId="0" fontId="118" fillId="0" borderId="148" xfId="0" applyNumberFormat="1" applyFont="1" applyFill="1" applyBorder="1" applyAlignment="1">
      <alignment vertical="center" wrapText="1" readingOrder="1"/>
    </xf>
    <xf numFmtId="0" fontId="120" fillId="0" borderId="148" xfId="0" applyFont="1" applyFill="1" applyBorder="1" applyAlignment="1">
      <alignment horizontal="left" indent="2"/>
    </xf>
    <xf numFmtId="0" fontId="120" fillId="0" borderId="149" xfId="0" applyFont="1" applyBorder="1"/>
    <xf numFmtId="0" fontId="115" fillId="0" borderId="136" xfId="0" applyNumberFormat="1" applyFont="1" applyFill="1" applyBorder="1" applyAlignment="1">
      <alignment vertical="center" wrapText="1" readingOrder="1"/>
    </xf>
    <xf numFmtId="0" fontId="120" fillId="0" borderId="149" xfId="0" applyFont="1" applyBorder="1" applyAlignment="1">
      <alignment horizontal="left" indent="2"/>
    </xf>
    <xf numFmtId="0" fontId="115" fillId="0" borderId="135" xfId="0" applyNumberFormat="1" applyFont="1" applyFill="1" applyBorder="1" applyAlignment="1">
      <alignment vertical="center" wrapText="1" readingOrder="1"/>
    </xf>
    <xf numFmtId="0" fontId="120" fillId="0" borderId="148" xfId="0" applyFont="1" applyBorder="1" applyAlignment="1">
      <alignment horizontal="left" indent="2"/>
    </xf>
    <xf numFmtId="0" fontId="115" fillId="0" borderId="134" xfId="0" applyNumberFormat="1" applyFont="1" applyFill="1" applyBorder="1" applyAlignment="1">
      <alignment vertical="center" wrapText="1" readingOrder="1"/>
    </xf>
    <xf numFmtId="0" fontId="138" fillId="0" borderId="7" xfId="0" applyFont="1" applyBorder="1"/>
    <xf numFmtId="0" fontId="105" fillId="0" borderId="148" xfId="0" applyFont="1" applyFill="1" applyBorder="1" applyAlignment="1">
      <alignment vertical="center" wrapText="1"/>
    </xf>
    <xf numFmtId="0" fontId="105" fillId="0" borderId="148" xfId="0" applyFont="1" applyBorder="1" applyAlignment="1">
      <alignment horizontal="left" vertical="center" wrapText="1"/>
    </xf>
    <xf numFmtId="0" fontId="105" fillId="0" borderId="148" xfId="0" applyFont="1" applyBorder="1" applyAlignment="1">
      <alignment horizontal="left" indent="2"/>
    </xf>
    <xf numFmtId="0" fontId="105" fillId="0" borderId="148" xfId="0" applyNumberFormat="1" applyFont="1" applyFill="1" applyBorder="1" applyAlignment="1">
      <alignment vertical="center" wrapText="1"/>
    </xf>
    <xf numFmtId="0" fontId="105" fillId="0" borderId="148" xfId="0" applyNumberFormat="1" applyFont="1" applyFill="1" applyBorder="1" applyAlignment="1">
      <alignment horizontal="left" vertical="center" indent="1"/>
    </xf>
    <xf numFmtId="0" fontId="105" fillId="0" borderId="148" xfId="0" applyNumberFormat="1" applyFont="1" applyFill="1" applyBorder="1" applyAlignment="1">
      <alignment horizontal="left" vertical="center" wrapText="1" indent="1"/>
    </xf>
    <xf numFmtId="0" fontId="105" fillId="0" borderId="148" xfId="0" applyNumberFormat="1" applyFont="1" applyFill="1" applyBorder="1" applyAlignment="1">
      <alignment horizontal="right" vertical="center"/>
    </xf>
    <xf numFmtId="49" fontId="105" fillId="0" borderId="148" xfId="0" applyNumberFormat="1" applyFont="1" applyFill="1" applyBorder="1" applyAlignment="1">
      <alignment horizontal="right" vertical="center"/>
    </xf>
    <xf numFmtId="49" fontId="105" fillId="0" borderId="148" xfId="0" applyNumberFormat="1" applyFont="1" applyFill="1" applyBorder="1" applyAlignment="1">
      <alignment vertical="top" wrapText="1"/>
    </xf>
    <xf numFmtId="49" fontId="105" fillId="0" borderId="148" xfId="0" applyNumberFormat="1" applyFont="1" applyFill="1" applyBorder="1" applyAlignment="1">
      <alignment horizontal="left" vertical="top" wrapText="1" indent="2"/>
    </xf>
    <xf numFmtId="49" fontId="105" fillId="0" borderId="148" xfId="0" applyNumberFormat="1" applyFont="1" applyFill="1" applyBorder="1" applyAlignment="1">
      <alignment horizontal="left" vertical="center" wrapText="1" indent="3"/>
    </xf>
    <xf numFmtId="49" fontId="105" fillId="0" borderId="148" xfId="0" applyNumberFormat="1" applyFont="1" applyFill="1" applyBorder="1" applyAlignment="1">
      <alignment horizontal="left" wrapText="1" indent="2"/>
    </xf>
    <xf numFmtId="49" fontId="105" fillId="0" borderId="148" xfId="0" applyNumberFormat="1" applyFont="1" applyFill="1" applyBorder="1" applyAlignment="1">
      <alignment horizontal="left" vertical="top" wrapText="1"/>
    </xf>
    <xf numFmtId="49" fontId="105" fillId="0" borderId="148" xfId="0" applyNumberFormat="1" applyFont="1" applyFill="1" applyBorder="1" applyAlignment="1">
      <alignment horizontal="left" wrapText="1" indent="3"/>
    </xf>
    <xf numFmtId="49" fontId="105" fillId="0" borderId="148" xfId="0" applyNumberFormat="1" applyFont="1" applyFill="1" applyBorder="1" applyAlignment="1">
      <alignment vertical="center"/>
    </xf>
    <xf numFmtId="0" fontId="105" fillId="0" borderId="148" xfId="0" applyFont="1" applyFill="1" applyBorder="1" applyAlignment="1">
      <alignment horizontal="left" vertical="center" wrapText="1"/>
    </xf>
    <xf numFmtId="49" fontId="105" fillId="0" borderId="148" xfId="0" applyNumberFormat="1" applyFont="1" applyFill="1" applyBorder="1" applyAlignment="1">
      <alignment horizontal="left" indent="3"/>
    </xf>
    <xf numFmtId="0" fontId="105" fillId="0" borderId="148" xfId="0" applyFont="1" applyBorder="1" applyAlignment="1">
      <alignment horizontal="left" indent="1"/>
    </xf>
    <xf numFmtId="0" fontId="105" fillId="0" borderId="148" xfId="0" applyNumberFormat="1" applyFont="1" applyFill="1" applyBorder="1" applyAlignment="1">
      <alignment horizontal="left" vertical="center" wrapText="1"/>
    </xf>
    <xf numFmtId="0" fontId="105" fillId="0" borderId="148" xfId="0" applyFont="1" applyFill="1" applyBorder="1" applyAlignment="1">
      <alignment horizontal="left" wrapText="1" indent="2"/>
    </xf>
    <xf numFmtId="0" fontId="105" fillId="0" borderId="148" xfId="0" applyFont="1" applyBorder="1" applyAlignment="1">
      <alignment horizontal="left" vertical="top" wrapText="1"/>
    </xf>
    <xf numFmtId="0" fontId="104" fillId="0" borderId="7" xfId="0" applyFont="1" applyBorder="1" applyAlignment="1">
      <alignment wrapText="1"/>
    </xf>
    <xf numFmtId="0" fontId="105" fillId="0" borderId="148" xfId="0" applyFont="1" applyBorder="1" applyAlignment="1">
      <alignment horizontal="left" vertical="top" wrapText="1" indent="2"/>
    </xf>
    <xf numFmtId="0" fontId="105" fillId="0" borderId="148" xfId="0" applyFont="1" applyBorder="1" applyAlignment="1">
      <alignment horizontal="left" wrapText="1"/>
    </xf>
    <xf numFmtId="0" fontId="105" fillId="0" borderId="148" xfId="12672" applyFont="1" applyFill="1" applyBorder="1" applyAlignment="1">
      <alignment horizontal="left" vertical="center" wrapText="1" indent="2"/>
    </xf>
    <xf numFmtId="0" fontId="105" fillId="0" borderId="148" xfId="0" applyFont="1" applyBorder="1" applyAlignment="1">
      <alignment horizontal="left" wrapText="1" indent="2"/>
    </xf>
    <xf numFmtId="0" fontId="105" fillId="0" borderId="148" xfId="0" applyFont="1" applyBorder="1" applyAlignment="1">
      <alignment wrapText="1"/>
    </xf>
    <xf numFmtId="0" fontId="105" fillId="0" borderId="148" xfId="0" applyFont="1" applyBorder="1"/>
    <xf numFmtId="0" fontId="105" fillId="0" borderId="148" xfId="12672" applyFont="1" applyFill="1" applyBorder="1" applyAlignment="1">
      <alignment horizontal="left" vertical="center" wrapText="1"/>
    </xf>
    <xf numFmtId="0" fontId="104" fillId="0" borderId="148" xfId="0" applyFont="1" applyBorder="1" applyAlignment="1">
      <alignment wrapText="1"/>
    </xf>
    <xf numFmtId="0" fontId="105" fillId="0" borderId="150" xfId="0" applyNumberFormat="1" applyFont="1" applyFill="1" applyBorder="1" applyAlignment="1">
      <alignment horizontal="left" vertical="center" wrapText="1"/>
    </xf>
    <xf numFmtId="0" fontId="105" fillId="3" borderId="148" xfId="5" applyNumberFormat="1" applyFont="1" applyFill="1" applyBorder="1" applyAlignment="1" applyProtection="1">
      <alignment horizontal="right" vertical="center"/>
      <protection locked="0"/>
    </xf>
    <xf numFmtId="2" fontId="105" fillId="3" borderId="148" xfId="5" applyNumberFormat="1" applyFont="1" applyFill="1" applyBorder="1" applyAlignment="1" applyProtection="1">
      <alignment horizontal="right" vertical="center"/>
      <protection locked="0"/>
    </xf>
    <xf numFmtId="0" fontId="105" fillId="0" borderId="148" xfId="0" applyNumberFormat="1" applyFont="1" applyFill="1" applyBorder="1" applyAlignment="1">
      <alignment vertical="center"/>
    </xf>
    <xf numFmtId="0" fontId="105" fillId="0" borderId="150" xfId="13" applyFont="1" applyFill="1" applyBorder="1" applyAlignment="1" applyProtection="1">
      <alignment horizontal="left" vertical="top" wrapText="1"/>
      <protection locked="0"/>
    </xf>
    <xf numFmtId="0" fontId="105" fillId="0" borderId="151" xfId="13" applyFont="1" applyFill="1" applyBorder="1" applyAlignment="1" applyProtection="1">
      <alignment horizontal="left" vertical="top" wrapText="1"/>
      <protection locked="0"/>
    </xf>
    <xf numFmtId="0" fontId="105" fillId="0" borderId="149" xfId="0" applyFont="1" applyFill="1" applyBorder="1" applyAlignment="1">
      <alignment vertical="center" wrapText="1"/>
    </xf>
    <xf numFmtId="0" fontId="124" fillId="0" borderId="0" xfId="0" applyFont="1" applyBorder="1" applyAlignment="1">
      <alignment horizontal="left" indent="2"/>
    </xf>
    <xf numFmtId="0" fontId="115" fillId="0" borderId="0" xfId="0" applyNumberFormat="1" applyFont="1" applyFill="1" applyBorder="1" applyAlignment="1">
      <alignment horizontal="left" vertical="center" indent="1"/>
    </xf>
    <xf numFmtId="0" fontId="115" fillId="0" borderId="0" xfId="0" applyNumberFormat="1" applyFont="1" applyFill="1" applyBorder="1" applyAlignment="1">
      <alignment vertical="center" wrapText="1"/>
    </xf>
    <xf numFmtId="0" fontId="115" fillId="0" borderId="0" xfId="0" applyFont="1" applyFill="1" applyBorder="1" applyAlignment="1">
      <alignment vertical="center" wrapText="1"/>
    </xf>
    <xf numFmtId="0" fontId="126" fillId="0" borderId="0" xfId="0" applyNumberFormat="1" applyFont="1" applyFill="1" applyBorder="1" applyAlignment="1">
      <alignment horizontal="left" vertical="center" wrapText="1" readingOrder="1"/>
    </xf>
    <xf numFmtId="0" fontId="124" fillId="0" borderId="0" xfId="0" applyFont="1" applyBorder="1" applyAlignment="1">
      <alignment horizontal="left" vertical="center" wrapText="1"/>
    </xf>
    <xf numFmtId="0" fontId="115" fillId="0" borderId="0" xfId="0" applyFont="1" applyFill="1" applyBorder="1" applyAlignment="1">
      <alignment horizontal="left" vertical="center" wrapText="1"/>
    </xf>
    <xf numFmtId="0" fontId="105" fillId="0" borderId="149" xfId="0" applyFont="1" applyBorder="1" applyAlignment="1">
      <alignment horizontal="left" indent="2"/>
    </xf>
    <xf numFmtId="0" fontId="105" fillId="0" borderId="136" xfId="0" applyNumberFormat="1" applyFont="1" applyFill="1" applyBorder="1" applyAlignment="1">
      <alignment horizontal="left" vertical="center" wrapText="1" readingOrder="1"/>
    </xf>
    <xf numFmtId="0" fontId="105" fillId="0" borderId="148" xfId="0" applyNumberFormat="1" applyFont="1" applyFill="1" applyBorder="1" applyAlignment="1">
      <alignment horizontal="left" vertical="center" wrapText="1" readingOrder="1"/>
    </xf>
    <xf numFmtId="167" fontId="19" fillId="81" borderId="57" xfId="0" applyNumberFormat="1" applyFont="1" applyFill="1" applyBorder="1" applyAlignment="1">
      <alignment horizontal="center"/>
    </xf>
    <xf numFmtId="0" fontId="11" fillId="0" borderId="99" xfId="17" applyFill="1" applyBorder="1" applyAlignment="1" applyProtection="1">
      <alignment horizontal="left" vertical="top" wrapText="1"/>
    </xf>
    <xf numFmtId="0" fontId="105" fillId="0" borderId="0" xfId="0" applyFont="1" applyFill="1" applyBorder="1" applyAlignment="1">
      <alignment wrapText="1"/>
    </xf>
    <xf numFmtId="0" fontId="141" fillId="0" borderId="0" xfId="0" applyFont="1"/>
    <xf numFmtId="0" fontId="142" fillId="0" borderId="0" xfId="0" applyFont="1" applyFill="1" applyAlignment="1">
      <alignment vertical="top"/>
    </xf>
    <xf numFmtId="0" fontId="142" fillId="0" borderId="0" xfId="0" applyFont="1" applyFill="1" applyAlignment="1">
      <alignment vertical="top" wrapText="1"/>
    </xf>
    <xf numFmtId="0" fontId="149"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8" fillId="0" borderId="0" xfId="11" applyFont="1" applyFill="1" applyBorder="1" applyAlignment="1" applyProtection="1"/>
    <xf numFmtId="0" fontId="143" fillId="82" borderId="148" xfId="0" applyFont="1" applyFill="1" applyBorder="1" applyAlignment="1">
      <alignment horizontal="left" vertical="center"/>
    </xf>
    <xf numFmtId="49" fontId="144" fillId="0" borderId="148" xfId="0" applyNumberFormat="1" applyFont="1" applyFill="1" applyBorder="1" applyAlignment="1">
      <alignment horizontal="left" vertical="center"/>
    </xf>
    <xf numFmtId="0" fontId="144" fillId="0" borderId="148" xfId="0" applyFont="1" applyFill="1" applyBorder="1" applyAlignment="1">
      <alignment horizontal="left" vertical="center"/>
    </xf>
    <xf numFmtId="0" fontId="143" fillId="0" borderId="148" xfId="0" applyFont="1" applyFill="1" applyBorder="1" applyAlignment="1">
      <alignment horizontal="left" vertical="center"/>
    </xf>
    <xf numFmtId="0" fontId="143" fillId="83" borderId="17" xfId="0" applyFont="1" applyFill="1" applyBorder="1" applyAlignment="1">
      <alignment horizontal="center" vertical="center"/>
    </xf>
    <xf numFmtId="0" fontId="143" fillId="83" borderId="18" xfId="0" applyFont="1" applyFill="1" applyBorder="1" applyAlignment="1">
      <alignment horizontal="center" vertical="center"/>
    </xf>
    <xf numFmtId="194" fontId="143" fillId="82" borderId="157" xfId="7" applyNumberFormat="1" applyFont="1" applyFill="1" applyBorder="1" applyAlignment="1">
      <alignment horizontal="left" vertical="center"/>
    </xf>
    <xf numFmtId="194" fontId="144" fillId="0" borderId="157" xfId="7" applyNumberFormat="1" applyFont="1" applyFill="1" applyBorder="1" applyAlignment="1">
      <alignment horizontal="left" vertical="center"/>
    </xf>
    <xf numFmtId="10" fontId="7" fillId="0" borderId="157" xfId="0" applyNumberFormat="1" applyFont="1" applyFill="1" applyBorder="1" applyAlignment="1">
      <alignment horizontal="right" vertical="center" wrapText="1"/>
    </xf>
    <xf numFmtId="0" fontId="147" fillId="84" borderId="155" xfId="0" applyFont="1" applyFill="1" applyBorder="1" applyAlignment="1">
      <alignment horizontal="left" vertical="center"/>
    </xf>
    <xf numFmtId="10" fontId="148" fillId="86" borderId="154" xfId="0" applyNumberFormat="1" applyFont="1" applyFill="1" applyBorder="1" applyAlignment="1">
      <alignment horizontal="right" vertical="center" wrapText="1"/>
    </xf>
    <xf numFmtId="0" fontId="0" fillId="0" borderId="1" xfId="0" applyBorder="1"/>
    <xf numFmtId="0" fontId="4" fillId="85" borderId="148" xfId="0" applyFont="1" applyFill="1" applyBorder="1" applyAlignment="1" applyProtection="1">
      <alignment horizontal="center" vertical="center" wrapText="1"/>
    </xf>
    <xf numFmtId="0" fontId="6" fillId="86" borderId="148" xfId="0" applyFont="1" applyFill="1" applyBorder="1" applyAlignment="1" applyProtection="1">
      <alignment vertical="center" wrapText="1"/>
    </xf>
    <xf numFmtId="194" fontId="6" fillId="86" borderId="148" xfId="7" applyNumberFormat="1" applyFont="1" applyFill="1" applyBorder="1" applyAlignment="1">
      <alignment vertical="center"/>
    </xf>
    <xf numFmtId="194" fontId="6" fillId="86" borderId="157" xfId="7" applyNumberFormat="1" applyFont="1" applyFill="1" applyBorder="1" applyAlignment="1">
      <alignment vertical="center"/>
    </xf>
    <xf numFmtId="0" fontId="144" fillId="82" borderId="148" xfId="0" applyFont="1" applyFill="1" applyBorder="1" applyAlignment="1">
      <alignment horizontal="left" vertical="center" wrapText="1" indent="3"/>
    </xf>
    <xf numFmtId="194" fontId="6" fillId="35" borderId="148" xfId="7" applyNumberFormat="1" applyFont="1" applyFill="1" applyBorder="1" applyAlignment="1">
      <alignment vertical="center"/>
    </xf>
    <xf numFmtId="0" fontId="151" fillId="82" borderId="148" xfId="0" applyFont="1" applyFill="1" applyBorder="1" applyAlignment="1">
      <alignment horizontal="left" vertical="center" wrapText="1" indent="5"/>
    </xf>
    <xf numFmtId="0" fontId="152" fillId="83" borderId="148" xfId="0" applyFont="1" applyFill="1" applyBorder="1" applyAlignment="1" applyProtection="1">
      <alignment horizontal="left" vertical="center" wrapText="1" indent="1"/>
    </xf>
    <xf numFmtId="194" fontId="152" fillId="83" borderId="148" xfId="7" applyNumberFormat="1" applyFont="1" applyFill="1" applyBorder="1" applyAlignment="1">
      <alignment vertical="center"/>
    </xf>
    <xf numFmtId="194" fontId="152" fillId="84" borderId="157" xfId="7" applyNumberFormat="1" applyFont="1" applyFill="1" applyBorder="1" applyAlignment="1">
      <alignment vertical="center"/>
    </xf>
    <xf numFmtId="194" fontId="153" fillId="82" borderId="148" xfId="7" applyNumberFormat="1" applyFont="1" applyFill="1" applyBorder="1" applyAlignment="1">
      <alignment vertical="center"/>
    </xf>
    <xf numFmtId="194" fontId="153" fillId="84" borderId="157" xfId="7" applyNumberFormat="1" applyFont="1" applyFill="1" applyBorder="1" applyAlignment="1">
      <alignment vertical="center"/>
    </xf>
    <xf numFmtId="0" fontId="151" fillId="82" borderId="155" xfId="0" applyFont="1" applyFill="1" applyBorder="1" applyAlignment="1">
      <alignment horizontal="left" vertical="center" wrapText="1" indent="5"/>
    </xf>
    <xf numFmtId="194" fontId="153" fillId="82" borderId="155" xfId="7" applyNumberFormat="1" applyFont="1" applyFill="1" applyBorder="1" applyAlignment="1">
      <alignment vertical="center"/>
    </xf>
    <xf numFmtId="194" fontId="153" fillId="84" borderId="154" xfId="7" applyNumberFormat="1" applyFont="1" applyFill="1" applyBorder="1" applyAlignment="1">
      <alignment vertical="center"/>
    </xf>
    <xf numFmtId="0" fontId="7" fillId="0" borderId="148"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4" fillId="0" borderId="99" xfId="0" applyNumberFormat="1" applyFont="1" applyFill="1" applyBorder="1" applyAlignment="1">
      <alignment horizontal="right" vertical="center"/>
    </xf>
    <xf numFmtId="0" fontId="154" fillId="0" borderId="148" xfId="12672" applyFont="1" applyFill="1" applyBorder="1" applyAlignment="1">
      <alignment horizontal="left" vertical="center" wrapText="1"/>
    </xf>
    <xf numFmtId="0" fontId="154" fillId="0" borderId="149" xfId="0" applyNumberFormat="1" applyFont="1" applyFill="1" applyBorder="1" applyAlignment="1">
      <alignment horizontal="left" vertical="top" wrapText="1"/>
    </xf>
    <xf numFmtId="0" fontId="154" fillId="0" borderId="148" xfId="0" applyFont="1" applyFill="1" applyBorder="1" applyAlignment="1">
      <alignment vertical="center" wrapText="1"/>
    </xf>
    <xf numFmtId="0" fontId="131" fillId="0" borderId="148" xfId="21414" applyFont="1" applyFill="1" applyBorder="1" applyAlignment="1">
      <alignment horizontal="left" vertical="center" wrapText="1"/>
    </xf>
    <xf numFmtId="193" fontId="9" fillId="0" borderId="148" xfId="0" applyNumberFormat="1" applyFont="1" applyFill="1" applyBorder="1" applyAlignment="1" applyProtection="1">
      <alignment horizontal="right"/>
    </xf>
    <xf numFmtId="0" fontId="4" fillId="0" borderId="148" xfId="0" applyFont="1" applyFill="1" applyBorder="1"/>
    <xf numFmtId="0" fontId="11" fillId="0" borderId="148" xfId="17" applyFill="1" applyBorder="1" applyAlignment="1" applyProtection="1"/>
    <xf numFmtId="0" fontId="138" fillId="3" borderId="148" xfId="5" applyFont="1" applyFill="1" applyBorder="1" applyProtection="1">
      <protection locked="0"/>
    </xf>
    <xf numFmtId="0" fontId="138" fillId="0" borderId="148" xfId="21416" applyFont="1" applyFill="1" applyBorder="1" applyAlignment="1" applyProtection="1">
      <alignment horizontal="center" vertical="top" wrapText="1"/>
      <protection locked="0"/>
    </xf>
    <xf numFmtId="0" fontId="155" fillId="3" borderId="148" xfId="21416" applyFont="1" applyFill="1" applyBorder="1" applyAlignment="1" applyProtection="1">
      <alignment wrapText="1"/>
      <protection locked="0"/>
    </xf>
    <xf numFmtId="3" fontId="138" fillId="80" borderId="148" xfId="5" applyNumberFormat="1" applyFont="1" applyFill="1" applyBorder="1" applyAlignment="1" applyProtection="1"/>
    <xf numFmtId="0" fontId="136" fillId="3" borderId="148" xfId="21416" applyFont="1" applyFill="1" applyBorder="1" applyAlignment="1" applyProtection="1">
      <alignment horizontal="right" wrapText="1"/>
      <protection locked="0"/>
    </xf>
    <xf numFmtId="3" fontId="138" fillId="0" borderId="148" xfId="5" applyNumberFormat="1" applyFont="1" applyFill="1" applyBorder="1" applyProtection="1"/>
    <xf numFmtId="0" fontId="156" fillId="0" borderId="0" xfId="21415" applyFont="1" applyFill="1" applyAlignment="1" applyProtection="1">
      <alignment vertical="center"/>
      <protection locked="0"/>
    </xf>
    <xf numFmtId="0" fontId="111" fillId="76" borderId="151" xfId="21412" applyFont="1" applyFill="1" applyBorder="1" applyAlignment="1" applyProtection="1">
      <alignment vertical="center" wrapText="1"/>
      <protection locked="0"/>
    </xf>
    <xf numFmtId="0" fontId="62" fillId="76" borderId="150" xfId="21412" applyFont="1" applyFill="1" applyBorder="1" applyAlignment="1" applyProtection="1">
      <alignment vertical="center"/>
      <protection locked="0"/>
    </xf>
    <xf numFmtId="0" fontId="112" fillId="69" borderId="149" xfId="21412" applyFont="1" applyFill="1" applyBorder="1" applyAlignment="1" applyProtection="1">
      <alignment horizontal="center" vertical="center"/>
      <protection locked="0"/>
    </xf>
    <xf numFmtId="0" fontId="112" fillId="0" borderId="150" xfId="21412" applyFont="1" applyFill="1" applyBorder="1" applyAlignment="1" applyProtection="1">
      <alignment horizontal="left" vertical="center" wrapText="1"/>
      <protection locked="0"/>
    </xf>
    <xf numFmtId="165" fontId="112" fillId="0" borderId="148" xfId="948" applyNumberFormat="1" applyFont="1" applyFill="1" applyBorder="1" applyAlignment="1" applyProtection="1">
      <alignment horizontal="right" vertical="center"/>
      <protection locked="0"/>
    </xf>
    <xf numFmtId="0" fontId="111" fillId="77" borderId="148" xfId="21412" applyFont="1" applyFill="1" applyBorder="1" applyAlignment="1" applyProtection="1">
      <alignment horizontal="center" vertical="center"/>
      <protection locked="0"/>
    </xf>
    <xf numFmtId="0" fontId="111" fillId="77" borderId="150" xfId="21412" applyFont="1" applyFill="1" applyBorder="1" applyAlignment="1" applyProtection="1">
      <alignment vertical="top" wrapText="1"/>
      <protection locked="0"/>
    </xf>
    <xf numFmtId="165" fontId="112" fillId="77" borderId="148" xfId="948" applyNumberFormat="1" applyFont="1" applyFill="1" applyBorder="1" applyAlignment="1" applyProtection="1">
      <alignment horizontal="right" vertical="center"/>
    </xf>
    <xf numFmtId="0" fontId="111" fillId="76" borderId="151" xfId="21412" applyFont="1" applyFill="1" applyBorder="1" applyAlignment="1" applyProtection="1">
      <alignment vertical="center"/>
      <protection locked="0"/>
    </xf>
    <xf numFmtId="165" fontId="62" fillId="76" borderId="150" xfId="948" applyNumberFormat="1" applyFont="1" applyFill="1" applyBorder="1" applyAlignment="1" applyProtection="1">
      <alignment horizontal="right" vertical="center"/>
      <protection locked="0"/>
    </xf>
    <xf numFmtId="0" fontId="113" fillId="69" borderId="149" xfId="21412" applyFont="1" applyFill="1" applyBorder="1" applyAlignment="1" applyProtection="1">
      <alignment horizontal="center" vertical="center"/>
      <protection locked="0"/>
    </xf>
    <xf numFmtId="0" fontId="112" fillId="69" borderId="148" xfId="21412" applyFont="1" applyFill="1" applyBorder="1" applyAlignment="1" applyProtection="1">
      <alignment vertical="center" wrapText="1"/>
      <protection locked="0"/>
    </xf>
    <xf numFmtId="0" fontId="112" fillId="69" borderId="148" xfId="21412" applyFont="1" applyFill="1" applyBorder="1" applyAlignment="1" applyProtection="1">
      <alignment horizontal="left" vertical="center" wrapText="1"/>
      <protection locked="0"/>
    </xf>
    <xf numFmtId="0" fontId="112" fillId="0" borderId="148" xfId="21412" applyFont="1" applyFill="1" applyBorder="1" applyAlignment="1" applyProtection="1">
      <alignment horizontal="left" vertical="center" wrapText="1"/>
      <protection locked="0"/>
    </xf>
    <xf numFmtId="0" fontId="113" fillId="3" borderId="149" xfId="21412" applyFont="1" applyFill="1" applyBorder="1" applyAlignment="1" applyProtection="1">
      <alignment horizontal="center" vertical="center"/>
      <protection locked="0"/>
    </xf>
    <xf numFmtId="0" fontId="112" fillId="0" borderId="148" xfId="21412" applyFont="1" applyFill="1" applyBorder="1" applyAlignment="1" applyProtection="1">
      <alignment vertical="center" wrapText="1"/>
      <protection locked="0"/>
    </xf>
    <xf numFmtId="0" fontId="114" fillId="77" borderId="148" xfId="21412" applyFont="1" applyFill="1" applyBorder="1" applyAlignment="1" applyProtection="1">
      <alignment horizontal="center" vertical="center"/>
      <protection locked="0"/>
    </xf>
    <xf numFmtId="0" fontId="111" fillId="77" borderId="150" xfId="21412" applyFont="1" applyFill="1" applyBorder="1" applyAlignment="1" applyProtection="1">
      <alignment vertical="center" wrapText="1"/>
      <protection locked="0"/>
    </xf>
    <xf numFmtId="165" fontId="111" fillId="76" borderId="150" xfId="948" applyNumberFormat="1" applyFont="1" applyFill="1" applyBorder="1" applyAlignment="1" applyProtection="1">
      <alignment horizontal="right" vertical="center"/>
      <protection locked="0"/>
    </xf>
    <xf numFmtId="0" fontId="112" fillId="69" borderId="150" xfId="21412" applyFont="1" applyFill="1" applyBorder="1" applyAlignment="1" applyProtection="1">
      <alignment vertical="center" wrapText="1"/>
      <protection locked="0"/>
    </xf>
    <xf numFmtId="0" fontId="62" fillId="76" borderId="151" xfId="21412" applyFont="1" applyFill="1" applyBorder="1" applyAlignment="1" applyProtection="1">
      <alignment vertical="center"/>
      <protection locked="0"/>
    </xf>
    <xf numFmtId="165" fontId="112" fillId="3" borderId="148" xfId="948" applyNumberFormat="1" applyFont="1" applyFill="1" applyBorder="1" applyAlignment="1" applyProtection="1">
      <alignment horizontal="right" vertical="center"/>
      <protection locked="0"/>
    </xf>
    <xf numFmtId="0" fontId="113" fillId="3" borderId="148" xfId="21412" applyFont="1" applyFill="1" applyBorder="1" applyAlignment="1" applyProtection="1">
      <alignment horizontal="center" vertical="center"/>
      <protection locked="0"/>
    </xf>
    <xf numFmtId="0" fontId="112" fillId="69" borderId="150" xfId="21412" applyFont="1" applyFill="1" applyBorder="1" applyAlignment="1" applyProtection="1">
      <alignment horizontal="left" vertical="center" wrapText="1"/>
      <protection locked="0"/>
    </xf>
    <xf numFmtId="0" fontId="7" fillId="0" borderId="0" xfId="0" applyFont="1" applyFill="1"/>
    <xf numFmtId="0" fontId="155" fillId="3" borderId="0" xfId="21415" applyFont="1" applyFill="1" applyAlignment="1" applyProtection="1">
      <alignment vertical="center"/>
      <protection locked="0"/>
    </xf>
    <xf numFmtId="0" fontId="138" fillId="3" borderId="148" xfId="5" applyFont="1" applyFill="1" applyBorder="1" applyAlignment="1" applyProtection="1">
      <alignment vertical="center" wrapText="1"/>
      <protection locked="0"/>
    </xf>
    <xf numFmtId="0" fontId="138" fillId="0" borderId="148" xfId="21416" applyFont="1" applyFill="1" applyBorder="1" applyAlignment="1" applyProtection="1">
      <alignment horizontal="center" vertical="center" wrapText="1"/>
      <protection locked="0"/>
    </xf>
    <xf numFmtId="3" fontId="138" fillId="3" borderId="148" xfId="1" applyNumberFormat="1" applyFont="1" applyFill="1" applyBorder="1" applyAlignment="1" applyProtection="1">
      <alignment horizontal="center" vertical="center" wrapText="1"/>
      <protection locked="0"/>
    </xf>
    <xf numFmtId="9" fontId="138" fillId="3" borderId="148" xfId="15" applyNumberFormat="1" applyFont="1" applyFill="1" applyBorder="1" applyAlignment="1" applyProtection="1">
      <alignment horizontal="center" vertical="center" wrapText="1"/>
      <protection locked="0"/>
    </xf>
    <xf numFmtId="0" fontId="138" fillId="3" borderId="148" xfId="21416" applyFont="1" applyFill="1" applyBorder="1" applyAlignment="1" applyProtection="1">
      <alignment horizontal="center" vertical="center" wrapText="1"/>
      <protection locked="0"/>
    </xf>
    <xf numFmtId="0" fontId="155" fillId="3" borderId="148" xfId="21416" applyFont="1" applyFill="1" applyBorder="1" applyAlignment="1" applyProtection="1">
      <protection locked="0"/>
    </xf>
    <xf numFmtId="0" fontId="158" fillId="3" borderId="148" xfId="21416" applyFont="1" applyFill="1" applyBorder="1" applyAlignment="1" applyProtection="1">
      <alignment horizontal="right"/>
      <protection locked="0"/>
    </xf>
    <xf numFmtId="195" fontId="138" fillId="80" borderId="148" xfId="5" applyNumberFormat="1" applyFont="1" applyFill="1" applyBorder="1" applyAlignment="1" applyProtection="1">
      <protection locked="0"/>
    </xf>
    <xf numFmtId="165" fontId="138" fillId="80" borderId="148" xfId="1" applyNumberFormat="1" applyFont="1" applyFill="1" applyBorder="1" applyAlignment="1" applyProtection="1"/>
    <xf numFmtId="0" fontId="138" fillId="3" borderId="148" xfId="21416" applyFont="1" applyFill="1" applyBorder="1" applyAlignment="1" applyProtection="1">
      <alignment horizontal="left" vertical="center"/>
      <protection locked="0"/>
    </xf>
    <xf numFmtId="3" fontId="138" fillId="3" borderId="148" xfId="5" applyNumberFormat="1" applyFont="1" applyFill="1" applyBorder="1" applyAlignment="1" applyProtection="1">
      <protection locked="0"/>
    </xf>
    <xf numFmtId="0" fontId="138" fillId="3" borderId="148" xfId="5" applyFont="1" applyFill="1" applyBorder="1" applyAlignment="1" applyProtection="1">
      <protection locked="0"/>
    </xf>
    <xf numFmtId="0" fontId="136" fillId="3" borderId="148" xfId="21416" applyFont="1" applyFill="1" applyBorder="1" applyAlignment="1" applyProtection="1">
      <alignment horizontal="right"/>
      <protection locked="0"/>
    </xf>
    <xf numFmtId="0" fontId="138" fillId="0" borderId="148" xfId="21416" applyFont="1" applyFill="1" applyBorder="1" applyAlignment="1" applyProtection="1">
      <alignment horizontal="left" vertical="center"/>
      <protection locked="0"/>
    </xf>
    <xf numFmtId="0" fontId="155" fillId="3" borderId="148" xfId="16" applyFont="1" applyFill="1" applyBorder="1" applyAlignment="1" applyProtection="1">
      <protection locked="0"/>
    </xf>
    <xf numFmtId="3" fontId="155" fillId="76" borderId="148" xfId="16" applyNumberFormat="1" applyFont="1" applyFill="1" applyBorder="1" applyAlignment="1" applyProtection="1"/>
    <xf numFmtId="0" fontId="105" fillId="0" borderId="99" xfId="0" applyFont="1" applyFill="1" applyBorder="1" applyAlignment="1">
      <alignment horizontal="left" vertical="center" wrapText="1"/>
    </xf>
    <xf numFmtId="0" fontId="162" fillId="0" borderId="148" xfId="0" applyFont="1" applyBorder="1"/>
    <xf numFmtId="0" fontId="11" fillId="0" borderId="148" xfId="17" applyBorder="1" applyAlignment="1" applyProtection="1"/>
    <xf numFmtId="14" fontId="4" fillId="0" borderId="0" xfId="0" applyNumberFormat="1" applyFont="1" applyAlignment="1">
      <alignment horizontal="left"/>
    </xf>
    <xf numFmtId="9" fontId="9" fillId="2" borderId="99" xfId="20961" applyFont="1" applyFill="1" applyBorder="1" applyAlignment="1" applyProtection="1">
      <alignment vertical="center"/>
      <protection locked="0"/>
    </xf>
    <xf numFmtId="9" fontId="17" fillId="2" borderId="99" xfId="20961" applyFont="1" applyFill="1" applyBorder="1" applyAlignment="1" applyProtection="1">
      <alignment vertical="center"/>
      <protection locked="0"/>
    </xf>
    <xf numFmtId="9" fontId="26" fillId="36" borderId="0" xfId="20961" applyFont="1" applyFill="1" applyBorder="1"/>
    <xf numFmtId="9" fontId="9" fillId="2" borderId="23" xfId="20961" applyFont="1" applyFill="1" applyBorder="1" applyAlignment="1" applyProtection="1">
      <alignment vertical="center"/>
      <protection locked="0"/>
    </xf>
    <xf numFmtId="165" fontId="9" fillId="2" borderId="94" xfId="7" applyNumberFormat="1" applyFont="1" applyFill="1" applyBorder="1" applyAlignment="1" applyProtection="1">
      <alignment vertical="center"/>
      <protection locked="0"/>
    </xf>
    <xf numFmtId="165" fontId="17" fillId="2" borderId="94" xfId="7" applyNumberFormat="1" applyFont="1" applyFill="1" applyBorder="1" applyAlignment="1" applyProtection="1">
      <alignment vertical="center"/>
      <protection locked="0"/>
    </xf>
    <xf numFmtId="9" fontId="4" fillId="0" borderId="99" xfId="20961" applyNumberFormat="1" applyFont="1" applyFill="1" applyBorder="1" applyAlignment="1" applyProtection="1">
      <alignment horizontal="right" vertical="center" wrapText="1"/>
      <protection locked="0"/>
    </xf>
    <xf numFmtId="9" fontId="4" fillId="0" borderId="99" xfId="20961" applyNumberFormat="1" applyFont="1" applyBorder="1" applyAlignment="1" applyProtection="1">
      <alignment vertical="center" wrapText="1"/>
      <protection locked="0"/>
    </xf>
    <xf numFmtId="0" fontId="105" fillId="0" borderId="99" xfId="0" applyFont="1" applyFill="1" applyBorder="1" applyAlignment="1">
      <alignment horizontal="left"/>
    </xf>
    <xf numFmtId="14" fontId="116" fillId="0" borderId="0" xfId="0" applyNumberFormat="1" applyFont="1" applyAlignment="1">
      <alignment horizontal="left"/>
    </xf>
    <xf numFmtId="165" fontId="0" fillId="0" borderId="148" xfId="7" applyNumberFormat="1" applyFont="1" applyBorder="1"/>
    <xf numFmtId="165" fontId="0" fillId="0" borderId="99" xfId="7" applyNumberFormat="1" applyFont="1" applyBorder="1"/>
    <xf numFmtId="165" fontId="0" fillId="35" borderId="99" xfId="7" applyNumberFormat="1" applyFont="1" applyFill="1" applyBorder="1"/>
    <xf numFmtId="165" fontId="0" fillId="0" borderId="99" xfId="7" applyNumberFormat="1" applyFont="1" applyBorder="1" applyAlignment="1">
      <alignment vertical="center"/>
    </xf>
    <xf numFmtId="165" fontId="0" fillId="35" borderId="99" xfId="7" applyNumberFormat="1" applyFont="1" applyFill="1" applyBorder="1" applyAlignment="1">
      <alignment vertical="center"/>
    </xf>
    <xf numFmtId="165" fontId="0" fillId="0" borderId="140" xfId="7" applyNumberFormat="1" applyFont="1" applyBorder="1"/>
    <xf numFmtId="165" fontId="0" fillId="35" borderId="140" xfId="7" applyNumberFormat="1" applyFont="1" applyFill="1" applyBorder="1"/>
    <xf numFmtId="165" fontId="0" fillId="0" borderId="140" xfId="7" applyNumberFormat="1" applyFont="1" applyBorder="1" applyProtection="1"/>
    <xf numFmtId="165" fontId="0" fillId="0" borderId="148" xfId="7" applyNumberFormat="1" applyFont="1" applyFill="1" applyBorder="1"/>
    <xf numFmtId="0" fontId="9" fillId="0" borderId="151" xfId="0" applyFont="1" applyBorder="1" applyAlignment="1">
      <alignment wrapText="1"/>
    </xf>
    <xf numFmtId="0" fontId="4" fillId="0" borderId="157" xfId="0" applyFont="1" applyBorder="1" applyAlignment="1"/>
    <xf numFmtId="0" fontId="9" fillId="0" borderId="157" xfId="0" applyFont="1" applyBorder="1"/>
    <xf numFmtId="0" fontId="9" fillId="0" borderId="158" xfId="0" applyFont="1" applyBorder="1" applyAlignment="1">
      <alignment vertical="center"/>
    </xf>
    <xf numFmtId="0" fontId="13" fillId="0" borderId="151" xfId="0" applyFont="1" applyBorder="1" applyAlignment="1">
      <alignment wrapText="1"/>
    </xf>
    <xf numFmtId="10" fontId="4" fillId="0" borderId="21" xfId="20961" applyNumberFormat="1" applyFont="1" applyBorder="1" applyAlignment="1"/>
    <xf numFmtId="0" fontId="9" fillId="0" borderId="107" xfId="0" applyFont="1" applyBorder="1" applyAlignment="1">
      <alignment vertical="center"/>
    </xf>
    <xf numFmtId="0" fontId="13" fillId="0" borderId="147" xfId="0" applyFont="1" applyBorder="1" applyAlignment="1">
      <alignment wrapText="1"/>
    </xf>
    <xf numFmtId="10" fontId="4" fillId="0" borderId="114" xfId="20961" applyNumberFormat="1" applyFont="1" applyBorder="1" applyAlignment="1"/>
    <xf numFmtId="10" fontId="4" fillId="0" borderId="108" xfId="20961" applyNumberFormat="1" applyFont="1" applyBorder="1" applyAlignment="1"/>
    <xf numFmtId="10" fontId="4" fillId="0" borderId="24" xfId="20961" applyNumberFormat="1" applyFont="1" applyBorder="1" applyAlignment="1"/>
    <xf numFmtId="193" fontId="4" fillId="0" borderId="0" xfId="0" applyNumberFormat="1" applyFont="1"/>
    <xf numFmtId="3" fontId="4" fillId="0" borderId="0" xfId="0" applyNumberFormat="1" applyFont="1"/>
    <xf numFmtId="165" fontId="0" fillId="0" borderId="0" xfId="0" applyNumberFormat="1"/>
    <xf numFmtId="1" fontId="4" fillId="0" borderId="0" xfId="0" applyNumberFormat="1" applyFont="1" applyFill="1" applyAlignment="1">
      <alignment horizontal="left" vertical="center"/>
    </xf>
    <xf numFmtId="10" fontId="112" fillId="77" borderId="148" xfId="20961" applyNumberFormat="1" applyFont="1" applyFill="1" applyBorder="1" applyAlignment="1" applyProtection="1">
      <alignment horizontal="right" vertical="center"/>
    </xf>
    <xf numFmtId="165" fontId="4" fillId="0" borderId="148" xfId="7" applyNumberFormat="1" applyFont="1" applyBorder="1"/>
    <xf numFmtId="164" fontId="116" fillId="0" borderId="0" xfId="0" applyNumberFormat="1" applyFont="1"/>
    <xf numFmtId="164" fontId="116" fillId="0" borderId="0" xfId="0" applyNumberFormat="1" applyFont="1" applyBorder="1"/>
    <xf numFmtId="165" fontId="119" fillId="0" borderId="140" xfId="7" applyNumberFormat="1" applyFont="1" applyBorder="1"/>
    <xf numFmtId="167" fontId="0" fillId="0" borderId="0" xfId="0" applyNumberFormat="1"/>
    <xf numFmtId="43" fontId="4" fillId="0" borderId="114" xfId="7" applyFont="1" applyFill="1" applyBorder="1" applyAlignment="1">
      <alignment horizontal="right" vertical="center" wrapText="1"/>
    </xf>
    <xf numFmtId="43" fontId="6" fillId="35" borderId="114" xfId="7" applyFont="1" applyFill="1" applyBorder="1" applyAlignment="1">
      <alignment horizontal="right" vertical="center" wrapText="1"/>
    </xf>
    <xf numFmtId="43" fontId="108" fillId="0" borderId="114" xfId="7" applyFont="1" applyFill="1" applyBorder="1" applyAlignment="1">
      <alignment horizontal="right" vertical="center" wrapText="1"/>
    </xf>
    <xf numFmtId="43" fontId="6" fillId="35" borderId="114" xfId="7" applyFont="1" applyFill="1" applyBorder="1" applyAlignment="1">
      <alignment horizontal="center" vertical="center" wrapText="1"/>
    </xf>
    <xf numFmtId="43" fontId="7" fillId="0" borderId="24" xfId="7" applyFont="1" applyFill="1" applyBorder="1" applyAlignment="1" applyProtection="1">
      <alignment horizontal="right" vertical="center"/>
    </xf>
    <xf numFmtId="43" fontId="4" fillId="0" borderId="0" xfId="7" applyFont="1"/>
    <xf numFmtId="194" fontId="144" fillId="87" borderId="157" xfId="7" applyNumberFormat="1" applyFont="1" applyFill="1" applyBorder="1" applyAlignment="1">
      <alignment horizontal="left" vertical="center"/>
    </xf>
    <xf numFmtId="43" fontId="23" fillId="0" borderId="0" xfId="7" applyFont="1"/>
    <xf numFmtId="43" fontId="9" fillId="0" borderId="0" xfId="7" applyFont="1" applyFill="1" applyBorder="1" applyAlignment="1" applyProtection="1"/>
    <xf numFmtId="43" fontId="4" fillId="0" borderId="59" xfId="7" applyFont="1" applyFill="1" applyBorder="1" applyAlignment="1">
      <alignment horizontal="center" vertical="center" wrapText="1"/>
    </xf>
    <xf numFmtId="43" fontId="22" fillId="0" borderId="30" xfId="7" applyFont="1" applyBorder="1" applyAlignment="1">
      <alignment horizontal="center" vertical="center"/>
    </xf>
    <xf numFmtId="43" fontId="23" fillId="0" borderId="12" xfId="7" applyFont="1" applyBorder="1" applyAlignment="1">
      <alignment horizontal="center" vertical="center"/>
    </xf>
    <xf numFmtId="43" fontId="22" fillId="0" borderId="12" xfId="7" applyFont="1" applyBorder="1" applyAlignment="1">
      <alignment horizontal="center" vertical="center"/>
    </xf>
    <xf numFmtId="43" fontId="19" fillId="0" borderId="12" xfId="7" applyFont="1" applyBorder="1" applyAlignment="1">
      <alignment horizontal="center" vertical="center"/>
    </xf>
    <xf numFmtId="43" fontId="103" fillId="0" borderId="12" xfId="7" applyFont="1" applyBorder="1" applyAlignment="1">
      <alignment horizontal="center" vertical="center"/>
    </xf>
    <xf numFmtId="43" fontId="23" fillId="0" borderId="12" xfId="7" applyFont="1" applyFill="1" applyBorder="1" applyAlignment="1">
      <alignment horizontal="center" vertical="center"/>
    </xf>
    <xf numFmtId="43" fontId="23" fillId="0" borderId="13" xfId="7" applyFont="1" applyBorder="1" applyAlignment="1">
      <alignment horizontal="center" vertical="center"/>
    </xf>
    <xf numFmtId="43" fontId="22" fillId="0" borderId="14" xfId="7" applyFont="1" applyFill="1" applyBorder="1" applyAlignment="1">
      <alignment horizontal="center" vertical="center"/>
    </xf>
    <xf numFmtId="43" fontId="22" fillId="0" borderId="15" xfId="7" applyFont="1" applyBorder="1" applyAlignment="1">
      <alignment horizontal="center" vertical="center"/>
    </xf>
    <xf numFmtId="43" fontId="22" fillId="0" borderId="13" xfId="7" applyFont="1" applyBorder="1" applyAlignment="1">
      <alignment horizontal="center" vertical="center"/>
    </xf>
    <xf numFmtId="43" fontId="19" fillId="0" borderId="13" xfId="7" applyFont="1" applyBorder="1" applyAlignment="1">
      <alignment vertical="center"/>
    </xf>
    <xf numFmtId="43" fontId="23" fillId="0" borderId="140" xfId="7" applyFont="1" applyBorder="1" applyAlignment="1">
      <alignment horizontal="center" vertical="center"/>
    </xf>
    <xf numFmtId="43" fontId="22" fillId="0" borderId="140" xfId="7" applyFont="1" applyFill="1" applyBorder="1" applyAlignment="1">
      <alignment horizontal="center" vertical="center"/>
    </xf>
    <xf numFmtId="43" fontId="22" fillId="0" borderId="140" xfId="7" applyFont="1" applyBorder="1" applyAlignment="1">
      <alignment horizontal="center"/>
    </xf>
    <xf numFmtId="43" fontId="23" fillId="0" borderId="140" xfId="7" applyFont="1" applyBorder="1" applyAlignment="1">
      <alignment horizontal="center"/>
    </xf>
    <xf numFmtId="43" fontId="23" fillId="0" borderId="140" xfId="7" applyFont="1" applyBorder="1"/>
    <xf numFmtId="43" fontId="22" fillId="0" borderId="140" xfId="7" applyFont="1" applyBorder="1" applyAlignment="1">
      <alignment horizontal="center" vertical="center"/>
    </xf>
    <xf numFmtId="165" fontId="4" fillId="0" borderId="0" xfId="7" applyNumberFormat="1" applyFont="1"/>
    <xf numFmtId="193" fontId="0" fillId="0" borderId="0" xfId="0" applyNumberFormat="1"/>
    <xf numFmtId="43" fontId="0" fillId="0" borderId="0" xfId="7" applyFont="1"/>
    <xf numFmtId="196" fontId="0" fillId="0" borderId="0" xfId="0" applyNumberFormat="1"/>
    <xf numFmtId="165" fontId="0" fillId="0" borderId="0" xfId="7" applyNumberFormat="1" applyFont="1"/>
    <xf numFmtId="165" fontId="163" fillId="0" borderId="0" xfId="0" applyNumberFormat="1" applyFont="1"/>
    <xf numFmtId="165" fontId="4" fillId="0" borderId="20" xfId="7" applyNumberFormat="1" applyFont="1" applyBorder="1" applyAlignment="1"/>
    <xf numFmtId="165" fontId="4" fillId="35" borderId="24" xfId="7" applyNumberFormat="1" applyFont="1" applyFill="1" applyBorder="1"/>
    <xf numFmtId="43" fontId="116" fillId="0" borderId="0" xfId="7" applyFont="1"/>
    <xf numFmtId="43" fontId="115" fillId="0" borderId="148" xfId="7" applyFont="1" applyBorder="1"/>
    <xf numFmtId="43" fontId="115" fillId="0" borderId="148" xfId="7" applyFont="1" applyFill="1" applyBorder="1"/>
    <xf numFmtId="43" fontId="118" fillId="0" borderId="148" xfId="7" applyFont="1" applyBorder="1"/>
    <xf numFmtId="43" fontId="116" fillId="0" borderId="0" xfId="7" applyFont="1" applyBorder="1"/>
    <xf numFmtId="165" fontId="116" fillId="0" borderId="148" xfId="7" applyNumberFormat="1" applyFont="1" applyBorder="1"/>
    <xf numFmtId="165" fontId="119" fillId="0" borderId="148" xfId="7" applyNumberFormat="1" applyFont="1" applyBorder="1"/>
    <xf numFmtId="165" fontId="116" fillId="0" borderId="0" xfId="7" applyNumberFormat="1" applyFont="1"/>
    <xf numFmtId="165" fontId="115" fillId="0" borderId="148" xfId="7" applyNumberFormat="1" applyFont="1" applyBorder="1" applyAlignment="1">
      <alignment horizontal="left" indent="1"/>
    </xf>
    <xf numFmtId="165" fontId="115" fillId="0" borderId="148" xfId="7" applyNumberFormat="1" applyFont="1" applyBorder="1"/>
    <xf numFmtId="165" fontId="0" fillId="0" borderId="148" xfId="7" applyNumberFormat="1" applyFont="1" applyBorder="1" applyAlignment="1">
      <alignment vertical="center"/>
    </xf>
    <xf numFmtId="43" fontId="0" fillId="0" borderId="0" xfId="0" applyNumberFormat="1"/>
    <xf numFmtId="3" fontId="12" fillId="0" borderId="0" xfId="0" applyNumberFormat="1" applyFont="1"/>
    <xf numFmtId="3" fontId="0" fillId="0" borderId="0" xfId="0" applyNumberFormat="1"/>
    <xf numFmtId="3" fontId="0" fillId="0" borderId="0" xfId="0" applyNumberFormat="1" applyAlignment="1">
      <alignment wrapText="1"/>
    </xf>
    <xf numFmtId="43" fontId="9" fillId="2" borderId="99" xfId="7" applyFont="1" applyFill="1" applyBorder="1" applyAlignment="1" applyProtection="1">
      <alignment vertical="center"/>
      <protection locked="0"/>
    </xf>
    <xf numFmtId="9" fontId="9" fillId="0" borderId="99" xfId="20961" applyFont="1" applyFill="1" applyBorder="1" applyAlignment="1" applyProtection="1">
      <alignment vertical="center"/>
      <protection locked="0"/>
    </xf>
    <xf numFmtId="165" fontId="26" fillId="36" borderId="0" xfId="7" applyNumberFormat="1" applyFont="1" applyFill="1" applyBorder="1"/>
    <xf numFmtId="165" fontId="4" fillId="0" borderId="53" xfId="7" applyNumberFormat="1" applyFont="1" applyFill="1" applyBorder="1" applyAlignment="1">
      <alignment vertical="center"/>
    </xf>
    <xf numFmtId="165" fontId="4" fillId="3" borderId="97" xfId="7" applyNumberFormat="1" applyFont="1" applyFill="1" applyBorder="1" applyAlignment="1">
      <alignment vertical="center"/>
    </xf>
    <xf numFmtId="165" fontId="4" fillId="0" borderId="100" xfId="7" applyNumberFormat="1" applyFont="1" applyFill="1" applyBorder="1" applyAlignment="1">
      <alignment vertical="center"/>
    </xf>
    <xf numFmtId="165" fontId="4" fillId="0" borderId="23" xfId="7" applyNumberFormat="1" applyFont="1" applyFill="1" applyBorder="1" applyAlignment="1">
      <alignment vertical="center"/>
    </xf>
    <xf numFmtId="165" fontId="4" fillId="0" borderId="25" xfId="7" applyNumberFormat="1" applyFont="1" applyFill="1" applyBorder="1" applyAlignment="1">
      <alignment vertical="center"/>
    </xf>
    <xf numFmtId="165" fontId="4" fillId="0" borderId="26" xfId="7" applyNumberFormat="1" applyFont="1" applyFill="1" applyBorder="1" applyAlignment="1">
      <alignment vertical="center"/>
    </xf>
    <xf numFmtId="165" fontId="4" fillId="0" borderId="95" xfId="7" applyNumberFormat="1" applyFont="1" applyFill="1" applyBorder="1" applyAlignment="1">
      <alignment vertical="center"/>
    </xf>
    <xf numFmtId="9" fontId="4" fillId="0" borderId="93" xfId="20961" applyFont="1" applyFill="1" applyBorder="1" applyAlignment="1">
      <alignment vertical="center"/>
    </xf>
    <xf numFmtId="165" fontId="165" fillId="0" borderId="0" xfId="0" applyNumberFormat="1" applyFont="1"/>
    <xf numFmtId="10" fontId="165" fillId="0" borderId="0" xfId="0" applyNumberFormat="1" applyFont="1"/>
    <xf numFmtId="4" fontId="4" fillId="0" borderId="0" xfId="0" applyNumberFormat="1" applyFont="1"/>
    <xf numFmtId="43" fontId="4" fillId="0" borderId="0" xfId="0" applyNumberFormat="1" applyFont="1"/>
    <xf numFmtId="165" fontId="4" fillId="0" borderId="64" xfId="7" applyNumberFormat="1" applyFont="1" applyFill="1" applyBorder="1" applyAlignment="1">
      <alignment vertical="center"/>
    </xf>
    <xf numFmtId="165" fontId="4" fillId="3" borderId="21" xfId="7" applyNumberFormat="1" applyFont="1" applyFill="1" applyBorder="1" applyAlignment="1">
      <alignment vertical="center"/>
    </xf>
    <xf numFmtId="165" fontId="4" fillId="0" borderId="114" xfId="7" applyNumberFormat="1" applyFont="1" applyFill="1" applyBorder="1" applyAlignment="1">
      <alignment vertical="center"/>
    </xf>
    <xf numFmtId="165" fontId="4" fillId="0" borderId="24" xfId="7" applyNumberFormat="1" applyFont="1" applyFill="1" applyBorder="1" applyAlignment="1">
      <alignment vertical="center"/>
    </xf>
    <xf numFmtId="9" fontId="4" fillId="0" borderId="110" xfId="20961" applyFont="1" applyFill="1" applyBorder="1" applyAlignment="1">
      <alignment vertical="center"/>
    </xf>
    <xf numFmtId="165" fontId="4" fillId="0" borderId="18" xfId="7" applyNumberFormat="1" applyFont="1" applyFill="1" applyBorder="1" applyAlignment="1">
      <alignment vertical="center"/>
    </xf>
    <xf numFmtId="165" fontId="4" fillId="0" borderId="108" xfId="7" applyNumberFormat="1" applyFont="1" applyFill="1" applyBorder="1" applyAlignment="1">
      <alignment vertical="center"/>
    </xf>
    <xf numFmtId="165" fontId="165" fillId="0" borderId="0" xfId="7" applyNumberFormat="1" applyFont="1"/>
    <xf numFmtId="43" fontId="115" fillId="0" borderId="148" xfId="0" applyNumberFormat="1" applyFont="1" applyBorder="1"/>
    <xf numFmtId="43" fontId="115" fillId="0" borderId="148" xfId="0" applyNumberFormat="1" applyFont="1" applyBorder="1" applyAlignment="1">
      <alignment horizontal="center" vertical="center" wrapText="1"/>
    </xf>
    <xf numFmtId="43" fontId="120" fillId="0" borderId="148" xfId="0" applyNumberFormat="1" applyFont="1" applyBorder="1"/>
    <xf numFmtId="43" fontId="116" fillId="0" borderId="0" xfId="0" applyNumberFormat="1" applyFont="1"/>
    <xf numFmtId="9" fontId="120" fillId="0" borderId="148" xfId="0" applyNumberFormat="1" applyFont="1" applyBorder="1"/>
    <xf numFmtId="43" fontId="17" fillId="2" borderId="99" xfId="7" applyFont="1" applyFill="1" applyBorder="1" applyAlignment="1" applyProtection="1">
      <alignment vertical="center"/>
      <protection locked="0"/>
    </xf>
    <xf numFmtId="166" fontId="7" fillId="0" borderId="0" xfId="20961" applyNumberFormat="1" applyFont="1"/>
    <xf numFmtId="165" fontId="118" fillId="0" borderId="148" xfId="7" applyNumberFormat="1" applyFont="1" applyBorder="1"/>
    <xf numFmtId="167" fontId="163" fillId="0" borderId="0" xfId="0" applyNumberFormat="1" applyFont="1"/>
    <xf numFmtId="43" fontId="165" fillId="0" borderId="0" xfId="0" applyNumberFormat="1" applyFont="1"/>
    <xf numFmtId="43" fontId="163" fillId="0" borderId="0" xfId="7" applyFont="1"/>
    <xf numFmtId="165" fontId="166" fillId="0" borderId="0" xfId="7" applyNumberFormat="1" applyFont="1"/>
    <xf numFmtId="38" fontId="115" fillId="0" borderId="148" xfId="0" applyNumberFormat="1" applyFont="1" applyBorder="1"/>
    <xf numFmtId="165" fontId="115" fillId="0" borderId="148" xfId="7" applyNumberFormat="1" applyFont="1" applyFill="1" applyBorder="1" applyAlignment="1">
      <alignment horizontal="left" vertical="center" wrapText="1"/>
    </xf>
    <xf numFmtId="165" fontId="120" fillId="0" borderId="148" xfId="7" applyNumberFormat="1" applyFont="1" applyBorder="1"/>
    <xf numFmtId="0" fontId="9" fillId="0" borderId="99" xfId="0" applyFont="1" applyFill="1" applyBorder="1" applyAlignment="1">
      <alignment vertical="center"/>
    </xf>
    <xf numFmtId="165" fontId="0" fillId="0" borderId="0" xfId="0" applyNumberFormat="1" applyFill="1"/>
    <xf numFmtId="43" fontId="0" fillId="0" borderId="0" xfId="0" applyNumberFormat="1" applyFill="1"/>
    <xf numFmtId="165" fontId="0" fillId="0" borderId="0" xfId="7" applyNumberFormat="1" applyFont="1" applyFill="1"/>
    <xf numFmtId="43" fontId="0" fillId="0" borderId="0" xfId="7" applyNumberFormat="1" applyFont="1" applyFill="1"/>
    <xf numFmtId="43" fontId="0" fillId="0" borderId="0" xfId="7" applyFont="1" applyFill="1"/>
    <xf numFmtId="165" fontId="120" fillId="0" borderId="148" xfId="0" applyNumberFormat="1" applyFont="1" applyBorder="1"/>
    <xf numFmtId="43" fontId="165" fillId="0" borderId="0" xfId="7" applyFont="1" applyFill="1"/>
    <xf numFmtId="0" fontId="103" fillId="0" borderId="66" xfId="0" applyFont="1" applyBorder="1" applyAlignment="1">
      <alignment horizontal="left" vertical="center" wrapText="1"/>
    </xf>
    <xf numFmtId="0" fontId="103" fillId="0" borderId="65" xfId="0" applyFont="1" applyBorder="1" applyAlignment="1">
      <alignment horizontal="left" vertical="center" wrapText="1"/>
    </xf>
    <xf numFmtId="0" fontId="140" fillId="0" borderId="161" xfId="0" applyFont="1" applyBorder="1" applyAlignment="1">
      <alignment horizontal="center" vertical="center"/>
    </xf>
    <xf numFmtId="0" fontId="140" fillId="0" borderId="29" xfId="0" applyFont="1" applyBorder="1" applyAlignment="1">
      <alignment horizontal="center" vertical="center"/>
    </xf>
    <xf numFmtId="0" fontId="140" fillId="0" borderId="162" xfId="0" applyFont="1" applyBorder="1" applyAlignment="1">
      <alignment horizontal="center" vertical="center"/>
    </xf>
    <xf numFmtId="165" fontId="0" fillId="0" borderId="100" xfId="7" applyNumberFormat="1" applyFont="1" applyBorder="1" applyAlignment="1">
      <alignment horizontal="center"/>
    </xf>
    <xf numFmtId="165" fontId="0" fillId="0" borderId="97" xfId="7" applyNumberFormat="1" applyFont="1" applyBorder="1" applyAlignment="1">
      <alignment horizontal="center"/>
    </xf>
    <xf numFmtId="165" fontId="0" fillId="0" borderId="98" xfId="7" applyNumberFormat="1" applyFont="1" applyBorder="1" applyAlignment="1">
      <alignment horizontal="center"/>
    </xf>
    <xf numFmtId="165" fontId="0" fillId="0" borderId="141" xfId="7" applyNumberFormat="1" applyFont="1" applyBorder="1" applyAlignment="1">
      <alignment horizontal="center"/>
    </xf>
    <xf numFmtId="165" fontId="0" fillId="0" borderId="142" xfId="7" applyNumberFormat="1" applyFont="1" applyBorder="1" applyAlignment="1">
      <alignment horizontal="center"/>
    </xf>
    <xf numFmtId="165" fontId="0" fillId="0" borderId="143" xfId="7" applyNumberFormat="1" applyFont="1" applyBorder="1" applyAlignment="1">
      <alignment horizontal="center"/>
    </xf>
    <xf numFmtId="0" fontId="0" fillId="0" borderId="140" xfId="0" applyBorder="1" applyAlignment="1">
      <alignment horizontal="center" vertical="center"/>
    </xf>
    <xf numFmtId="0" fontId="127" fillId="0" borderId="94" xfId="0" applyFont="1" applyBorder="1" applyAlignment="1">
      <alignment horizontal="center" vertical="center"/>
    </xf>
    <xf numFmtId="0" fontId="127"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127" fillId="0" borderId="144" xfId="0" applyFont="1" applyBorder="1" applyAlignment="1">
      <alignment horizontal="center" vertical="center" wrapText="1"/>
    </xf>
    <xf numFmtId="0" fontId="127" fillId="0" borderId="7" xfId="0" applyFont="1" applyBorder="1" applyAlignment="1">
      <alignment horizontal="center" vertical="center" wrapText="1"/>
    </xf>
    <xf numFmtId="0" fontId="0" fillId="0" borderId="130" xfId="0" applyBorder="1" applyAlignment="1">
      <alignment horizontal="center" vertical="center"/>
    </xf>
    <xf numFmtId="0" fontId="0" fillId="0" borderId="11" xfId="0" applyBorder="1" applyAlignment="1">
      <alignment horizontal="center" vertical="center"/>
    </xf>
    <xf numFmtId="0" fontId="0" fillId="0" borderId="140"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xf>
    <xf numFmtId="0" fontId="4" fillId="0" borderId="21" xfId="0" applyFont="1" applyFill="1" applyBorder="1" applyAlignment="1">
      <alignment horizontal="center"/>
    </xf>
    <xf numFmtId="0" fontId="6" fillId="35" borderId="118"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5" xfId="0" applyFont="1" applyFill="1" applyBorder="1" applyAlignment="1">
      <alignment horizontal="center" vertical="center" wrapText="1"/>
    </xf>
    <xf numFmtId="0" fontId="6" fillId="35" borderId="98"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8"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4" xfId="0" applyFont="1" applyFill="1" applyBorder="1" applyAlignment="1" applyProtection="1">
      <alignment horizontal="center" vertical="center" wrapText="1"/>
    </xf>
    <xf numFmtId="0" fontId="6" fillId="86" borderId="157" xfId="0" applyFont="1" applyFill="1" applyBorder="1" applyAlignment="1" applyProtection="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5" fontId="15" fillId="3" borderId="16" xfId="1" applyNumberFormat="1" applyFont="1" applyFill="1" applyBorder="1" applyAlignment="1" applyProtection="1">
      <alignment horizontal="center"/>
      <protection locked="0"/>
    </xf>
    <xf numFmtId="165" fontId="15" fillId="3" borderId="17" xfId="1" applyNumberFormat="1" applyFont="1" applyFill="1" applyBorder="1" applyAlignment="1" applyProtection="1">
      <alignment horizontal="center"/>
      <protection locked="0"/>
    </xf>
    <xf numFmtId="165"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5" fontId="15" fillId="0" borderId="90" xfId="1" applyNumberFormat="1" applyFont="1" applyFill="1" applyBorder="1" applyAlignment="1" applyProtection="1">
      <alignment horizontal="center" vertical="center" wrapText="1"/>
      <protection locked="0"/>
    </xf>
    <xf numFmtId="165" fontId="15" fillId="0" borderId="91"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4" xfId="0" applyFont="1" applyBorder="1" applyAlignment="1">
      <alignment horizontal="center" vertical="center" wrapText="1"/>
    </xf>
    <xf numFmtId="0" fontId="118" fillId="0" borderId="121" xfId="0" applyNumberFormat="1" applyFont="1" applyFill="1" applyBorder="1" applyAlignment="1">
      <alignment horizontal="left" vertical="center" wrapText="1"/>
    </xf>
    <xf numFmtId="0" fontId="118" fillId="0" borderId="122" xfId="0" applyNumberFormat="1" applyFont="1" applyFill="1" applyBorder="1" applyAlignment="1">
      <alignment horizontal="left" vertical="center" wrapText="1"/>
    </xf>
    <xf numFmtId="0" fontId="118" fillId="0" borderId="124" xfId="0" applyNumberFormat="1" applyFont="1" applyFill="1" applyBorder="1" applyAlignment="1">
      <alignment horizontal="left" vertical="center" wrapText="1"/>
    </xf>
    <xf numFmtId="0" fontId="118" fillId="0" borderId="125" xfId="0" applyNumberFormat="1" applyFont="1" applyFill="1" applyBorder="1" applyAlignment="1">
      <alignment horizontal="left" vertical="center" wrapText="1"/>
    </xf>
    <xf numFmtId="0" fontId="118" fillId="0" borderId="127" xfId="0" applyNumberFormat="1" applyFont="1" applyFill="1" applyBorder="1" applyAlignment="1">
      <alignment horizontal="left" vertical="center" wrapText="1"/>
    </xf>
    <xf numFmtId="0" fontId="118" fillId="0" borderId="128" xfId="0" applyNumberFormat="1" applyFont="1" applyFill="1" applyBorder="1" applyAlignment="1">
      <alignment horizontal="left" vertical="center" wrapText="1"/>
    </xf>
    <xf numFmtId="0" fontId="119" fillId="0" borderId="147" xfId="0" applyFont="1" applyFill="1" applyBorder="1" applyAlignment="1">
      <alignment horizontal="center" vertical="center" wrapText="1"/>
    </xf>
    <xf numFmtId="0" fontId="119" fillId="0" borderId="146" xfId="0" applyFont="1" applyFill="1" applyBorder="1" applyAlignment="1">
      <alignment horizontal="center" vertical="center" wrapText="1"/>
    </xf>
    <xf numFmtId="0" fontId="119" fillId="0" borderId="123" xfId="0" applyFont="1" applyFill="1" applyBorder="1" applyAlignment="1">
      <alignment horizontal="center" vertical="center" wrapText="1"/>
    </xf>
    <xf numFmtId="0" fontId="119" fillId="0" borderId="53" xfId="0" applyFont="1" applyFill="1" applyBorder="1" applyAlignment="1">
      <alignment horizontal="center" vertical="center" wrapText="1"/>
    </xf>
    <xf numFmtId="0" fontId="119" fillId="0" borderId="126"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5" fillId="0" borderId="149"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148" xfId="0" applyFont="1" applyBorder="1" applyAlignment="1">
      <alignment horizontal="center" vertical="center" wrapText="1"/>
    </xf>
    <xf numFmtId="0" fontId="115" fillId="0" borderId="151" xfId="0" applyFont="1" applyBorder="1" applyAlignment="1">
      <alignment horizontal="center" vertical="center" wrapText="1"/>
    </xf>
    <xf numFmtId="0" fontId="115" fillId="0" borderId="150" xfId="0" applyFont="1" applyBorder="1" applyAlignment="1">
      <alignment horizontal="center" vertical="center" wrapText="1"/>
    </xf>
    <xf numFmtId="0" fontId="123" fillId="0" borderId="148" xfId="0" applyFont="1" applyFill="1" applyBorder="1" applyAlignment="1">
      <alignment horizontal="center" vertical="center"/>
    </xf>
    <xf numFmtId="0" fontId="117" fillId="0" borderId="147" xfId="0" applyFont="1" applyFill="1" applyBorder="1" applyAlignment="1">
      <alignment horizontal="center" vertical="center"/>
    </xf>
    <xf numFmtId="0" fontId="117" fillId="0" borderId="152" xfId="0" applyFont="1" applyFill="1" applyBorder="1" applyAlignment="1">
      <alignment horizontal="center" vertical="center"/>
    </xf>
    <xf numFmtId="0" fontId="117" fillId="0" borderId="53" xfId="0" applyFont="1" applyFill="1" applyBorder="1" applyAlignment="1">
      <alignment horizontal="center" vertical="center"/>
    </xf>
    <xf numFmtId="0" fontId="117" fillId="0" borderId="11" xfId="0" applyFont="1" applyFill="1" applyBorder="1" applyAlignment="1">
      <alignment horizontal="center" vertical="center"/>
    </xf>
    <xf numFmtId="0" fontId="118" fillId="0" borderId="148" xfId="0" applyFont="1" applyFill="1" applyBorder="1" applyAlignment="1">
      <alignment horizontal="center" vertical="center" wrapText="1"/>
    </xf>
    <xf numFmtId="0" fontId="118" fillId="0" borderId="147" xfId="0" applyFont="1" applyFill="1" applyBorder="1" applyAlignment="1">
      <alignment horizontal="center" vertical="center" wrapText="1"/>
    </xf>
    <xf numFmtId="0" fontId="118" fillId="0" borderId="152" xfId="0" applyFont="1" applyFill="1" applyBorder="1" applyAlignment="1">
      <alignment horizontal="center" vertical="center" wrapText="1"/>
    </xf>
    <xf numFmtId="0" fontId="118" fillId="0" borderId="129" xfId="0" applyFont="1" applyFill="1" applyBorder="1" applyAlignment="1">
      <alignment horizontal="center" vertical="center" wrapText="1"/>
    </xf>
    <xf numFmtId="0" fontId="118" fillId="0" borderId="130" xfId="0" applyFont="1" applyFill="1" applyBorder="1" applyAlignment="1">
      <alignment horizontal="center" vertical="center" wrapText="1"/>
    </xf>
    <xf numFmtId="0" fontId="118" fillId="0" borderId="53"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5" fillId="0" borderId="151" xfId="0" applyFont="1" applyFill="1" applyBorder="1" applyAlignment="1">
      <alignment horizontal="center" vertical="center" wrapText="1"/>
    </xf>
    <xf numFmtId="0" fontId="115" fillId="0" borderId="153" xfId="0" applyFont="1" applyFill="1" applyBorder="1" applyAlignment="1">
      <alignment horizontal="center" vertical="center" wrapText="1"/>
    </xf>
    <xf numFmtId="0" fontId="118" fillId="0" borderId="131"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5" fillId="0" borderId="131"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146" xfId="0" applyFont="1" applyFill="1" applyBorder="1" applyAlignment="1">
      <alignment horizontal="center" vertical="center" wrapText="1"/>
    </xf>
    <xf numFmtId="0" fontId="115" fillId="0" borderId="152" xfId="0" applyFont="1" applyFill="1" applyBorder="1" applyAlignment="1">
      <alignment horizontal="center" vertical="center" wrapText="1"/>
    </xf>
    <xf numFmtId="0" fontId="115" fillId="0" borderId="11" xfId="0" applyFont="1" applyBorder="1" applyAlignment="1">
      <alignment horizontal="center" vertical="center" wrapText="1"/>
    </xf>
    <xf numFmtId="0" fontId="115" fillId="0" borderId="157" xfId="0" applyFont="1" applyBorder="1" applyAlignment="1">
      <alignment horizontal="center" vertical="center" wrapText="1"/>
    </xf>
    <xf numFmtId="0" fontId="115" fillId="0" borderId="54" xfId="0" applyFont="1" applyFill="1" applyBorder="1" applyAlignment="1">
      <alignment horizontal="center" vertical="center" wrapText="1"/>
    </xf>
    <xf numFmtId="0" fontId="115" fillId="0" borderId="55" xfId="0" applyFont="1" applyFill="1" applyBorder="1" applyAlignment="1">
      <alignment horizontal="center" vertical="center" wrapText="1"/>
    </xf>
    <xf numFmtId="0" fontId="115" fillId="0" borderId="106" xfId="0" applyFont="1" applyFill="1" applyBorder="1" applyAlignment="1">
      <alignment horizontal="center" vertical="center" wrapText="1"/>
    </xf>
    <xf numFmtId="0" fontId="118" fillId="0" borderId="54" xfId="0" applyNumberFormat="1" applyFont="1" applyFill="1" applyBorder="1" applyAlignment="1">
      <alignment horizontal="left" vertical="top" wrapText="1"/>
    </xf>
    <xf numFmtId="0" fontId="118" fillId="0" borderId="106" xfId="0" applyNumberFormat="1" applyFont="1" applyFill="1" applyBorder="1" applyAlignment="1">
      <alignment horizontal="left" vertical="top" wrapText="1"/>
    </xf>
    <xf numFmtId="0" fontId="118" fillId="0" borderId="63" xfId="0" applyNumberFormat="1" applyFont="1" applyFill="1" applyBorder="1" applyAlignment="1">
      <alignment horizontal="left" vertical="top" wrapText="1"/>
    </xf>
    <xf numFmtId="0" fontId="118" fillId="0" borderId="92" xfId="0" applyNumberFormat="1" applyFont="1" applyFill="1" applyBorder="1" applyAlignment="1">
      <alignment horizontal="left" vertical="top" wrapText="1"/>
    </xf>
    <xf numFmtId="0" fontId="118" fillId="0" borderId="120" xfId="0" applyNumberFormat="1" applyFont="1" applyFill="1" applyBorder="1" applyAlignment="1">
      <alignment horizontal="left" vertical="top" wrapText="1"/>
    </xf>
    <xf numFmtId="0" fontId="118" fillId="0" borderId="159" xfId="0" applyNumberFormat="1" applyFont="1" applyFill="1" applyBorder="1" applyAlignment="1">
      <alignment horizontal="left" vertical="top" wrapText="1"/>
    </xf>
    <xf numFmtId="0" fontId="115" fillId="0" borderId="149" xfId="0" applyFont="1" applyFill="1" applyBorder="1" applyAlignment="1">
      <alignment horizontal="center" vertical="center" wrapText="1"/>
    </xf>
    <xf numFmtId="0" fontId="118" fillId="0" borderId="160" xfId="0" applyFont="1" applyFill="1" applyBorder="1" applyAlignment="1">
      <alignment horizontal="center" vertical="center" wrapText="1"/>
    </xf>
    <xf numFmtId="0" fontId="118" fillId="0" borderId="69" xfId="0" applyFont="1" applyFill="1" applyBorder="1" applyAlignment="1">
      <alignment horizontal="center" vertical="center" wrapText="1"/>
    </xf>
    <xf numFmtId="0" fontId="115" fillId="0" borderId="147" xfId="0" applyFont="1" applyBorder="1" applyAlignment="1">
      <alignment horizontal="center" vertical="top" wrapText="1"/>
    </xf>
    <xf numFmtId="0" fontId="115" fillId="0" borderId="146" xfId="0" applyFont="1" applyBorder="1" applyAlignment="1">
      <alignment horizontal="center" vertical="top" wrapText="1"/>
    </xf>
    <xf numFmtId="0" fontId="115" fillId="0" borderId="147" xfId="0" applyFont="1" applyFill="1" applyBorder="1" applyAlignment="1">
      <alignment horizontal="center" vertical="top" wrapText="1"/>
    </xf>
    <xf numFmtId="0" fontId="115" fillId="0" borderId="153" xfId="0" applyFont="1" applyFill="1" applyBorder="1" applyAlignment="1">
      <alignment horizontal="center" vertical="top" wrapText="1"/>
    </xf>
    <xf numFmtId="0" fontId="115" fillId="0" borderId="150" xfId="0" applyFont="1" applyFill="1" applyBorder="1" applyAlignment="1">
      <alignment horizontal="center" vertical="top" wrapText="1"/>
    </xf>
    <xf numFmtId="0" fontId="104" fillId="0" borderId="132" xfId="0" applyNumberFormat="1" applyFont="1" applyFill="1" applyBorder="1" applyAlignment="1">
      <alignment horizontal="left" vertical="top" wrapText="1"/>
    </xf>
    <xf numFmtId="0" fontId="104" fillId="0" borderId="133" xfId="0" applyNumberFormat="1" applyFont="1" applyFill="1" applyBorder="1" applyAlignment="1">
      <alignment horizontal="left" vertical="top" wrapText="1"/>
    </xf>
    <xf numFmtId="0" fontId="121" fillId="0" borderId="148" xfId="0" applyFont="1" applyBorder="1" applyAlignment="1">
      <alignment horizontal="center" vertical="center"/>
    </xf>
    <xf numFmtId="0" fontId="120" fillId="0" borderId="148" xfId="0" applyFont="1" applyBorder="1" applyAlignment="1">
      <alignment horizontal="center" vertical="center" wrapText="1"/>
    </xf>
    <xf numFmtId="0" fontId="120" fillId="0" borderId="149" xfId="0" applyFont="1" applyBorder="1" applyAlignment="1">
      <alignment horizontal="center" vertical="center" wrapText="1"/>
    </xf>
    <xf numFmtId="0" fontId="104" fillId="75" borderId="151" xfId="0" applyFont="1" applyFill="1" applyBorder="1" applyAlignment="1">
      <alignment horizontal="center" vertical="center" wrapText="1"/>
    </xf>
    <xf numFmtId="0" fontId="104" fillId="75" borderId="150" xfId="0" applyFont="1" applyFill="1" applyBorder="1" applyAlignment="1">
      <alignment horizontal="center" vertical="center" wrapText="1"/>
    </xf>
    <xf numFmtId="0" fontId="105" fillId="0" borderId="151" xfId="0" applyFont="1" applyFill="1" applyBorder="1" applyAlignment="1">
      <alignment horizontal="left" vertical="center" wrapText="1"/>
    </xf>
    <xf numFmtId="0" fontId="105" fillId="0" borderId="150" xfId="0" applyFont="1" applyFill="1" applyBorder="1" applyAlignment="1">
      <alignment horizontal="left" vertical="center" wrapText="1"/>
    </xf>
    <xf numFmtId="0" fontId="105" fillId="0" borderId="151" xfId="13" applyFont="1" applyFill="1" applyBorder="1" applyAlignment="1" applyProtection="1">
      <alignment horizontal="left" vertical="top" wrapText="1"/>
      <protection locked="0"/>
    </xf>
    <xf numFmtId="0" fontId="105" fillId="0" borderId="150" xfId="13" applyFont="1" applyFill="1" applyBorder="1" applyAlignment="1" applyProtection="1">
      <alignment horizontal="left" vertical="top" wrapText="1"/>
      <protection locked="0"/>
    </xf>
    <xf numFmtId="0" fontId="154" fillId="0" borderId="151" xfId="13" applyFont="1" applyFill="1" applyBorder="1" applyAlignment="1" applyProtection="1">
      <alignment horizontal="left" vertical="top" wrapText="1"/>
      <protection locked="0"/>
    </xf>
    <xf numFmtId="0" fontId="154" fillId="0" borderId="150" xfId="13" applyFont="1" applyFill="1" applyBorder="1" applyAlignment="1" applyProtection="1">
      <alignment horizontal="left" vertical="top" wrapText="1"/>
      <protection locked="0"/>
    </xf>
    <xf numFmtId="0" fontId="105" fillId="0" borderId="151" xfId="0" applyNumberFormat="1" applyFont="1" applyFill="1" applyBorder="1" applyAlignment="1">
      <alignment horizontal="left" vertical="center" wrapText="1"/>
    </xf>
    <xf numFmtId="0" fontId="105" fillId="0" borderId="150" xfId="0" applyNumberFormat="1" applyFont="1" applyFill="1" applyBorder="1" applyAlignment="1">
      <alignment horizontal="left" vertical="center" wrapText="1"/>
    </xf>
    <xf numFmtId="0" fontId="105" fillId="0" borderId="151" xfId="0" applyNumberFormat="1" applyFont="1" applyFill="1" applyBorder="1" applyAlignment="1">
      <alignment horizontal="left" vertical="top" wrapText="1"/>
    </xf>
    <xf numFmtId="0" fontId="105" fillId="0" borderId="150" xfId="0" applyNumberFormat="1" applyFont="1" applyFill="1" applyBorder="1" applyAlignment="1">
      <alignment horizontal="left" vertical="top" wrapText="1"/>
    </xf>
    <xf numFmtId="49" fontId="105" fillId="0" borderId="0" xfId="0" applyNumberFormat="1" applyFont="1" applyFill="1" applyBorder="1" applyAlignment="1">
      <alignment horizontal="center" vertical="center"/>
    </xf>
    <xf numFmtId="0" fontId="105" fillId="0" borderId="148" xfId="0" applyFont="1" applyFill="1" applyBorder="1" applyAlignment="1">
      <alignment horizontal="left" vertical="top" wrapText="1"/>
    </xf>
    <xf numFmtId="0" fontId="105" fillId="0" borderId="151" xfId="0" applyFont="1" applyFill="1" applyBorder="1" applyAlignment="1">
      <alignment horizontal="left" vertical="top" wrapText="1"/>
    </xf>
    <xf numFmtId="0" fontId="105" fillId="0" borderId="148" xfId="0" applyFont="1" applyFill="1" applyBorder="1" applyAlignment="1">
      <alignment horizontal="left" vertical="center" wrapText="1"/>
    </xf>
    <xf numFmtId="0" fontId="104" fillId="75" borderId="148" xfId="0" applyFont="1" applyFill="1" applyBorder="1" applyAlignment="1">
      <alignment horizontal="center" vertical="center" wrapText="1"/>
    </xf>
    <xf numFmtId="0" fontId="105" fillId="0" borderId="148" xfId="0" applyNumberFormat="1" applyFont="1" applyFill="1" applyBorder="1" applyAlignment="1">
      <alignment horizontal="left" vertical="top" wrapText="1"/>
    </xf>
    <xf numFmtId="0" fontId="105" fillId="0" borderId="148" xfId="0" applyFont="1" applyBorder="1" applyAlignment="1">
      <alignment horizontal="center"/>
    </xf>
    <xf numFmtId="0" fontId="105" fillId="0" borderId="100" xfId="0" applyFont="1" applyFill="1" applyBorder="1" applyAlignment="1">
      <alignment horizontal="left" vertical="center" wrapText="1"/>
    </xf>
    <xf numFmtId="0" fontId="105" fillId="0" borderId="98" xfId="0" applyFont="1" applyFill="1" applyBorder="1" applyAlignment="1">
      <alignment horizontal="left" vertical="center" wrapText="1"/>
    </xf>
    <xf numFmtId="0" fontId="104" fillId="0" borderId="148" xfId="0" applyFont="1" applyFill="1" applyBorder="1" applyAlignment="1">
      <alignment horizontal="center" vertical="center"/>
    </xf>
    <xf numFmtId="0" fontId="105" fillId="3" borderId="151" xfId="13" applyFont="1" applyFill="1" applyBorder="1" applyAlignment="1" applyProtection="1">
      <alignment horizontal="left" vertical="top" wrapText="1"/>
      <protection locked="0"/>
    </xf>
    <xf numFmtId="0" fontId="105" fillId="3" borderId="150" xfId="13" applyFont="1" applyFill="1" applyBorder="1" applyAlignment="1" applyProtection="1">
      <alignment horizontal="left" vertical="top" wrapText="1"/>
      <protection locked="0"/>
    </xf>
    <xf numFmtId="0" fontId="104" fillId="0" borderId="85" xfId="0" applyFont="1" applyFill="1" applyBorder="1" applyAlignment="1">
      <alignment horizontal="center" vertical="center"/>
    </xf>
    <xf numFmtId="0" fontId="104" fillId="75" borderId="82" xfId="0" applyFont="1" applyFill="1" applyBorder="1" applyAlignment="1">
      <alignment horizontal="center" vertical="center" wrapText="1"/>
    </xf>
    <xf numFmtId="0" fontId="104" fillId="75" borderId="0" xfId="0" applyFont="1" applyFill="1" applyBorder="1" applyAlignment="1">
      <alignment horizontal="center" vertical="center" wrapText="1"/>
    </xf>
    <xf numFmtId="0" fontId="104" fillId="75" borderId="83" xfId="0" applyFont="1" applyFill="1" applyBorder="1" applyAlignment="1">
      <alignment horizontal="center" vertical="center" wrapText="1"/>
    </xf>
    <xf numFmtId="0" fontId="105" fillId="0" borderId="100" xfId="0" applyFont="1" applyFill="1" applyBorder="1" applyAlignment="1">
      <alignment vertical="center" wrapText="1"/>
    </xf>
    <xf numFmtId="0" fontId="105" fillId="0" borderId="98" xfId="0" applyFont="1" applyFill="1" applyBorder="1" applyAlignment="1">
      <alignment vertical="center" wrapText="1"/>
    </xf>
    <xf numFmtId="0" fontId="104" fillId="75" borderId="87" xfId="0" applyFont="1" applyFill="1" applyBorder="1" applyAlignment="1">
      <alignment horizontal="center" vertical="center"/>
    </xf>
    <xf numFmtId="0" fontId="104" fillId="75" borderId="88" xfId="0" applyFont="1" applyFill="1" applyBorder="1" applyAlignment="1">
      <alignment horizontal="center" vertical="center"/>
    </xf>
    <xf numFmtId="0" fontId="104" fillId="75" borderId="89" xfId="0" applyFont="1" applyFill="1" applyBorder="1" applyAlignment="1">
      <alignment horizontal="center" vertical="center"/>
    </xf>
    <xf numFmtId="0" fontId="105" fillId="3" borderId="100" xfId="0" applyFont="1" applyFill="1" applyBorder="1" applyAlignment="1">
      <alignment horizontal="left" vertical="center" wrapText="1"/>
    </xf>
    <xf numFmtId="0" fontId="105" fillId="3" borderId="98" xfId="0" applyFont="1" applyFill="1" applyBorder="1" applyAlignment="1">
      <alignment horizontal="left" vertical="center" wrapText="1"/>
    </xf>
    <xf numFmtId="0" fontId="105" fillId="0" borderId="77" xfId="0" applyFont="1" applyFill="1" applyBorder="1" applyAlignment="1">
      <alignment horizontal="left" vertical="center" wrapText="1"/>
    </xf>
    <xf numFmtId="0" fontId="105" fillId="0" borderId="78" xfId="0" applyFont="1" applyFill="1" applyBorder="1" applyAlignment="1">
      <alignment horizontal="left" vertical="center" wrapText="1"/>
    </xf>
    <xf numFmtId="0" fontId="104" fillId="75" borderId="73" xfId="0" applyFont="1" applyFill="1" applyBorder="1" applyAlignment="1">
      <alignment horizontal="center" vertical="center" wrapText="1"/>
    </xf>
    <xf numFmtId="0" fontId="104" fillId="75" borderId="74" xfId="0" applyFont="1" applyFill="1" applyBorder="1" applyAlignment="1">
      <alignment horizontal="center" vertical="center" wrapText="1"/>
    </xf>
    <xf numFmtId="0" fontId="104" fillId="75" borderId="75" xfId="0" applyFont="1" applyFill="1" applyBorder="1" applyAlignment="1">
      <alignment horizontal="center" vertical="center" wrapText="1"/>
    </xf>
    <xf numFmtId="0" fontId="105" fillId="0" borderId="53" xfId="0" applyFont="1" applyFill="1" applyBorder="1" applyAlignment="1">
      <alignment horizontal="left" vertical="center" wrapText="1"/>
    </xf>
    <xf numFmtId="0" fontId="105" fillId="0" borderId="11" xfId="0" applyFont="1" applyFill="1" applyBorder="1" applyAlignment="1">
      <alignment horizontal="left" vertical="center" wrapText="1"/>
    </xf>
    <xf numFmtId="0" fontId="154" fillId="3" borderId="100" xfId="0" applyFont="1" applyFill="1" applyBorder="1" applyAlignment="1">
      <alignment horizontal="left" vertical="center" wrapText="1"/>
    </xf>
    <xf numFmtId="0" fontId="154" fillId="3" borderId="98" xfId="0" applyFont="1" applyFill="1" applyBorder="1" applyAlignment="1">
      <alignment horizontal="left" vertical="center" wrapText="1"/>
    </xf>
    <xf numFmtId="0" fontId="105" fillId="0" borderId="141" xfId="0" applyFont="1" applyFill="1" applyBorder="1" applyAlignment="1">
      <alignment horizontal="left" vertical="center" wrapText="1"/>
    </xf>
    <xf numFmtId="0" fontId="105" fillId="0" borderId="142" xfId="0" applyFont="1" applyFill="1" applyBorder="1" applyAlignment="1">
      <alignment horizontal="left" vertical="center" wrapText="1"/>
    </xf>
    <xf numFmtId="0" fontId="105" fillId="0" borderId="143" xfId="0" applyFont="1" applyFill="1" applyBorder="1" applyAlignment="1">
      <alignment horizontal="left" vertical="center" wrapText="1"/>
    </xf>
    <xf numFmtId="0" fontId="105" fillId="3" borderId="77" xfId="0" applyFont="1" applyFill="1" applyBorder="1" applyAlignment="1">
      <alignment horizontal="left" vertical="center" wrapText="1"/>
    </xf>
    <xf numFmtId="0" fontId="105" fillId="3" borderId="78" xfId="0" applyFont="1" applyFill="1" applyBorder="1" applyAlignment="1">
      <alignment horizontal="left" vertical="center" wrapText="1"/>
    </xf>
    <xf numFmtId="0" fontId="105" fillId="0" borderId="80" xfId="0" applyFont="1" applyFill="1" applyBorder="1" applyAlignment="1">
      <alignment horizontal="left" vertical="center" wrapText="1"/>
    </xf>
    <xf numFmtId="0" fontId="105" fillId="0" borderId="81" xfId="0" applyFont="1" applyFill="1" applyBorder="1" applyAlignment="1">
      <alignment horizontal="left" vertical="center" wrapText="1"/>
    </xf>
    <xf numFmtId="0" fontId="105" fillId="0" borderId="53" xfId="0" applyFont="1" applyFill="1" applyBorder="1" applyAlignment="1">
      <alignment vertical="center" wrapText="1"/>
    </xf>
    <xf numFmtId="0" fontId="105" fillId="0" borderId="11" xfId="0" applyFont="1" applyFill="1" applyBorder="1" applyAlignment="1">
      <alignment vertical="center" wrapText="1"/>
    </xf>
    <xf numFmtId="0" fontId="105" fillId="3" borderId="100" xfId="0" applyFont="1" applyFill="1" applyBorder="1" applyAlignment="1">
      <alignment vertical="center" wrapText="1"/>
    </xf>
    <xf numFmtId="0" fontId="105" fillId="3" borderId="98" xfId="0" applyFont="1" applyFill="1" applyBorder="1" applyAlignment="1">
      <alignment vertical="center" wrapText="1"/>
    </xf>
    <xf numFmtId="0" fontId="104" fillId="0" borderId="70" xfId="0" applyFont="1" applyFill="1" applyBorder="1" applyAlignment="1">
      <alignment horizontal="center" vertical="center"/>
    </xf>
    <xf numFmtId="0" fontId="104" fillId="0" borderId="71" xfId="0" applyFont="1" applyFill="1" applyBorder="1" applyAlignment="1">
      <alignment horizontal="center" vertical="center"/>
    </xf>
    <xf numFmtId="0" fontId="104" fillId="0" borderId="72" xfId="0" applyFont="1" applyFill="1" applyBorder="1" applyAlignment="1">
      <alignment horizontal="center" vertical="center"/>
    </xf>
    <xf numFmtId="0" fontId="105" fillId="0" borderId="99" xfId="0" applyFont="1" applyFill="1" applyBorder="1" applyAlignment="1">
      <alignment horizontal="left" vertical="center" wrapText="1"/>
    </xf>
    <xf numFmtId="0" fontId="154" fillId="3" borderId="100" xfId="0" applyFont="1" applyFill="1" applyBorder="1" applyAlignment="1">
      <alignment vertical="center" wrapText="1"/>
    </xf>
    <xf numFmtId="0" fontId="154" fillId="3" borderId="98" xfId="0" applyFont="1" applyFill="1" applyBorder="1" applyAlignment="1">
      <alignment vertical="center" wrapText="1"/>
    </xf>
    <xf numFmtId="0" fontId="105" fillId="0" borderId="100" xfId="0" applyFont="1" applyFill="1" applyBorder="1" applyAlignment="1">
      <alignment horizontal="left"/>
    </xf>
    <xf numFmtId="0" fontId="105" fillId="0" borderId="98" xfId="0" applyFont="1" applyFill="1" applyBorder="1" applyAlignment="1">
      <alignment horizontal="left"/>
    </xf>
  </cellXfs>
  <cellStyles count="21420">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11 2" xfId="21417" xr:uid="{9FBB23C6-A997-4323-A4F1-699833015CBB}"/>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 5" xfId="21418" xr:uid="{0A1726DF-DEAB-42A5-98DE-09D70480CD17}"/>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 5" xfId="21419" xr:uid="{AD82AF4D-E3B9-4D18-A25B-DC7DDAA4D047}"/>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ashbank.g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9.9978637043366805E-2"/>
  </sheetPr>
  <dimension ref="A1:C38"/>
  <sheetViews>
    <sheetView tabSelected="1" zoomScaleNormal="100" workbookViewId="0">
      <pane xSplit="1" ySplit="7" topLeftCell="B8" activePane="bottomRight" state="frozen"/>
      <selection pane="topRight" activeCell="B1" sqref="B1"/>
      <selection pane="bottomLeft" activeCell="A8" sqref="A8"/>
      <selection pane="bottomRight"/>
    </sheetView>
  </sheetViews>
  <sheetFormatPr defaultRowHeight="14.4"/>
  <cols>
    <col min="1" max="1" width="10.109375" style="2" customWidth="1"/>
    <col min="2" max="2" width="153" bestFit="1" customWidth="1"/>
    <col min="3" max="3" width="39.44140625" customWidth="1"/>
    <col min="7" max="7" width="25" customWidth="1"/>
  </cols>
  <sheetData>
    <row r="1" spans="1:3">
      <c r="A1" s="9"/>
      <c r="B1" s="106" t="s">
        <v>148</v>
      </c>
      <c r="C1" s="54"/>
    </row>
    <row r="2" spans="1:3" s="103" customFormat="1">
      <c r="A2" s="147">
        <v>1</v>
      </c>
      <c r="B2" s="104" t="s">
        <v>149</v>
      </c>
      <c r="C2" s="707" t="s">
        <v>1000</v>
      </c>
    </row>
    <row r="3" spans="1:3" s="103" customFormat="1">
      <c r="A3" s="147">
        <v>2</v>
      </c>
      <c r="B3" s="105" t="s">
        <v>150</v>
      </c>
      <c r="C3" s="707" t="s">
        <v>1001</v>
      </c>
    </row>
    <row r="4" spans="1:3" s="103" customFormat="1">
      <c r="A4" s="147">
        <v>3</v>
      </c>
      <c r="B4" s="105" t="s">
        <v>151</v>
      </c>
      <c r="C4" s="707" t="str">
        <f>'6. Administrators-shareholders'!B18</f>
        <v>გიორგი ჩანადირი</v>
      </c>
    </row>
    <row r="5" spans="1:3" s="103" customFormat="1">
      <c r="A5" s="148">
        <v>4</v>
      </c>
      <c r="B5" s="108" t="s">
        <v>152</v>
      </c>
      <c r="C5" s="708" t="s">
        <v>1002</v>
      </c>
    </row>
    <row r="6" spans="1:3" s="107" customFormat="1" ht="65.25" customHeight="1">
      <c r="A6" s="846" t="s">
        <v>309</v>
      </c>
      <c r="B6" s="847"/>
      <c r="C6" s="847"/>
    </row>
    <row r="7" spans="1:3">
      <c r="A7" s="257" t="s">
        <v>240</v>
      </c>
      <c r="B7" s="258" t="s">
        <v>153</v>
      </c>
    </row>
    <row r="8" spans="1:3">
      <c r="A8" s="259">
        <v>1</v>
      </c>
      <c r="B8" s="255" t="s">
        <v>128</v>
      </c>
    </row>
    <row r="9" spans="1:3">
      <c r="A9" s="259">
        <v>2</v>
      </c>
      <c r="B9" s="255" t="s">
        <v>154</v>
      </c>
    </row>
    <row r="10" spans="1:3">
      <c r="A10" s="259">
        <v>3</v>
      </c>
      <c r="B10" s="255" t="s">
        <v>155</v>
      </c>
    </row>
    <row r="11" spans="1:3">
      <c r="A11" s="259">
        <v>4</v>
      </c>
      <c r="B11" s="255" t="s">
        <v>156</v>
      </c>
      <c r="C11" s="102"/>
    </row>
    <row r="12" spans="1:3">
      <c r="A12" s="259">
        <v>5</v>
      </c>
      <c r="B12" s="255" t="s">
        <v>96</v>
      </c>
    </row>
    <row r="13" spans="1:3">
      <c r="A13" s="259">
        <v>6</v>
      </c>
      <c r="B13" s="260" t="s">
        <v>80</v>
      </c>
    </row>
    <row r="14" spans="1:3">
      <c r="A14" s="259">
        <v>7</v>
      </c>
      <c r="B14" s="255" t="s">
        <v>157</v>
      </c>
    </row>
    <row r="15" spans="1:3">
      <c r="A15" s="259">
        <v>8</v>
      </c>
      <c r="B15" s="255" t="s">
        <v>160</v>
      </c>
    </row>
    <row r="16" spans="1:3">
      <c r="A16" s="259">
        <v>9</v>
      </c>
      <c r="B16" s="255" t="s">
        <v>74</v>
      </c>
    </row>
    <row r="17" spans="1:2">
      <c r="A17" s="261" t="s">
        <v>366</v>
      </c>
      <c r="B17" s="255" t="s">
        <v>346</v>
      </c>
    </row>
    <row r="18" spans="1:2" s="3" customFormat="1">
      <c r="A18" s="263">
        <v>9.1999999999999993</v>
      </c>
      <c r="B18" s="656" t="s">
        <v>946</v>
      </c>
    </row>
    <row r="19" spans="1:2" s="3" customFormat="1">
      <c r="A19" s="263">
        <v>9.3000000000000007</v>
      </c>
      <c r="B19" s="656" t="s">
        <v>947</v>
      </c>
    </row>
    <row r="20" spans="1:2">
      <c r="A20" s="259">
        <v>10</v>
      </c>
      <c r="B20" s="255" t="s">
        <v>161</v>
      </c>
    </row>
    <row r="21" spans="1:2">
      <c r="A21" s="259">
        <v>11</v>
      </c>
      <c r="B21" s="260" t="s">
        <v>144</v>
      </c>
    </row>
    <row r="22" spans="1:2">
      <c r="A22" s="259">
        <v>12</v>
      </c>
      <c r="B22" s="260" t="s">
        <v>141</v>
      </c>
    </row>
    <row r="23" spans="1:2">
      <c r="A23" s="259">
        <v>13</v>
      </c>
      <c r="B23" s="262" t="s">
        <v>285</v>
      </c>
    </row>
    <row r="24" spans="1:2">
      <c r="A24" s="259">
        <v>14</v>
      </c>
      <c r="B24" s="255" t="s">
        <v>339</v>
      </c>
    </row>
    <row r="25" spans="1:2">
      <c r="A25" s="263">
        <v>15</v>
      </c>
      <c r="B25" s="255" t="s">
        <v>73</v>
      </c>
    </row>
    <row r="26" spans="1:2">
      <c r="A26" s="263">
        <v>15.1</v>
      </c>
      <c r="B26" s="255" t="s">
        <v>375</v>
      </c>
    </row>
    <row r="27" spans="1:2">
      <c r="A27" s="655">
        <v>15.2</v>
      </c>
      <c r="B27" s="656" t="s">
        <v>970</v>
      </c>
    </row>
    <row r="28" spans="1:2">
      <c r="A28" s="263">
        <v>16</v>
      </c>
      <c r="B28" s="255" t="s">
        <v>422</v>
      </c>
    </row>
    <row r="29" spans="1:2">
      <c r="A29" s="263">
        <v>17</v>
      </c>
      <c r="B29" s="255" t="s">
        <v>646</v>
      </c>
    </row>
    <row r="30" spans="1:2">
      <c r="A30" s="263">
        <v>18</v>
      </c>
      <c r="B30" s="255" t="s">
        <v>906</v>
      </c>
    </row>
    <row r="31" spans="1:2">
      <c r="A31" s="263">
        <v>19</v>
      </c>
      <c r="B31" s="255" t="s">
        <v>907</v>
      </c>
    </row>
    <row r="32" spans="1:2">
      <c r="A32" s="263">
        <v>20</v>
      </c>
      <c r="B32" s="255" t="s">
        <v>908</v>
      </c>
    </row>
    <row r="33" spans="1:2">
      <c r="A33" s="263">
        <v>21</v>
      </c>
      <c r="B33" s="255" t="s">
        <v>515</v>
      </c>
    </row>
    <row r="34" spans="1:2">
      <c r="A34" s="263">
        <v>22</v>
      </c>
      <c r="B34" s="255" t="s">
        <v>909</v>
      </c>
    </row>
    <row r="35" spans="1:2" ht="26.4">
      <c r="A35" s="263">
        <v>23</v>
      </c>
      <c r="B35" s="611" t="s">
        <v>905</v>
      </c>
    </row>
    <row r="36" spans="1:2">
      <c r="A36" s="263">
        <v>24</v>
      </c>
      <c r="B36" s="255" t="s">
        <v>910</v>
      </c>
    </row>
    <row r="37" spans="1:2">
      <c r="A37" s="263">
        <v>25</v>
      </c>
      <c r="B37" s="255" t="s">
        <v>911</v>
      </c>
    </row>
    <row r="38" spans="1:2">
      <c r="A38" s="259">
        <v>26</v>
      </c>
      <c r="B38" s="255"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 ref="C5" r:id="rId1" xr:uid="{00000000-0004-0000-0000-00001F000000}"/>
  </hyperlinks>
  <pageMargins left="0.7" right="0.7" top="0.75" bottom="0.75" header="0.3" footer="0.3"/>
  <pageSetup paperSize="9" orientation="portrait" r:id="rId2"/>
  <headerFooter>
    <oddHeader>&amp;Lშიდა მოხმარების</oddHeader>
    <oddFooter>&amp;Lშიდა მოხმარების</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2" tint="-9.9978637043366805E-2"/>
  </sheetPr>
  <dimension ref="A1:F56"/>
  <sheetViews>
    <sheetView zoomScale="80" zoomScaleNormal="80" workbookViewId="0">
      <pane xSplit="1" ySplit="5" topLeftCell="B6" activePane="bottomRight" state="frozen"/>
      <selection activeCell="B2" sqref="B2"/>
      <selection pane="topRight" activeCell="B2" sqref="B2"/>
      <selection pane="bottomLeft" activeCell="B2" sqref="B2"/>
      <selection pane="bottomRight" activeCell="H25" sqref="H25"/>
    </sheetView>
  </sheetViews>
  <sheetFormatPr defaultRowHeight="14.4"/>
  <cols>
    <col min="1" max="1" width="9.5546875" style="5" bestFit="1" customWidth="1"/>
    <col min="2" max="2" width="132.44140625" style="2" customWidth="1"/>
    <col min="3" max="3" width="18.44140625" style="2" customWidth="1"/>
    <col min="5" max="5" width="11.5546875" bestFit="1" customWidth="1"/>
  </cols>
  <sheetData>
    <row r="1" spans="1:6">
      <c r="A1" s="17" t="s">
        <v>97</v>
      </c>
      <c r="B1" s="16" t="str">
        <f>Info!C2</f>
        <v>სს "ჰეშ ბანკი"</v>
      </c>
      <c r="D1" s="2"/>
      <c r="E1" s="2"/>
      <c r="F1" s="2"/>
    </row>
    <row r="2" spans="1:6" s="21" customFormat="1" ht="15.75" customHeight="1">
      <c r="A2" s="21" t="s">
        <v>98</v>
      </c>
      <c r="B2" s="709">
        <f>'1. key ratios'!B2</f>
        <v>46112</v>
      </c>
    </row>
    <row r="3" spans="1:6" s="21" customFormat="1" ht="15.75" customHeight="1"/>
    <row r="4" spans="1:6" ht="15" thickBot="1">
      <c r="A4" s="5" t="s">
        <v>246</v>
      </c>
      <c r="B4" s="29" t="s">
        <v>74</v>
      </c>
    </row>
    <row r="5" spans="1:6">
      <c r="A5" s="75" t="s">
        <v>25</v>
      </c>
      <c r="B5" s="76"/>
      <c r="C5" s="77" t="s">
        <v>26</v>
      </c>
    </row>
    <row r="6" spans="1:6">
      <c r="A6" s="78">
        <v>1</v>
      </c>
      <c r="B6" s="50" t="s">
        <v>27</v>
      </c>
      <c r="C6" s="157">
        <f>SUM(C7:C11)</f>
        <v>62401427.190000057</v>
      </c>
    </row>
    <row r="7" spans="1:6">
      <c r="A7" s="78">
        <v>2</v>
      </c>
      <c r="B7" s="47" t="s">
        <v>28</v>
      </c>
      <c r="C7" s="158">
        <v>83160000</v>
      </c>
      <c r="E7" s="798"/>
    </row>
    <row r="8" spans="1:6">
      <c r="A8" s="78">
        <v>3</v>
      </c>
      <c r="B8" s="41" t="s">
        <v>29</v>
      </c>
      <c r="C8" s="158"/>
    </row>
    <row r="9" spans="1:6">
      <c r="A9" s="78">
        <v>4</v>
      </c>
      <c r="B9" s="41" t="s">
        <v>30</v>
      </c>
      <c r="C9" s="158"/>
    </row>
    <row r="10" spans="1:6">
      <c r="A10" s="78">
        <v>5</v>
      </c>
      <c r="B10" s="41" t="s">
        <v>31</v>
      </c>
      <c r="C10" s="158"/>
    </row>
    <row r="11" spans="1:6">
      <c r="A11" s="78">
        <v>6</v>
      </c>
      <c r="B11" s="48" t="s">
        <v>32</v>
      </c>
      <c r="C11" s="158">
        <v>-20758572.809999943</v>
      </c>
      <c r="E11" s="798"/>
    </row>
    <row r="12" spans="1:6" s="4" customFormat="1">
      <c r="A12" s="78">
        <v>7</v>
      </c>
      <c r="B12" s="50" t="s">
        <v>33</v>
      </c>
      <c r="C12" s="159">
        <f>SUM(C13:C28)</f>
        <v>9221437.4399999995</v>
      </c>
    </row>
    <row r="13" spans="1:6" s="4" customFormat="1">
      <c r="A13" s="78">
        <v>8</v>
      </c>
      <c r="B13" s="49" t="s">
        <v>34</v>
      </c>
      <c r="C13" s="160">
        <v>0</v>
      </c>
    </row>
    <row r="14" spans="1:6" s="4" customFormat="1" ht="27.6">
      <c r="A14" s="78">
        <v>9</v>
      </c>
      <c r="B14" s="42" t="s">
        <v>35</v>
      </c>
      <c r="C14" s="160"/>
    </row>
    <row r="15" spans="1:6" s="4" customFormat="1">
      <c r="A15" s="78">
        <v>10</v>
      </c>
      <c r="B15" s="43" t="s">
        <v>36</v>
      </c>
      <c r="C15" s="160">
        <v>9221437.4399999995</v>
      </c>
      <c r="E15" s="798"/>
    </row>
    <row r="16" spans="1:6" s="4" customFormat="1">
      <c r="A16" s="78">
        <v>11</v>
      </c>
      <c r="B16" s="44" t="s">
        <v>37</v>
      </c>
      <c r="C16" s="160"/>
    </row>
    <row r="17" spans="1:3" s="4" customFormat="1">
      <c r="A17" s="78">
        <v>12</v>
      </c>
      <c r="B17" s="43" t="s">
        <v>38</v>
      </c>
      <c r="C17" s="160"/>
    </row>
    <row r="18" spans="1:3" s="4" customFormat="1">
      <c r="A18" s="78">
        <v>13</v>
      </c>
      <c r="B18" s="43" t="s">
        <v>39</v>
      </c>
      <c r="C18" s="160"/>
    </row>
    <row r="19" spans="1:3" s="4" customFormat="1">
      <c r="A19" s="78">
        <v>14</v>
      </c>
      <c r="B19" s="43" t="s">
        <v>40</v>
      </c>
      <c r="C19" s="160"/>
    </row>
    <row r="20" spans="1:3" s="4" customFormat="1" ht="27.6">
      <c r="A20" s="78">
        <v>15</v>
      </c>
      <c r="B20" s="43" t="s">
        <v>41</v>
      </c>
      <c r="C20" s="160">
        <v>0</v>
      </c>
    </row>
    <row r="21" spans="1:3" s="4" customFormat="1" ht="27.6">
      <c r="A21" s="78">
        <v>16</v>
      </c>
      <c r="B21" s="42" t="s">
        <v>42</v>
      </c>
      <c r="C21" s="160"/>
    </row>
    <row r="22" spans="1:3" s="4" customFormat="1">
      <c r="A22" s="78">
        <v>17</v>
      </c>
      <c r="B22" s="79" t="s">
        <v>43</v>
      </c>
      <c r="C22" s="160"/>
    </row>
    <row r="23" spans="1:3" s="4" customFormat="1">
      <c r="A23" s="78">
        <v>18</v>
      </c>
      <c r="B23" s="647" t="s">
        <v>694</v>
      </c>
      <c r="C23" s="374"/>
    </row>
    <row r="24" spans="1:3" s="4" customFormat="1" ht="27.6">
      <c r="A24" s="78">
        <v>19</v>
      </c>
      <c r="B24" s="42" t="s">
        <v>44</v>
      </c>
      <c r="C24" s="160"/>
    </row>
    <row r="25" spans="1:3" s="4" customFormat="1" ht="27.6">
      <c r="A25" s="78">
        <v>20</v>
      </c>
      <c r="B25" s="42" t="s">
        <v>45</v>
      </c>
      <c r="C25" s="160"/>
    </row>
    <row r="26" spans="1:3" s="4" customFormat="1" ht="27.6">
      <c r="A26" s="78">
        <v>21</v>
      </c>
      <c r="B26" s="45" t="s">
        <v>46</v>
      </c>
      <c r="C26" s="160">
        <v>0</v>
      </c>
    </row>
    <row r="27" spans="1:3" s="4" customFormat="1">
      <c r="A27" s="78">
        <v>22</v>
      </c>
      <c r="B27" s="45" t="s">
        <v>47</v>
      </c>
      <c r="C27" s="160"/>
    </row>
    <row r="28" spans="1:3" s="4" customFormat="1" ht="27.6">
      <c r="A28" s="78">
        <v>23</v>
      </c>
      <c r="B28" s="45" t="s">
        <v>48</v>
      </c>
      <c r="C28" s="160"/>
    </row>
    <row r="29" spans="1:3" s="4" customFormat="1">
      <c r="A29" s="78">
        <v>24</v>
      </c>
      <c r="B29" s="51" t="s">
        <v>22</v>
      </c>
      <c r="C29" s="159">
        <f>C6-C12</f>
        <v>53179989.75000006</v>
      </c>
    </row>
    <row r="30" spans="1:3" s="4" customFormat="1">
      <c r="A30" s="80"/>
      <c r="B30" s="46"/>
      <c r="C30" s="160"/>
    </row>
    <row r="31" spans="1:3" s="4" customFormat="1">
      <c r="A31" s="80">
        <v>25</v>
      </c>
      <c r="B31" s="51" t="s">
        <v>49</v>
      </c>
      <c r="C31" s="159">
        <f>C32+C35</f>
        <v>2100</v>
      </c>
    </row>
    <row r="32" spans="1:3" s="4" customFormat="1">
      <c r="A32" s="80">
        <v>26</v>
      </c>
      <c r="B32" s="41" t="s">
        <v>50</v>
      </c>
      <c r="C32" s="161">
        <f>C33+C34</f>
        <v>2100</v>
      </c>
    </row>
    <row r="33" spans="1:5" s="4" customFormat="1">
      <c r="A33" s="80">
        <v>27</v>
      </c>
      <c r="B33" s="100" t="s">
        <v>51</v>
      </c>
      <c r="C33" s="160">
        <v>2100</v>
      </c>
      <c r="E33" s="799"/>
    </row>
    <row r="34" spans="1:5" s="4" customFormat="1">
      <c r="A34" s="80">
        <v>28</v>
      </c>
      <c r="B34" s="100" t="s">
        <v>52</v>
      </c>
      <c r="C34" s="160"/>
    </row>
    <row r="35" spans="1:5" s="4" customFormat="1">
      <c r="A35" s="80">
        <v>29</v>
      </c>
      <c r="B35" s="41" t="s">
        <v>53</v>
      </c>
      <c r="C35" s="160"/>
    </row>
    <row r="36" spans="1:5" s="4" customFormat="1">
      <c r="A36" s="80">
        <v>30</v>
      </c>
      <c r="B36" s="51" t="s">
        <v>54</v>
      </c>
      <c r="C36" s="159">
        <f>SUM(C37:C41)</f>
        <v>0</v>
      </c>
    </row>
    <row r="37" spans="1:5" s="4" customFormat="1">
      <c r="A37" s="80">
        <v>31</v>
      </c>
      <c r="B37" s="42" t="s">
        <v>55</v>
      </c>
      <c r="C37" s="160"/>
    </row>
    <row r="38" spans="1:5" s="4" customFormat="1">
      <c r="A38" s="80">
        <v>32</v>
      </c>
      <c r="B38" s="43" t="s">
        <v>56</v>
      </c>
      <c r="C38" s="160"/>
    </row>
    <row r="39" spans="1:5" s="4" customFormat="1" ht="27.6">
      <c r="A39" s="80">
        <v>33</v>
      </c>
      <c r="B39" s="42" t="s">
        <v>57</v>
      </c>
      <c r="C39" s="160"/>
    </row>
    <row r="40" spans="1:5" s="4" customFormat="1" ht="27.6">
      <c r="A40" s="80">
        <v>34</v>
      </c>
      <c r="B40" s="42" t="s">
        <v>45</v>
      </c>
      <c r="C40" s="160"/>
    </row>
    <row r="41" spans="1:5" s="4" customFormat="1" ht="27.6">
      <c r="A41" s="80">
        <v>35</v>
      </c>
      <c r="B41" s="45" t="s">
        <v>58</v>
      </c>
      <c r="C41" s="160"/>
    </row>
    <row r="42" spans="1:5" s="4" customFormat="1">
      <c r="A42" s="80">
        <v>36</v>
      </c>
      <c r="B42" s="51" t="s">
        <v>23</v>
      </c>
      <c r="C42" s="159">
        <f>C31-C36</f>
        <v>2100</v>
      </c>
    </row>
    <row r="43" spans="1:5" s="4" customFormat="1">
      <c r="A43" s="80"/>
      <c r="B43" s="46"/>
      <c r="C43" s="160"/>
    </row>
    <row r="44" spans="1:5" s="4" customFormat="1">
      <c r="A44" s="80">
        <v>37</v>
      </c>
      <c r="B44" s="52" t="s">
        <v>59</v>
      </c>
      <c r="C44" s="159">
        <f>SUM(C45:C47)</f>
        <v>0</v>
      </c>
    </row>
    <row r="45" spans="1:5" s="4" customFormat="1">
      <c r="A45" s="80">
        <v>38</v>
      </c>
      <c r="B45" s="41" t="s">
        <v>60</v>
      </c>
      <c r="C45" s="160"/>
    </row>
    <row r="46" spans="1:5" s="4" customFormat="1">
      <c r="A46" s="80">
        <v>39</v>
      </c>
      <c r="B46" s="41" t="s">
        <v>61</v>
      </c>
      <c r="C46" s="160"/>
    </row>
    <row r="47" spans="1:5" s="4" customFormat="1">
      <c r="A47" s="80">
        <v>40</v>
      </c>
      <c r="B47" s="648" t="s">
        <v>693</v>
      </c>
      <c r="C47" s="160"/>
    </row>
    <row r="48" spans="1:5" s="4" customFormat="1">
      <c r="A48" s="80">
        <v>41</v>
      </c>
      <c r="B48" s="52" t="s">
        <v>62</v>
      </c>
      <c r="C48" s="159">
        <f>SUM(C49:C52)</f>
        <v>0</v>
      </c>
    </row>
    <row r="49" spans="1:3" s="4" customFormat="1">
      <c r="A49" s="80">
        <v>42</v>
      </c>
      <c r="B49" s="42" t="s">
        <v>63</v>
      </c>
      <c r="C49" s="160"/>
    </row>
    <row r="50" spans="1:3" s="4" customFormat="1">
      <c r="A50" s="80">
        <v>43</v>
      </c>
      <c r="B50" s="43" t="s">
        <v>64</v>
      </c>
      <c r="C50" s="160"/>
    </row>
    <row r="51" spans="1:3" s="4" customFormat="1" ht="27.6">
      <c r="A51" s="80">
        <v>44</v>
      </c>
      <c r="B51" s="42" t="s">
        <v>65</v>
      </c>
      <c r="C51" s="160"/>
    </row>
    <row r="52" spans="1:3" s="4" customFormat="1" ht="27.6">
      <c r="A52" s="80">
        <v>45</v>
      </c>
      <c r="B52" s="42" t="s">
        <v>45</v>
      </c>
      <c r="C52" s="160"/>
    </row>
    <row r="53" spans="1:3" s="4" customFormat="1" ht="15" thickBot="1">
      <c r="A53" s="80">
        <v>46</v>
      </c>
      <c r="B53" s="81" t="s">
        <v>24</v>
      </c>
      <c r="C53" s="162">
        <f>C44-C48</f>
        <v>0</v>
      </c>
    </row>
    <row r="55" spans="1:3">
      <c r="C55" s="740">
        <f>C29+C31+C44-'1. key ratios'!C10</f>
        <v>0</v>
      </c>
    </row>
    <row r="56" spans="1:3">
      <c r="B56" s="2"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2" tint="-9.9978637043366805E-2"/>
  </sheetPr>
  <dimension ref="A1:F30"/>
  <sheetViews>
    <sheetView zoomScale="120" zoomScaleNormal="120" workbookViewId="0">
      <selection activeCell="E7" sqref="E7"/>
    </sheetView>
  </sheetViews>
  <sheetFormatPr defaultColWidth="9.109375" defaultRowHeight="13.8"/>
  <cols>
    <col min="1" max="1" width="10.88671875" style="212" bestFit="1" customWidth="1"/>
    <col min="2" max="2" width="59" style="212" customWidth="1"/>
    <col min="3" max="3" width="16.88671875" style="212" bestFit="1" customWidth="1"/>
    <col min="4" max="4" width="22.109375" style="212" customWidth="1"/>
    <col min="5" max="16384" width="9.109375" style="212"/>
  </cols>
  <sheetData>
    <row r="1" spans="1:4">
      <c r="A1" s="17" t="s">
        <v>97</v>
      </c>
      <c r="B1" s="16" t="str">
        <f>Info!C2</f>
        <v>სს "ჰეშ ბანკი"</v>
      </c>
    </row>
    <row r="2" spans="1:4" s="21" customFormat="1" ht="15.75" customHeight="1">
      <c r="A2" s="21" t="s">
        <v>98</v>
      </c>
      <c r="B2" s="709">
        <f>'1. key ratios'!B2</f>
        <v>46112</v>
      </c>
    </row>
    <row r="3" spans="1:4" s="21" customFormat="1" ht="15.75" customHeight="1"/>
    <row r="4" spans="1:4" ht="14.4" thickBot="1">
      <c r="A4" s="213" t="s">
        <v>345</v>
      </c>
      <c r="B4" s="242" t="s">
        <v>346</v>
      </c>
    </row>
    <row r="5" spans="1:4" s="243" customFormat="1">
      <c r="A5" s="879" t="s">
        <v>347</v>
      </c>
      <c r="B5" s="880"/>
      <c r="C5" s="232" t="s">
        <v>348</v>
      </c>
      <c r="D5" s="233" t="s">
        <v>349</v>
      </c>
    </row>
    <row r="6" spans="1:4" s="244" customFormat="1">
      <c r="A6" s="234">
        <v>1</v>
      </c>
      <c r="B6" s="235" t="s">
        <v>350</v>
      </c>
      <c r="C6" s="235"/>
      <c r="D6" s="236"/>
    </row>
    <row r="7" spans="1:4" s="244" customFormat="1">
      <c r="A7" s="237" t="s">
        <v>351</v>
      </c>
      <c r="B7" s="238" t="s">
        <v>352</v>
      </c>
      <c r="C7" s="265">
        <v>4.4999999999999998E-2</v>
      </c>
      <c r="D7" s="750">
        <f>C7*'5. RWA'!$C$13</f>
        <v>1356591.0796157597</v>
      </c>
    </row>
    <row r="8" spans="1:4" s="244" customFormat="1">
      <c r="A8" s="237" t="s">
        <v>353</v>
      </c>
      <c r="B8" s="238" t="s">
        <v>354</v>
      </c>
      <c r="C8" s="266">
        <v>0.06</v>
      </c>
      <c r="D8" s="750">
        <f>C8*'5. RWA'!$C$13</f>
        <v>1808788.1061543464</v>
      </c>
    </row>
    <row r="9" spans="1:4" s="244" customFormat="1">
      <c r="A9" s="237" t="s">
        <v>355</v>
      </c>
      <c r="B9" s="238" t="s">
        <v>356</v>
      </c>
      <c r="C9" s="266">
        <v>0.08</v>
      </c>
      <c r="D9" s="750">
        <f>C9*'5. RWA'!$C$13</f>
        <v>2411717.474872462</v>
      </c>
    </row>
    <row r="10" spans="1:4" s="244" customFormat="1">
      <c r="A10" s="234" t="s">
        <v>357</v>
      </c>
      <c r="B10" s="235" t="s">
        <v>358</v>
      </c>
      <c r="C10" s="267"/>
      <c r="D10" s="751"/>
    </row>
    <row r="11" spans="1:4" s="245" customFormat="1">
      <c r="A11" s="239" t="s">
        <v>359</v>
      </c>
      <c r="B11" s="240" t="s">
        <v>997</v>
      </c>
      <c r="C11" s="268">
        <v>2.5000000000000001E-2</v>
      </c>
      <c r="D11" s="752">
        <f>C11*'5. RWA'!$C$13</f>
        <v>753661.7108976444</v>
      </c>
    </row>
    <row r="12" spans="1:4" s="245" customFormat="1">
      <c r="A12" s="239" t="s">
        <v>360</v>
      </c>
      <c r="B12" s="240" t="s">
        <v>361</v>
      </c>
      <c r="C12" s="268">
        <v>7.4999999999999997E-3</v>
      </c>
      <c r="D12" s="752">
        <f>C12*'5. RWA'!$C$13</f>
        <v>226098.5132692933</v>
      </c>
    </row>
    <row r="13" spans="1:4" s="245" customFormat="1">
      <c r="A13" s="239" t="s">
        <v>362</v>
      </c>
      <c r="B13" s="240" t="s">
        <v>363</v>
      </c>
      <c r="C13" s="268"/>
      <c r="D13" s="752">
        <f>C13*'5. RWA'!$C$13</f>
        <v>0</v>
      </c>
    </row>
    <row r="14" spans="1:4" s="244" customFormat="1">
      <c r="A14" s="234" t="s">
        <v>364</v>
      </c>
      <c r="B14" s="235" t="s">
        <v>409</v>
      </c>
      <c r="C14" s="269"/>
      <c r="D14" s="751"/>
    </row>
    <row r="15" spans="1:4" s="244" customFormat="1">
      <c r="A15" s="256" t="s">
        <v>367</v>
      </c>
      <c r="B15" s="240" t="s">
        <v>410</v>
      </c>
      <c r="C15" s="268">
        <v>2.3771593813684651E-2</v>
      </c>
      <c r="D15" s="752">
        <f>C15*'5. RWA'!$C$13</f>
        <v>716629.60257541726</v>
      </c>
    </row>
    <row r="16" spans="1:4" s="244" customFormat="1">
      <c r="A16" s="256" t="s">
        <v>368</v>
      </c>
      <c r="B16" s="240" t="s">
        <v>370</v>
      </c>
      <c r="C16" s="268">
        <v>3.1836956000470512E-2</v>
      </c>
      <c r="D16" s="752">
        <f>C16*'5. RWA'!$C$13</f>
        <v>959771.78916350519</v>
      </c>
    </row>
    <row r="17" spans="1:6" s="244" customFormat="1">
      <c r="A17" s="256" t="s">
        <v>369</v>
      </c>
      <c r="B17" s="240" t="s">
        <v>407</v>
      </c>
      <c r="C17" s="268">
        <v>4.2449274667294014E-2</v>
      </c>
      <c r="D17" s="752">
        <f>C17*'5. RWA'!$C$13</f>
        <v>1279695.7188846734</v>
      </c>
    </row>
    <row r="18" spans="1:6" s="243" customFormat="1">
      <c r="A18" s="881" t="s">
        <v>408</v>
      </c>
      <c r="B18" s="882"/>
      <c r="C18" s="270" t="s">
        <v>348</v>
      </c>
      <c r="D18" s="753" t="s">
        <v>349</v>
      </c>
    </row>
    <row r="19" spans="1:6" s="244" customFormat="1">
      <c r="A19" s="241">
        <v>4</v>
      </c>
      <c r="B19" s="240" t="s">
        <v>22</v>
      </c>
      <c r="C19" s="268">
        <f>C7+C11+C12+C13+C15</f>
        <v>0.10127159381368467</v>
      </c>
      <c r="D19" s="750">
        <f>C19*'5. RWA'!$C$13</f>
        <v>3052980.9063581154</v>
      </c>
      <c r="E19" s="743">
        <f>D19-'1. key ratios'!C11</f>
        <v>0</v>
      </c>
    </row>
    <row r="20" spans="1:6" s="244" customFormat="1">
      <c r="A20" s="241">
        <v>5</v>
      </c>
      <c r="B20" s="240" t="s">
        <v>75</v>
      </c>
      <c r="C20" s="268">
        <f>C8+C11+C12+C13+C16</f>
        <v>0.12433695600047051</v>
      </c>
      <c r="D20" s="750">
        <f>C20*'5. RWA'!$C$13</f>
        <v>3748320.1194847892</v>
      </c>
      <c r="E20" s="743">
        <f>D20-'1. key ratios'!C12</f>
        <v>0</v>
      </c>
    </row>
    <row r="21" spans="1:6" s="244" customFormat="1" ht="14.4" thickBot="1">
      <c r="A21" s="246" t="s">
        <v>365</v>
      </c>
      <c r="B21" s="247" t="s">
        <v>74</v>
      </c>
      <c r="C21" s="271">
        <f>C9+C11+C12+C13+C17</f>
        <v>0.15494927466729402</v>
      </c>
      <c r="D21" s="754">
        <f>C21*'5. RWA'!$C$13</f>
        <v>4671173.4179240735</v>
      </c>
      <c r="E21" s="743">
        <f>D21-'1. key ratios'!C13</f>
        <v>0</v>
      </c>
    </row>
    <row r="22" spans="1:6">
      <c r="D22" s="755"/>
      <c r="F22" s="213"/>
    </row>
    <row r="23" spans="1:6">
      <c r="B23" s="23"/>
      <c r="D23" s="755"/>
    </row>
    <row r="24" spans="1:6">
      <c r="D24" s="755"/>
    </row>
    <row r="25" spans="1:6">
      <c r="D25" s="755"/>
    </row>
    <row r="26" spans="1:6">
      <c r="D26" s="755"/>
    </row>
    <row r="27" spans="1:6">
      <c r="D27" s="755"/>
    </row>
    <row r="28" spans="1:6">
      <c r="D28" s="755"/>
    </row>
    <row r="29" spans="1:6">
      <c r="D29" s="755"/>
    </row>
    <row r="30" spans="1:6">
      <c r="D30" s="755"/>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2" tint="-9.9978637043366805E-2"/>
  </sheetPr>
  <dimension ref="A1:E27"/>
  <sheetViews>
    <sheetView showGridLines="0" zoomScaleNormal="100" workbookViewId="0">
      <selection activeCell="B3" sqref="B3"/>
    </sheetView>
  </sheetViews>
  <sheetFormatPr defaultRowHeight="14.4"/>
  <cols>
    <col min="1" max="1" width="107.109375" bestFit="1" customWidth="1"/>
    <col min="2" max="2" width="50.88671875" bestFit="1" customWidth="1"/>
    <col min="3" max="3" width="28.109375" bestFit="1" customWidth="1"/>
    <col min="4" max="7" width="28.109375" customWidth="1"/>
  </cols>
  <sheetData>
    <row r="1" spans="1:2">
      <c r="A1" s="617" t="s">
        <v>97</v>
      </c>
      <c r="B1" s="16" t="str">
        <f>Info!C2</f>
        <v>სს "ჰეშ ბანკი"</v>
      </c>
    </row>
    <row r="2" spans="1:2">
      <c r="A2" s="618" t="s">
        <v>98</v>
      </c>
      <c r="B2" s="709">
        <f>'1. key ratios'!B2</f>
        <v>46112</v>
      </c>
    </row>
    <row r="3" spans="1:2">
      <c r="A3" s="619" t="s">
        <v>948</v>
      </c>
      <c r="B3" s="613" t="s">
        <v>919</v>
      </c>
    </row>
    <row r="4" spans="1:2" ht="15" thickBot="1"/>
    <row r="5" spans="1:2">
      <c r="A5" s="624"/>
      <c r="B5" s="625" t="s">
        <v>920</v>
      </c>
    </row>
    <row r="6" spans="1:2">
      <c r="A6" s="620" t="s">
        <v>921</v>
      </c>
      <c r="B6" s="626"/>
    </row>
    <row r="7" spans="1:2" ht="15.6">
      <c r="A7" s="620" t="s">
        <v>954</v>
      </c>
      <c r="B7" s="626"/>
    </row>
    <row r="8" spans="1:2">
      <c r="A8" s="621" t="s">
        <v>922</v>
      </c>
      <c r="B8" s="627"/>
    </row>
    <row r="9" spans="1:2">
      <c r="A9" s="621" t="s">
        <v>923</v>
      </c>
      <c r="B9" s="627"/>
    </row>
    <row r="10" spans="1:2">
      <c r="A10" s="621" t="s">
        <v>924</v>
      </c>
      <c r="B10" s="627"/>
    </row>
    <row r="11" spans="1:2">
      <c r="A11" s="620" t="s">
        <v>925</v>
      </c>
      <c r="B11" s="626"/>
    </row>
    <row r="12" spans="1:2" ht="15.6">
      <c r="A12" s="621" t="s">
        <v>955</v>
      </c>
      <c r="B12" s="627"/>
    </row>
    <row r="13" spans="1:2" ht="15.6">
      <c r="A13" s="621" t="s">
        <v>956</v>
      </c>
      <c r="B13" s="627"/>
    </row>
    <row r="14" spans="1:2">
      <c r="A14" s="620" t="s">
        <v>926</v>
      </c>
      <c r="B14" s="626"/>
    </row>
    <row r="15" spans="1:2">
      <c r="A15" s="622" t="s">
        <v>927</v>
      </c>
      <c r="B15" s="627"/>
    </row>
    <row r="16" spans="1:2">
      <c r="A16" s="622" t="s">
        <v>74</v>
      </c>
      <c r="B16" s="627"/>
    </row>
    <row r="17" spans="1:5">
      <c r="A17" s="620" t="s">
        <v>928</v>
      </c>
      <c r="B17" s="626"/>
    </row>
    <row r="18" spans="1:5">
      <c r="A18" s="622" t="s">
        <v>929</v>
      </c>
      <c r="B18" s="627"/>
    </row>
    <row r="19" spans="1:5">
      <c r="A19" s="622" t="s">
        <v>930</v>
      </c>
      <c r="B19" s="756"/>
    </row>
    <row r="20" spans="1:5">
      <c r="A20" s="620" t="s">
        <v>931</v>
      </c>
      <c r="B20" s="626"/>
    </row>
    <row r="21" spans="1:5">
      <c r="A21" s="623" t="s">
        <v>932</v>
      </c>
      <c r="B21" s="628"/>
    </row>
    <row r="22" spans="1:5">
      <c r="A22" s="623" t="s">
        <v>933</v>
      </c>
      <c r="B22" s="628"/>
    </row>
    <row r="23" spans="1:5" ht="15" thickBot="1">
      <c r="A23" s="629" t="s">
        <v>934</v>
      </c>
      <c r="B23" s="630"/>
    </row>
    <row r="24" spans="1:5" ht="16.5" customHeight="1">
      <c r="A24" s="616" t="s">
        <v>957</v>
      </c>
      <c r="B24" s="614"/>
      <c r="C24" s="614"/>
      <c r="D24" s="614"/>
      <c r="E24" s="614"/>
    </row>
    <row r="25" spans="1:5" ht="25.5" customHeight="1">
      <c r="A25" s="616" t="s">
        <v>958</v>
      </c>
    </row>
    <row r="26" spans="1:5" ht="57" customHeight="1">
      <c r="A26" s="616" t="s">
        <v>959</v>
      </c>
    </row>
    <row r="27" spans="1:5">
      <c r="A27" s="615"/>
    </row>
  </sheetData>
  <pageMargins left="0.7" right="0.7" top="0.75" bottom="0.75" header="0.3" footer="0.3"/>
  <pageSetup orientation="portrait" horizontalDpi="4294967292" verticalDpi="0" r:id="rId1"/>
  <headerFooter>
    <oddHeader>&amp;Lშიდა მოხმარების</oddHeader>
    <oddFooter>&amp;Lშიდა მოხმარების</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tint="-9.9978637043366805E-2"/>
  </sheetPr>
  <dimension ref="A1:F20"/>
  <sheetViews>
    <sheetView showGridLines="0" zoomScaleNormal="100" workbookViewId="0">
      <selection activeCell="B11" sqref="B11"/>
    </sheetView>
  </sheetViews>
  <sheetFormatPr defaultRowHeight="14.4"/>
  <cols>
    <col min="1" max="1" width="82" customWidth="1"/>
    <col min="2" max="2" width="28.109375" bestFit="1" customWidth="1"/>
    <col min="3" max="6" width="28.109375" customWidth="1"/>
  </cols>
  <sheetData>
    <row r="1" spans="1:6">
      <c r="A1" s="617" t="s">
        <v>97</v>
      </c>
      <c r="B1" s="16" t="str">
        <f>Info!C2</f>
        <v>სს "ჰეშ ბანკი"</v>
      </c>
      <c r="C1" s="212"/>
    </row>
    <row r="2" spans="1:6">
      <c r="A2" s="618" t="s">
        <v>98</v>
      </c>
      <c r="B2" s="709">
        <f>'1. key ratios'!B2</f>
        <v>46112</v>
      </c>
      <c r="C2" s="212"/>
    </row>
    <row r="3" spans="1:6">
      <c r="A3" s="619" t="s">
        <v>949</v>
      </c>
      <c r="B3" s="613" t="s">
        <v>919</v>
      </c>
      <c r="C3" s="212"/>
    </row>
    <row r="5" spans="1:6">
      <c r="A5" s="615"/>
    </row>
    <row r="6" spans="1:6" ht="15" thickBot="1">
      <c r="A6" s="631"/>
      <c r="B6" s="631"/>
      <c r="C6" s="631"/>
      <c r="D6" s="631"/>
      <c r="E6" s="631"/>
      <c r="F6" s="631"/>
    </row>
    <row r="7" spans="1:6">
      <c r="A7" s="883"/>
      <c r="B7" s="885" t="s">
        <v>935</v>
      </c>
      <c r="C7" s="885"/>
      <c r="D7" s="885"/>
      <c r="E7" s="885"/>
      <c r="F7" s="886" t="s">
        <v>936</v>
      </c>
    </row>
    <row r="8" spans="1:6" ht="27.6">
      <c r="A8" s="884"/>
      <c r="B8" s="632" t="s">
        <v>937</v>
      </c>
      <c r="C8" s="632" t="s">
        <v>938</v>
      </c>
      <c r="D8" s="632" t="s">
        <v>939</v>
      </c>
      <c r="E8" s="632" t="s">
        <v>940</v>
      </c>
      <c r="F8" s="887"/>
    </row>
    <row r="9" spans="1:6">
      <c r="A9" s="633" t="s">
        <v>941</v>
      </c>
      <c r="B9" s="634">
        <f>B13+B17</f>
        <v>0</v>
      </c>
      <c r="C9" s="634">
        <f t="shared" ref="C9:E9" si="0">C13+C17</f>
        <v>0</v>
      </c>
      <c r="D9" s="634">
        <f t="shared" si="0"/>
        <v>0</v>
      </c>
      <c r="E9" s="634">
        <f t="shared" si="0"/>
        <v>0</v>
      </c>
      <c r="F9" s="635">
        <f>F13+F17</f>
        <v>0</v>
      </c>
    </row>
    <row r="10" spans="1:6">
      <c r="A10" s="636" t="s">
        <v>942</v>
      </c>
      <c r="B10" s="637">
        <f t="shared" ref="B10:E12" si="1">B14+B18</f>
        <v>0</v>
      </c>
      <c r="C10" s="637">
        <f t="shared" si="1"/>
        <v>0</v>
      </c>
      <c r="D10" s="637">
        <f t="shared" si="1"/>
        <v>0</v>
      </c>
      <c r="E10" s="637">
        <f t="shared" si="1"/>
        <v>0</v>
      </c>
      <c r="F10" s="635">
        <f>SUM(B10:E10)</f>
        <v>0</v>
      </c>
    </row>
    <row r="11" spans="1:6">
      <c r="A11" s="636" t="s">
        <v>943</v>
      </c>
      <c r="B11" s="637">
        <f t="shared" si="1"/>
        <v>0</v>
      </c>
      <c r="C11" s="637">
        <f t="shared" si="1"/>
        <v>0</v>
      </c>
      <c r="D11" s="637">
        <f t="shared" si="1"/>
        <v>0</v>
      </c>
      <c r="E11" s="637">
        <f t="shared" si="1"/>
        <v>0</v>
      </c>
      <c r="F11" s="635">
        <f t="shared" ref="F11:F12" si="2">SUM(B11:E11)</f>
        <v>0</v>
      </c>
    </row>
    <row r="12" spans="1:6">
      <c r="A12" s="638" t="s">
        <v>944</v>
      </c>
      <c r="B12" s="637">
        <f t="shared" si="1"/>
        <v>0</v>
      </c>
      <c r="C12" s="637">
        <f t="shared" si="1"/>
        <v>0</v>
      </c>
      <c r="D12" s="637">
        <f t="shared" si="1"/>
        <v>0</v>
      </c>
      <c r="E12" s="637">
        <f t="shared" si="1"/>
        <v>0</v>
      </c>
      <c r="F12" s="635">
        <f t="shared" si="2"/>
        <v>0</v>
      </c>
    </row>
    <row r="13" spans="1:6">
      <c r="A13" s="639" t="s">
        <v>945</v>
      </c>
      <c r="B13" s="640"/>
      <c r="C13" s="640"/>
      <c r="D13" s="640"/>
      <c r="E13" s="640"/>
      <c r="F13" s="641"/>
    </row>
    <row r="14" spans="1:6">
      <c r="A14" s="636" t="s">
        <v>942</v>
      </c>
      <c r="B14" s="642"/>
      <c r="C14" s="642"/>
      <c r="D14" s="642"/>
      <c r="E14" s="642"/>
      <c r="F14" s="643"/>
    </row>
    <row r="15" spans="1:6">
      <c r="A15" s="636" t="s">
        <v>943</v>
      </c>
      <c r="B15" s="642"/>
      <c r="C15" s="642"/>
      <c r="D15" s="642"/>
      <c r="E15" s="642"/>
      <c r="F15" s="643"/>
    </row>
    <row r="16" spans="1:6">
      <c r="A16" s="638" t="s">
        <v>944</v>
      </c>
      <c r="B16" s="642"/>
      <c r="C16" s="642"/>
      <c r="D16" s="642"/>
      <c r="E16" s="642"/>
      <c r="F16" s="643"/>
    </row>
    <row r="17" spans="1:6">
      <c r="A17" s="639" t="s">
        <v>925</v>
      </c>
      <c r="B17" s="640"/>
      <c r="C17" s="640"/>
      <c r="D17" s="640"/>
      <c r="E17" s="640"/>
      <c r="F17" s="643"/>
    </row>
    <row r="18" spans="1:6">
      <c r="A18" s="636" t="s">
        <v>942</v>
      </c>
      <c r="B18" s="642"/>
      <c r="C18" s="642"/>
      <c r="D18" s="642"/>
      <c r="E18" s="642"/>
      <c r="F18" s="643"/>
    </row>
    <row r="19" spans="1:6">
      <c r="A19" s="636" t="s">
        <v>943</v>
      </c>
      <c r="B19" s="642"/>
      <c r="C19" s="642"/>
      <c r="D19" s="642"/>
      <c r="E19" s="642"/>
      <c r="F19" s="643"/>
    </row>
    <row r="20" spans="1:6" ht="15" thickBot="1">
      <c r="A20" s="644" t="s">
        <v>944</v>
      </c>
      <c r="B20" s="645"/>
      <c r="C20" s="645"/>
      <c r="D20" s="645"/>
      <c r="E20" s="645"/>
      <c r="F20" s="646"/>
    </row>
  </sheetData>
  <mergeCells count="3">
    <mergeCell ref="A7:A8"/>
    <mergeCell ref="B7:E7"/>
    <mergeCell ref="F7:F8"/>
  </mergeCells>
  <pageMargins left="0.7" right="0.7" top="0.75" bottom="0.75" header="0.3" footer="0.3"/>
  <pageSetup orientation="portrait" horizontalDpi="4294967292" verticalDpi="0" r:id="rId1"/>
  <headerFooter>
    <oddHeader>&amp;Lშიდა მოხმარების</oddHeader>
    <oddFooter>&amp;Lშიდა მოხმარების</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2" tint="-9.9978637043366805E-2"/>
  </sheetPr>
  <dimension ref="A1:F70"/>
  <sheetViews>
    <sheetView zoomScale="80" zoomScaleNormal="80" workbookViewId="0">
      <pane xSplit="1" ySplit="5" topLeftCell="B6" activePane="bottomRight" state="frozen"/>
      <selection activeCell="B2" sqref="B2"/>
      <selection pane="topRight" activeCell="B2" sqref="B2"/>
      <selection pane="bottomLeft" activeCell="B2" sqref="B2"/>
      <selection pane="bottomRight"/>
    </sheetView>
  </sheetViews>
  <sheetFormatPr defaultRowHeight="14.4"/>
  <cols>
    <col min="1" max="1" width="10.88671875" style="38" customWidth="1"/>
    <col min="2" max="2" width="91.88671875" style="38" customWidth="1"/>
    <col min="3" max="3" width="53.109375" style="757" customWidth="1"/>
    <col min="4" max="4" width="32.109375" style="38" customWidth="1"/>
    <col min="5" max="5" width="9.44140625" customWidth="1"/>
  </cols>
  <sheetData>
    <row r="1" spans="1:6">
      <c r="A1" s="17" t="s">
        <v>97</v>
      </c>
      <c r="B1" s="19" t="str">
        <f>Info!C2</f>
        <v>სს "ჰეშ ბანკი"</v>
      </c>
      <c r="E1" s="2"/>
      <c r="F1" s="2"/>
    </row>
    <row r="2" spans="1:6" s="21" customFormat="1" ht="15.75" customHeight="1">
      <c r="A2" s="21" t="s">
        <v>98</v>
      </c>
      <c r="B2" s="709">
        <f>'1. key ratios'!B2</f>
        <v>46112</v>
      </c>
      <c r="C2" s="758"/>
    </row>
    <row r="3" spans="1:6" s="21" customFormat="1" ht="15.75" customHeight="1">
      <c r="A3" s="25"/>
      <c r="C3" s="758"/>
    </row>
    <row r="4" spans="1:6" s="21" customFormat="1" ht="15.75" customHeight="1" thickBot="1">
      <c r="A4" s="21" t="s">
        <v>247</v>
      </c>
      <c r="B4" s="123" t="s">
        <v>161</v>
      </c>
      <c r="C4" s="758"/>
      <c r="D4" s="125" t="s">
        <v>76</v>
      </c>
    </row>
    <row r="5" spans="1:6" ht="27.6">
      <c r="A5" s="87" t="s">
        <v>25</v>
      </c>
      <c r="B5" s="88" t="s">
        <v>133</v>
      </c>
      <c r="C5" s="759" t="s">
        <v>826</v>
      </c>
      <c r="D5" s="124" t="s">
        <v>162</v>
      </c>
    </row>
    <row r="6" spans="1:6">
      <c r="A6" s="420">
        <v>1</v>
      </c>
      <c r="B6" s="377" t="s">
        <v>811</v>
      </c>
      <c r="C6" s="760">
        <f>SUM(C7:C9)</f>
        <v>50211349.96980001</v>
      </c>
      <c r="D6" s="82"/>
      <c r="E6" s="7"/>
    </row>
    <row r="7" spans="1:6">
      <c r="A7" s="420">
        <v>1.1000000000000001</v>
      </c>
      <c r="B7" s="378" t="s">
        <v>85</v>
      </c>
      <c r="C7" s="761">
        <f>'2. SOFP'!E8</f>
        <v>1663459.7649999999</v>
      </c>
      <c r="D7" s="83"/>
      <c r="E7" s="7"/>
    </row>
    <row r="8" spans="1:6">
      <c r="A8" s="420">
        <v>1.2</v>
      </c>
      <c r="B8" s="378" t="s">
        <v>86</v>
      </c>
      <c r="C8" s="761">
        <f>'2. SOFP'!E9</f>
        <v>688998.41150000005</v>
      </c>
      <c r="D8" s="83"/>
      <c r="E8" s="7"/>
    </row>
    <row r="9" spans="1:6">
      <c r="A9" s="420">
        <v>1.3</v>
      </c>
      <c r="B9" s="378" t="s">
        <v>87</v>
      </c>
      <c r="C9" s="761">
        <f>'2. SOFP'!E10</f>
        <v>47858891.79330001</v>
      </c>
      <c r="D9" s="83"/>
      <c r="E9" s="7"/>
    </row>
    <row r="10" spans="1:6">
      <c r="A10" s="420">
        <v>2</v>
      </c>
      <c r="B10" s="379" t="s">
        <v>698</v>
      </c>
      <c r="C10" s="762"/>
      <c r="D10" s="83"/>
      <c r="E10" s="7"/>
    </row>
    <row r="11" spans="1:6">
      <c r="A11" s="420">
        <v>2.1</v>
      </c>
      <c r="B11" s="380" t="s">
        <v>699</v>
      </c>
      <c r="C11" s="763"/>
      <c r="D11" s="84"/>
      <c r="E11" s="8"/>
    </row>
    <row r="12" spans="1:6" ht="23.4" customHeight="1">
      <c r="A12" s="420">
        <v>3</v>
      </c>
      <c r="B12" s="381" t="s">
        <v>700</v>
      </c>
      <c r="C12" s="764"/>
      <c r="D12" s="84"/>
      <c r="E12" s="8"/>
    </row>
    <row r="13" spans="1:6" ht="23.1" customHeight="1">
      <c r="A13" s="420">
        <v>4</v>
      </c>
      <c r="B13" s="382" t="s">
        <v>701</v>
      </c>
      <c r="C13" s="764"/>
      <c r="D13" s="84"/>
      <c r="E13" s="8"/>
    </row>
    <row r="14" spans="1:6">
      <c r="A14" s="420">
        <v>5</v>
      </c>
      <c r="B14" s="382" t="s">
        <v>702</v>
      </c>
      <c r="C14" s="764">
        <f>SUM(C15:C17)</f>
        <v>0</v>
      </c>
      <c r="D14" s="84"/>
      <c r="E14" s="8"/>
    </row>
    <row r="15" spans="1:6">
      <c r="A15" s="420">
        <v>5.0999999999999996</v>
      </c>
      <c r="B15" s="383" t="s">
        <v>703</v>
      </c>
      <c r="C15" s="765"/>
      <c r="D15" s="84"/>
      <c r="E15" s="7"/>
    </row>
    <row r="16" spans="1:6">
      <c r="A16" s="420">
        <v>5.2</v>
      </c>
      <c r="B16" s="383" t="s">
        <v>538</v>
      </c>
      <c r="C16" s="761"/>
      <c r="D16" s="83"/>
      <c r="E16" s="7"/>
    </row>
    <row r="17" spans="1:5">
      <c r="A17" s="420">
        <v>5.3</v>
      </c>
      <c r="B17" s="383" t="s">
        <v>704</v>
      </c>
      <c r="C17" s="761"/>
      <c r="D17" s="83"/>
      <c r="E17" s="7"/>
    </row>
    <row r="18" spans="1:5">
      <c r="A18" s="420">
        <v>6</v>
      </c>
      <c r="B18" s="381" t="s">
        <v>705</v>
      </c>
      <c r="C18" s="762">
        <f>SUM(C19:C20)</f>
        <v>5375306.8399999999</v>
      </c>
      <c r="D18" s="83"/>
      <c r="E18" s="7"/>
    </row>
    <row r="19" spans="1:5">
      <c r="A19" s="420">
        <v>6.1</v>
      </c>
      <c r="B19" s="383" t="s">
        <v>538</v>
      </c>
      <c r="C19" s="763">
        <f>'2. SOFP'!E20</f>
        <v>4255296.3600000003</v>
      </c>
      <c r="D19" s="83"/>
      <c r="E19" s="7"/>
    </row>
    <row r="20" spans="1:5">
      <c r="A20" s="420">
        <v>6.2</v>
      </c>
      <c r="B20" s="383" t="s">
        <v>704</v>
      </c>
      <c r="C20" s="763">
        <f>'2. SOFP'!E21</f>
        <v>1120010.4799999995</v>
      </c>
      <c r="D20" s="83"/>
      <c r="E20" s="7"/>
    </row>
    <row r="21" spans="1:5">
      <c r="A21" s="420">
        <v>7</v>
      </c>
      <c r="B21" s="384" t="s">
        <v>706</v>
      </c>
      <c r="C21" s="764"/>
      <c r="D21" s="83"/>
      <c r="E21" s="7"/>
    </row>
    <row r="22" spans="1:5">
      <c r="A22" s="420">
        <v>8</v>
      </c>
      <c r="B22" s="385" t="s">
        <v>707</v>
      </c>
      <c r="C22" s="762"/>
      <c r="D22" s="83"/>
      <c r="E22" s="7"/>
    </row>
    <row r="23" spans="1:5">
      <c r="A23" s="420">
        <v>9</v>
      </c>
      <c r="B23" s="382" t="s">
        <v>708</v>
      </c>
      <c r="C23" s="762">
        <f>SUM(C24:C25)</f>
        <v>4584581.0999999996</v>
      </c>
      <c r="D23" s="451"/>
      <c r="E23" s="7"/>
    </row>
    <row r="24" spans="1:5">
      <c r="A24" s="420">
        <v>9.1</v>
      </c>
      <c r="B24" s="386" t="s">
        <v>709</v>
      </c>
      <c r="C24" s="766">
        <f>'2. SOFP'!E25</f>
        <v>4584581.0999999996</v>
      </c>
      <c r="D24" s="85"/>
      <c r="E24" s="7"/>
    </row>
    <row r="25" spans="1:5">
      <c r="A25" s="420">
        <v>9.1999999999999993</v>
      </c>
      <c r="B25" s="386" t="s">
        <v>710</v>
      </c>
      <c r="C25" s="767"/>
      <c r="D25" s="450"/>
      <c r="E25" s="6"/>
    </row>
    <row r="26" spans="1:5">
      <c r="A26" s="420">
        <v>10</v>
      </c>
      <c r="B26" s="382" t="s">
        <v>36</v>
      </c>
      <c r="C26" s="768">
        <f>SUM(C27:C28)</f>
        <v>9221437.4399999995</v>
      </c>
      <c r="D26" s="610" t="s">
        <v>903</v>
      </c>
      <c r="E26" s="7"/>
    </row>
    <row r="27" spans="1:5">
      <c r="A27" s="420">
        <v>10.1</v>
      </c>
      <c r="B27" s="386" t="s">
        <v>711</v>
      </c>
      <c r="C27" s="761"/>
      <c r="D27" s="83"/>
      <c r="E27" s="7"/>
    </row>
    <row r="28" spans="1:5">
      <c r="A28" s="420">
        <v>10.199999999999999</v>
      </c>
      <c r="B28" s="386" t="s">
        <v>712</v>
      </c>
      <c r="C28" s="761">
        <f>'2. SOFP'!E29</f>
        <v>9221437.4399999995</v>
      </c>
      <c r="D28" s="83"/>
      <c r="E28" s="7"/>
    </row>
    <row r="29" spans="1:5">
      <c r="A29" s="420">
        <v>11</v>
      </c>
      <c r="B29" s="382" t="s">
        <v>713</v>
      </c>
      <c r="C29" s="762">
        <f>SUM(C30:C31)</f>
        <v>0</v>
      </c>
      <c r="D29" s="83"/>
      <c r="E29" s="7"/>
    </row>
    <row r="30" spans="1:5">
      <c r="A30" s="420">
        <v>11.1</v>
      </c>
      <c r="B30" s="386" t="s">
        <v>714</v>
      </c>
      <c r="C30" s="761">
        <f>'2. SOFP'!E31</f>
        <v>0</v>
      </c>
      <c r="D30" s="83"/>
      <c r="E30" s="7"/>
    </row>
    <row r="31" spans="1:5">
      <c r="A31" s="420">
        <v>11.2</v>
      </c>
      <c r="B31" s="386" t="s">
        <v>715</v>
      </c>
      <c r="C31" s="761">
        <f>'2. SOFP'!E32</f>
        <v>0</v>
      </c>
      <c r="D31" s="83"/>
      <c r="E31" s="7"/>
    </row>
    <row r="32" spans="1:5">
      <c r="A32" s="420">
        <v>13</v>
      </c>
      <c r="B32" s="382" t="s">
        <v>88</v>
      </c>
      <c r="C32" s="762">
        <f>'2. SOFP'!E33</f>
        <v>3882904.4218000006</v>
      </c>
      <c r="D32" s="83"/>
      <c r="E32" s="7"/>
    </row>
    <row r="33" spans="1:5">
      <c r="A33" s="420">
        <v>13.1</v>
      </c>
      <c r="B33" s="387" t="s">
        <v>716</v>
      </c>
      <c r="C33" s="761"/>
      <c r="D33" s="83"/>
      <c r="E33" s="7"/>
    </row>
    <row r="34" spans="1:5">
      <c r="A34" s="420">
        <v>13.2</v>
      </c>
      <c r="B34" s="387" t="s">
        <v>717</v>
      </c>
      <c r="C34" s="766"/>
      <c r="D34" s="85"/>
      <c r="E34" s="7"/>
    </row>
    <row r="35" spans="1:5">
      <c r="A35" s="420">
        <v>14</v>
      </c>
      <c r="B35" s="388" t="s">
        <v>718</v>
      </c>
      <c r="C35" s="769">
        <f>SUM(C6,C10,C12,C13,C14,C18,C21,C22,C23,C26,C29,C32)</f>
        <v>73275579.771600023</v>
      </c>
      <c r="D35" s="85"/>
      <c r="E35" s="7"/>
    </row>
    <row r="36" spans="1:5">
      <c r="A36" s="420"/>
      <c r="B36" s="389" t="s">
        <v>93</v>
      </c>
      <c r="C36" s="770"/>
      <c r="D36" s="86"/>
      <c r="E36" s="7"/>
    </row>
    <row r="37" spans="1:5">
      <c r="A37" s="420">
        <v>15</v>
      </c>
      <c r="B37" s="390" t="s">
        <v>719</v>
      </c>
      <c r="C37" s="767"/>
      <c r="D37" s="450"/>
      <c r="E37" s="6"/>
    </row>
    <row r="38" spans="1:5">
      <c r="A38" s="420">
        <v>15.1</v>
      </c>
      <c r="B38" s="391" t="s">
        <v>699</v>
      </c>
      <c r="C38" s="761"/>
      <c r="D38" s="83"/>
      <c r="E38" s="7"/>
    </row>
    <row r="39" spans="1:5" ht="20.399999999999999">
      <c r="A39" s="420">
        <v>16</v>
      </c>
      <c r="B39" s="384" t="s">
        <v>720</v>
      </c>
      <c r="C39" s="762"/>
      <c r="D39" s="83"/>
      <c r="E39" s="7"/>
    </row>
    <row r="40" spans="1:5">
      <c r="A40" s="420">
        <v>17</v>
      </c>
      <c r="B40" s="384" t="s">
        <v>721</v>
      </c>
      <c r="C40" s="762">
        <f>SUM(C41:C44)</f>
        <v>9195559.7058000118</v>
      </c>
      <c r="D40" s="83"/>
      <c r="E40" s="7"/>
    </row>
    <row r="41" spans="1:5">
      <c r="A41" s="420">
        <v>17.100000000000001</v>
      </c>
      <c r="B41" s="392" t="s">
        <v>722</v>
      </c>
      <c r="C41" s="761">
        <f>'2. SOFP'!E42</f>
        <v>6385479.6794000119</v>
      </c>
      <c r="D41" s="83"/>
      <c r="E41" s="7"/>
    </row>
    <row r="42" spans="1:5">
      <c r="A42" s="439">
        <v>17.2</v>
      </c>
      <c r="B42" s="440" t="s">
        <v>89</v>
      </c>
      <c r="C42" s="766"/>
      <c r="D42" s="85"/>
      <c r="E42" s="7"/>
    </row>
    <row r="43" spans="1:5">
      <c r="A43" s="420">
        <v>17.3</v>
      </c>
      <c r="B43" s="441" t="s">
        <v>723</v>
      </c>
      <c r="C43" s="771"/>
      <c r="D43" s="442"/>
      <c r="E43" s="7"/>
    </row>
    <row r="44" spans="1:5">
      <c r="A44" s="420">
        <v>17.399999999999999</v>
      </c>
      <c r="B44" s="441" t="s">
        <v>724</v>
      </c>
      <c r="C44" s="771">
        <f>'2. SOFP'!E45</f>
        <v>2810080.0264000003</v>
      </c>
      <c r="D44" s="442"/>
      <c r="E44" s="7"/>
    </row>
    <row r="45" spans="1:5">
      <c r="A45" s="420">
        <v>18</v>
      </c>
      <c r="B45" s="443" t="s">
        <v>725</v>
      </c>
      <c r="C45" s="772"/>
      <c r="D45" s="449"/>
      <c r="E45" s="6"/>
    </row>
    <row r="46" spans="1:5">
      <c r="A46" s="420">
        <v>19</v>
      </c>
      <c r="B46" s="443" t="s">
        <v>726</v>
      </c>
      <c r="C46" s="773">
        <f>SUM(C47:C48)</f>
        <v>195728.82</v>
      </c>
      <c r="D46" s="444"/>
    </row>
    <row r="47" spans="1:5">
      <c r="A47" s="420">
        <v>19.100000000000001</v>
      </c>
      <c r="B47" s="445" t="s">
        <v>727</v>
      </c>
      <c r="C47" s="774">
        <f>'2. SOFP'!E48</f>
        <v>0</v>
      </c>
      <c r="D47" s="444"/>
    </row>
    <row r="48" spans="1:5">
      <c r="A48" s="420">
        <v>19.2</v>
      </c>
      <c r="B48" s="445" t="s">
        <v>728</v>
      </c>
      <c r="C48" s="774">
        <f>'2. SOFP'!E49</f>
        <v>195728.82</v>
      </c>
      <c r="D48" s="444"/>
    </row>
    <row r="49" spans="1:4">
      <c r="A49" s="420">
        <v>20</v>
      </c>
      <c r="B49" s="397" t="s">
        <v>90</v>
      </c>
      <c r="C49" s="773"/>
      <c r="D49" s="444"/>
    </row>
    <row r="50" spans="1:4">
      <c r="A50" s="420">
        <v>21</v>
      </c>
      <c r="B50" s="398" t="s">
        <v>78</v>
      </c>
      <c r="C50" s="773">
        <f>'2. SOFP'!E51</f>
        <v>1480764.0626999999</v>
      </c>
      <c r="D50" s="444"/>
    </row>
    <row r="51" spans="1:4">
      <c r="A51" s="420">
        <v>21.1</v>
      </c>
      <c r="B51" s="393" t="s">
        <v>729</v>
      </c>
      <c r="C51" s="774"/>
      <c r="D51" s="444"/>
    </row>
    <row r="52" spans="1:4">
      <c r="A52" s="420">
        <v>22</v>
      </c>
      <c r="B52" s="397" t="s">
        <v>730</v>
      </c>
      <c r="C52" s="773">
        <f>SUM(C37,C39,C40,C45,C46,C49,C50)</f>
        <v>10872052.588500012</v>
      </c>
      <c r="D52" s="444"/>
    </row>
    <row r="53" spans="1:4">
      <c r="A53" s="420"/>
      <c r="B53" s="399" t="s">
        <v>731</v>
      </c>
      <c r="C53" s="775"/>
      <c r="D53" s="444"/>
    </row>
    <row r="54" spans="1:4">
      <c r="A54" s="420">
        <v>23</v>
      </c>
      <c r="B54" s="397" t="s">
        <v>94</v>
      </c>
      <c r="C54" s="776">
        <f>'2. SOFP'!E55</f>
        <v>83160000</v>
      </c>
      <c r="D54" s="610" t="s">
        <v>1021</v>
      </c>
    </row>
    <row r="55" spans="1:4">
      <c r="A55" s="420">
        <v>24</v>
      </c>
      <c r="B55" s="397" t="s">
        <v>732</v>
      </c>
      <c r="C55" s="776">
        <f>'2. SOFP'!E56</f>
        <v>2100</v>
      </c>
      <c r="D55" s="610" t="s">
        <v>1023</v>
      </c>
    </row>
    <row r="56" spans="1:4">
      <c r="A56" s="420">
        <v>25</v>
      </c>
      <c r="B56" s="400" t="s">
        <v>91</v>
      </c>
      <c r="C56" s="776"/>
      <c r="D56" s="444"/>
    </row>
    <row r="57" spans="1:4">
      <c r="A57" s="420">
        <v>26</v>
      </c>
      <c r="B57" s="443" t="s">
        <v>733</v>
      </c>
      <c r="C57" s="776"/>
      <c r="D57" s="444"/>
    </row>
    <row r="58" spans="1:4">
      <c r="A58" s="420">
        <v>27</v>
      </c>
      <c r="B58" s="443" t="s">
        <v>734</v>
      </c>
      <c r="C58" s="776">
        <f>SUM(C59:C60)</f>
        <v>0</v>
      </c>
      <c r="D58" s="444"/>
    </row>
    <row r="59" spans="1:4">
      <c r="A59" s="420">
        <v>27.1</v>
      </c>
      <c r="B59" s="446" t="s">
        <v>735</v>
      </c>
      <c r="C59" s="771"/>
      <c r="D59" s="444"/>
    </row>
    <row r="60" spans="1:4">
      <c r="A60" s="420">
        <v>27.2</v>
      </c>
      <c r="B60" s="441" t="s">
        <v>736</v>
      </c>
      <c r="C60" s="771"/>
      <c r="D60" s="444"/>
    </row>
    <row r="61" spans="1:4">
      <c r="A61" s="420">
        <v>28</v>
      </c>
      <c r="B61" s="398" t="s">
        <v>737</v>
      </c>
      <c r="C61" s="776"/>
      <c r="D61" s="444"/>
    </row>
    <row r="62" spans="1:4">
      <c r="A62" s="420">
        <v>29</v>
      </c>
      <c r="B62" s="443" t="s">
        <v>738</v>
      </c>
      <c r="C62" s="776">
        <f>SUM(C63:C65)</f>
        <v>0</v>
      </c>
      <c r="D62" s="444"/>
    </row>
    <row r="63" spans="1:4">
      <c r="A63" s="420">
        <v>29.1</v>
      </c>
      <c r="B63" s="447" t="s">
        <v>739</v>
      </c>
      <c r="C63" s="771"/>
      <c r="D63" s="444"/>
    </row>
    <row r="64" spans="1:4" ht="24" customHeight="1">
      <c r="A64" s="420">
        <v>29.2</v>
      </c>
      <c r="B64" s="446" t="s">
        <v>740</v>
      </c>
      <c r="C64" s="771"/>
      <c r="D64" s="444"/>
    </row>
    <row r="65" spans="1:4" ht="21.9" customHeight="1">
      <c r="A65" s="420">
        <v>29.3</v>
      </c>
      <c r="B65" s="448" t="s">
        <v>741</v>
      </c>
      <c r="C65" s="771"/>
      <c r="D65" s="444"/>
    </row>
    <row r="66" spans="1:4">
      <c r="A66" s="420">
        <v>30</v>
      </c>
      <c r="B66" s="403" t="s">
        <v>92</v>
      </c>
      <c r="C66" s="776">
        <f>'2. SOFP'!E67</f>
        <v>-20758572.809999943</v>
      </c>
      <c r="D66" s="610" t="s">
        <v>1022</v>
      </c>
    </row>
    <row r="67" spans="1:4">
      <c r="A67" s="420">
        <v>31</v>
      </c>
      <c r="B67" s="402" t="s">
        <v>742</v>
      </c>
      <c r="C67" s="776">
        <f>SUM(C54,C55,C56,C57,C58,C61,C62,C66)</f>
        <v>62403527.190000057</v>
      </c>
      <c r="D67" s="444"/>
    </row>
    <row r="68" spans="1:4">
      <c r="A68" s="420">
        <v>32</v>
      </c>
      <c r="B68" s="403" t="s">
        <v>743</v>
      </c>
      <c r="C68" s="776">
        <f>SUM(C52,C67)</f>
        <v>73275579.778500065</v>
      </c>
      <c r="D68" s="444"/>
    </row>
    <row r="69" spans="1:4">
      <c r="C69" s="757">
        <f>C68-C35</f>
        <v>6.9000422954559326E-3</v>
      </c>
    </row>
    <row r="70" spans="1:4">
      <c r="C70" s="757">
        <f>C68-'7. LI1'!C37</f>
        <v>6.9000422954559326E-3</v>
      </c>
    </row>
  </sheetData>
  <pageMargins left="0.7" right="0.7" top="0.75" bottom="0.75" header="0.3" footer="0.3"/>
  <pageSetup paperSize="9" orientation="portrait" horizontalDpi="4294967295" verticalDpi="4294967295" r:id="rId1"/>
  <headerFooter>
    <oddHeader>&amp;Lშიდა მოხმარების</oddHeader>
    <oddFooter>&amp;Lშიდა მოხმარების</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2" tint="-9.9978637043366805E-2"/>
  </sheetPr>
  <dimension ref="A1:S24"/>
  <sheetViews>
    <sheetView zoomScaleNormal="100" workbookViewId="0">
      <pane xSplit="2" ySplit="7" topLeftCell="C8" activePane="bottomRight" state="frozen"/>
      <selection activeCell="B2" sqref="B2"/>
      <selection pane="topRight" activeCell="B2" sqref="B2"/>
      <selection pane="bottomLeft" activeCell="B2" sqref="B2"/>
      <selection pane="bottomRight"/>
    </sheetView>
  </sheetViews>
  <sheetFormatPr defaultColWidth="9.109375" defaultRowHeight="13.8"/>
  <cols>
    <col min="1" max="1" width="10.5546875" style="2" bestFit="1" customWidth="1"/>
    <col min="2" max="2" width="97" style="2" bestFit="1" customWidth="1"/>
    <col min="3" max="3" width="9.44140625" style="2" bestFit="1" customWidth="1"/>
    <col min="4" max="4" width="13.109375" style="2" bestFit="1" customWidth="1"/>
    <col min="5" max="5" width="12.6640625" style="2" customWidth="1"/>
    <col min="6" max="6" width="13.109375" style="2" bestFit="1" customWidth="1"/>
    <col min="7" max="7" width="9.44140625" style="2" bestFit="1" customWidth="1"/>
    <col min="8" max="8" width="13.109375" style="2" bestFit="1" customWidth="1"/>
    <col min="9" max="9" width="9.44140625" style="2" bestFit="1" customWidth="1"/>
    <col min="10" max="10" width="13.109375" style="2" bestFit="1" customWidth="1"/>
    <col min="11" max="11" width="9.44140625" style="2" bestFit="1" customWidth="1"/>
    <col min="12" max="12" width="13.109375" style="2" bestFit="1" customWidth="1"/>
    <col min="13" max="13" width="13.109375" style="2" customWidth="1"/>
    <col min="14" max="14" width="13.109375" style="2" bestFit="1" customWidth="1"/>
    <col min="15" max="15" width="9.44140625" style="2" bestFit="1" customWidth="1"/>
    <col min="16" max="16" width="13.109375" style="2" bestFit="1" customWidth="1"/>
    <col min="17" max="17" width="9.44140625" style="2" bestFit="1" customWidth="1"/>
    <col min="18" max="18" width="13.109375" style="2" bestFit="1" customWidth="1"/>
    <col min="19" max="19" width="31.5546875" style="2" bestFit="1" customWidth="1"/>
    <col min="20" max="16384" width="9.109375" style="12"/>
  </cols>
  <sheetData>
    <row r="1" spans="1:19">
      <c r="A1" s="2" t="s">
        <v>97</v>
      </c>
      <c r="B1" s="212" t="str">
        <f>Info!C2</f>
        <v>სს "ჰეშ ბანკი"</v>
      </c>
    </row>
    <row r="2" spans="1:19">
      <c r="A2" s="2" t="s">
        <v>98</v>
      </c>
      <c r="B2" s="709">
        <f>'1. key ratios'!B2</f>
        <v>46112</v>
      </c>
    </row>
    <row r="4" spans="1:19" ht="28.2" thickBot="1">
      <c r="A4" s="37" t="s">
        <v>248</v>
      </c>
      <c r="B4" s="182" t="s">
        <v>282</v>
      </c>
    </row>
    <row r="5" spans="1:19">
      <c r="A5" s="72"/>
      <c r="B5" s="74"/>
      <c r="C5" s="66" t="s">
        <v>0</v>
      </c>
      <c r="D5" s="66" t="s">
        <v>1</v>
      </c>
      <c r="E5" s="66" t="s">
        <v>2</v>
      </c>
      <c r="F5" s="66" t="s">
        <v>3</v>
      </c>
      <c r="G5" s="66" t="s">
        <v>4</v>
      </c>
      <c r="H5" s="66" t="s">
        <v>5</v>
      </c>
      <c r="I5" s="66" t="s">
        <v>134</v>
      </c>
      <c r="J5" s="66" t="s">
        <v>135</v>
      </c>
      <c r="K5" s="66" t="s">
        <v>136</v>
      </c>
      <c r="L5" s="66" t="s">
        <v>137</v>
      </c>
      <c r="M5" s="66" t="s">
        <v>138</v>
      </c>
      <c r="N5" s="66" t="s">
        <v>139</v>
      </c>
      <c r="O5" s="66" t="s">
        <v>269</v>
      </c>
      <c r="P5" s="66" t="s">
        <v>270</v>
      </c>
      <c r="Q5" s="66" t="s">
        <v>271</v>
      </c>
      <c r="R5" s="173" t="s">
        <v>272</v>
      </c>
      <c r="S5" s="67" t="s">
        <v>273</v>
      </c>
    </row>
    <row r="6" spans="1:19" ht="46.5" customHeight="1">
      <c r="A6" s="90"/>
      <c r="B6" s="892" t="s">
        <v>274</v>
      </c>
      <c r="C6" s="890">
        <v>0</v>
      </c>
      <c r="D6" s="891"/>
      <c r="E6" s="890">
        <v>0.2</v>
      </c>
      <c r="F6" s="891"/>
      <c r="G6" s="890">
        <v>0.35</v>
      </c>
      <c r="H6" s="891"/>
      <c r="I6" s="890">
        <v>0.5</v>
      </c>
      <c r="J6" s="891"/>
      <c r="K6" s="890">
        <v>0.75</v>
      </c>
      <c r="L6" s="891"/>
      <c r="M6" s="890">
        <v>1</v>
      </c>
      <c r="N6" s="891"/>
      <c r="O6" s="890">
        <v>1.5</v>
      </c>
      <c r="P6" s="891"/>
      <c r="Q6" s="890">
        <v>2.5</v>
      </c>
      <c r="R6" s="891"/>
      <c r="S6" s="888" t="s">
        <v>145</v>
      </c>
    </row>
    <row r="7" spans="1:19">
      <c r="A7" s="90"/>
      <c r="B7" s="893"/>
      <c r="C7" s="181" t="s">
        <v>267</v>
      </c>
      <c r="D7" s="181" t="s">
        <v>268</v>
      </c>
      <c r="E7" s="181" t="s">
        <v>267</v>
      </c>
      <c r="F7" s="181" t="s">
        <v>268</v>
      </c>
      <c r="G7" s="181" t="s">
        <v>267</v>
      </c>
      <c r="H7" s="181" t="s">
        <v>268</v>
      </c>
      <c r="I7" s="181" t="s">
        <v>267</v>
      </c>
      <c r="J7" s="181" t="s">
        <v>268</v>
      </c>
      <c r="K7" s="181" t="s">
        <v>267</v>
      </c>
      <c r="L7" s="181" t="s">
        <v>268</v>
      </c>
      <c r="M7" s="181" t="s">
        <v>267</v>
      </c>
      <c r="N7" s="181" t="s">
        <v>268</v>
      </c>
      <c r="O7" s="181" t="s">
        <v>267</v>
      </c>
      <c r="P7" s="181" t="s">
        <v>268</v>
      </c>
      <c r="Q7" s="181" t="s">
        <v>267</v>
      </c>
      <c r="R7" s="181" t="s">
        <v>268</v>
      </c>
      <c r="S7" s="889"/>
    </row>
    <row r="8" spans="1:19" s="93" customFormat="1">
      <c r="A8" s="70">
        <v>1</v>
      </c>
      <c r="B8" s="99" t="s">
        <v>123</v>
      </c>
      <c r="C8" s="163">
        <v>112384.41</v>
      </c>
      <c r="D8" s="163"/>
      <c r="E8" s="163">
        <v>0</v>
      </c>
      <c r="F8" s="174"/>
      <c r="G8" s="163">
        <v>0</v>
      </c>
      <c r="H8" s="163"/>
      <c r="I8" s="163">
        <v>0</v>
      </c>
      <c r="J8" s="163"/>
      <c r="K8" s="163">
        <v>0</v>
      </c>
      <c r="L8" s="163"/>
      <c r="M8" s="163">
        <v>576614.00150000001</v>
      </c>
      <c r="N8" s="163"/>
      <c r="O8" s="163">
        <v>0</v>
      </c>
      <c r="P8" s="163"/>
      <c r="Q8" s="163">
        <v>0</v>
      </c>
      <c r="R8" s="174"/>
      <c r="S8" s="187">
        <f>$C$6*SUM(C8:D8)+$E$6*SUM(E8:F8)+$G$6*SUM(G8:H8)+$I$6*SUM(I8:J8)+$K$6*SUM(K8:L8)+$M$6*SUM(M8:N8)+$O$6*SUM(O8:P8)+$Q$6*SUM(Q8:R8)</f>
        <v>576614.00150000001</v>
      </c>
    </row>
    <row r="9" spans="1:19" s="93" customFormat="1">
      <c r="A9" s="70">
        <v>2</v>
      </c>
      <c r="B9" s="99" t="s">
        <v>124</v>
      </c>
      <c r="C9" s="163">
        <v>0</v>
      </c>
      <c r="D9" s="163"/>
      <c r="E9" s="163">
        <v>0</v>
      </c>
      <c r="F9" s="163"/>
      <c r="G9" s="163">
        <v>0</v>
      </c>
      <c r="H9" s="163"/>
      <c r="I9" s="163">
        <v>0</v>
      </c>
      <c r="J9" s="163"/>
      <c r="K9" s="163">
        <v>0</v>
      </c>
      <c r="L9" s="163"/>
      <c r="M9" s="163">
        <v>0</v>
      </c>
      <c r="N9" s="163"/>
      <c r="O9" s="163">
        <v>0</v>
      </c>
      <c r="P9" s="163"/>
      <c r="Q9" s="163">
        <v>0</v>
      </c>
      <c r="R9" s="174"/>
      <c r="S9" s="187">
        <f t="shared" ref="S9:S21" si="0">$C$6*SUM(C9:D9)+$E$6*SUM(E9:F9)+$G$6*SUM(G9:H9)+$I$6*SUM(I9:J9)+$K$6*SUM(K9:L9)+$M$6*SUM(M9:N9)+$O$6*SUM(O9:P9)+$Q$6*SUM(Q9:R9)</f>
        <v>0</v>
      </c>
    </row>
    <row r="10" spans="1:19" s="93" customFormat="1">
      <c r="A10" s="70">
        <v>3</v>
      </c>
      <c r="B10" s="99" t="s">
        <v>125</v>
      </c>
      <c r="C10" s="163">
        <v>0</v>
      </c>
      <c r="D10" s="163"/>
      <c r="E10" s="163">
        <v>0</v>
      </c>
      <c r="F10" s="163"/>
      <c r="G10" s="163">
        <v>0</v>
      </c>
      <c r="H10" s="163"/>
      <c r="I10" s="163">
        <v>0</v>
      </c>
      <c r="J10" s="163"/>
      <c r="K10" s="163">
        <v>0</v>
      </c>
      <c r="L10" s="163"/>
      <c r="M10" s="163">
        <v>0</v>
      </c>
      <c r="N10" s="163"/>
      <c r="O10" s="163">
        <v>0</v>
      </c>
      <c r="P10" s="163"/>
      <c r="Q10" s="163">
        <v>0</v>
      </c>
      <c r="R10" s="174"/>
      <c r="S10" s="187">
        <f t="shared" si="0"/>
        <v>0</v>
      </c>
    </row>
    <row r="11" spans="1:19" s="93" customFormat="1">
      <c r="A11" s="70">
        <v>4</v>
      </c>
      <c r="B11" s="99" t="s">
        <v>126</v>
      </c>
      <c r="C11" s="163">
        <v>0</v>
      </c>
      <c r="D11" s="163"/>
      <c r="E11" s="163">
        <v>0</v>
      </c>
      <c r="F11" s="163"/>
      <c r="G11" s="163">
        <v>0</v>
      </c>
      <c r="H11" s="163"/>
      <c r="I11" s="163">
        <v>0</v>
      </c>
      <c r="J11" s="163"/>
      <c r="K11" s="163">
        <v>0</v>
      </c>
      <c r="L11" s="163"/>
      <c r="M11" s="163">
        <v>0</v>
      </c>
      <c r="N11" s="163"/>
      <c r="O11" s="163">
        <v>0</v>
      </c>
      <c r="P11" s="163"/>
      <c r="Q11" s="163">
        <v>0</v>
      </c>
      <c r="R11" s="174"/>
      <c r="S11" s="187">
        <f t="shared" si="0"/>
        <v>0</v>
      </c>
    </row>
    <row r="12" spans="1:19" s="93" customFormat="1">
      <c r="A12" s="70">
        <v>5</v>
      </c>
      <c r="B12" s="99" t="s">
        <v>912</v>
      </c>
      <c r="C12" s="163">
        <v>0</v>
      </c>
      <c r="D12" s="163"/>
      <c r="E12" s="163">
        <v>0</v>
      </c>
      <c r="F12" s="163"/>
      <c r="G12" s="163">
        <v>0</v>
      </c>
      <c r="H12" s="163"/>
      <c r="I12" s="163">
        <v>0</v>
      </c>
      <c r="J12" s="163"/>
      <c r="K12" s="163">
        <v>0</v>
      </c>
      <c r="L12" s="163"/>
      <c r="M12" s="163">
        <v>0</v>
      </c>
      <c r="N12" s="163"/>
      <c r="O12" s="163">
        <v>0</v>
      </c>
      <c r="P12" s="163"/>
      <c r="Q12" s="163">
        <v>0</v>
      </c>
      <c r="R12" s="174"/>
      <c r="S12" s="187">
        <f t="shared" si="0"/>
        <v>0</v>
      </c>
    </row>
    <row r="13" spans="1:19" s="93" customFormat="1">
      <c r="A13" s="70">
        <v>6</v>
      </c>
      <c r="B13" s="99" t="s">
        <v>127</v>
      </c>
      <c r="C13" s="163">
        <v>0</v>
      </c>
      <c r="D13" s="163"/>
      <c r="E13" s="163">
        <v>43907117.959112003</v>
      </c>
      <c r="F13" s="163"/>
      <c r="G13" s="163">
        <v>0</v>
      </c>
      <c r="H13" s="163"/>
      <c r="I13" s="163">
        <v>3255298.34886115</v>
      </c>
      <c r="J13" s="163"/>
      <c r="K13" s="163">
        <v>0</v>
      </c>
      <c r="L13" s="163"/>
      <c r="M13" s="163">
        <v>4951771.8453268558</v>
      </c>
      <c r="N13" s="163"/>
      <c r="O13" s="163">
        <v>0</v>
      </c>
      <c r="P13" s="163"/>
      <c r="Q13" s="163">
        <v>0</v>
      </c>
      <c r="R13" s="174"/>
      <c r="S13" s="187">
        <f>$C$6*SUM(C13:D13)+$E$6*SUM(E13:F13)+$G$6*SUM(G13:H13)+$I$6*SUM(I13:J13)+$K$6*SUM(K13:L13)+$M$6*SUM(M13:N13)+$O$6*SUM(O13:P13)+$Q$6*SUM(Q13:R13)</f>
        <v>15360844.611579832</v>
      </c>
    </row>
    <row r="14" spans="1:19" s="93" customFormat="1">
      <c r="A14" s="70">
        <v>7</v>
      </c>
      <c r="B14" s="99" t="s">
        <v>71</v>
      </c>
      <c r="C14" s="163">
        <v>0</v>
      </c>
      <c r="D14" s="163"/>
      <c r="E14" s="163">
        <v>0</v>
      </c>
      <c r="F14" s="163"/>
      <c r="G14" s="163">
        <v>0</v>
      </c>
      <c r="H14" s="163"/>
      <c r="I14" s="163">
        <v>0</v>
      </c>
      <c r="J14" s="163"/>
      <c r="K14" s="163">
        <v>0</v>
      </c>
      <c r="L14" s="163"/>
      <c r="M14" s="163">
        <v>0</v>
      </c>
      <c r="N14" s="163"/>
      <c r="O14" s="163">
        <v>0</v>
      </c>
      <c r="P14" s="163"/>
      <c r="Q14" s="163">
        <v>0</v>
      </c>
      <c r="R14" s="174"/>
      <c r="S14" s="187">
        <f t="shared" si="0"/>
        <v>0</v>
      </c>
    </row>
    <row r="15" spans="1:19" s="93" customFormat="1">
      <c r="A15" s="70">
        <v>8</v>
      </c>
      <c r="B15" s="99" t="s">
        <v>72</v>
      </c>
      <c r="C15" s="163">
        <v>0</v>
      </c>
      <c r="D15" s="163"/>
      <c r="E15" s="163">
        <v>0</v>
      </c>
      <c r="F15" s="163"/>
      <c r="G15" s="163">
        <v>0</v>
      </c>
      <c r="H15" s="163"/>
      <c r="I15" s="163">
        <v>0</v>
      </c>
      <c r="J15" s="163"/>
      <c r="K15" s="163">
        <v>0</v>
      </c>
      <c r="L15" s="163"/>
      <c r="M15" s="163">
        <v>1120010.4799999995</v>
      </c>
      <c r="N15" s="163"/>
      <c r="O15" s="163">
        <v>0</v>
      </c>
      <c r="P15" s="163"/>
      <c r="Q15" s="163">
        <v>0</v>
      </c>
      <c r="R15" s="174"/>
      <c r="S15" s="187">
        <f t="shared" si="0"/>
        <v>1120010.4799999995</v>
      </c>
    </row>
    <row r="16" spans="1:19" s="93" customFormat="1">
      <c r="A16" s="70">
        <v>9</v>
      </c>
      <c r="B16" s="99" t="s">
        <v>913</v>
      </c>
      <c r="C16" s="163">
        <v>0</v>
      </c>
      <c r="D16" s="163"/>
      <c r="E16" s="163">
        <v>0</v>
      </c>
      <c r="F16" s="163"/>
      <c r="G16" s="163">
        <v>0</v>
      </c>
      <c r="H16" s="163"/>
      <c r="I16" s="163">
        <v>0</v>
      </c>
      <c r="J16" s="163"/>
      <c r="K16" s="163">
        <v>0</v>
      </c>
      <c r="L16" s="163"/>
      <c r="M16" s="163">
        <v>0</v>
      </c>
      <c r="N16" s="163"/>
      <c r="O16" s="163">
        <v>0</v>
      </c>
      <c r="P16" s="163"/>
      <c r="Q16" s="163">
        <v>0</v>
      </c>
      <c r="R16" s="174"/>
      <c r="S16" s="187">
        <f t="shared" si="0"/>
        <v>0</v>
      </c>
    </row>
    <row r="17" spans="1:19" s="93" customFormat="1">
      <c r="A17" s="70">
        <v>10</v>
      </c>
      <c r="B17" s="99" t="s">
        <v>67</v>
      </c>
      <c r="C17" s="163">
        <v>0</v>
      </c>
      <c r="D17" s="163"/>
      <c r="E17" s="163">
        <v>0</v>
      </c>
      <c r="F17" s="163"/>
      <c r="G17" s="163">
        <v>0</v>
      </c>
      <c r="H17" s="163"/>
      <c r="I17" s="163">
        <v>0</v>
      </c>
      <c r="J17" s="163"/>
      <c r="K17" s="163">
        <v>0</v>
      </c>
      <c r="L17" s="163"/>
      <c r="M17" s="163">
        <v>0</v>
      </c>
      <c r="N17" s="163"/>
      <c r="O17" s="163">
        <v>0</v>
      </c>
      <c r="P17" s="163"/>
      <c r="Q17" s="163">
        <v>0</v>
      </c>
      <c r="R17" s="174"/>
      <c r="S17" s="187">
        <f t="shared" si="0"/>
        <v>0</v>
      </c>
    </row>
    <row r="18" spans="1:19" s="93" customFormat="1">
      <c r="A18" s="70">
        <v>11</v>
      </c>
      <c r="B18" s="99" t="s">
        <v>68</v>
      </c>
      <c r="C18" s="163">
        <v>0</v>
      </c>
      <c r="D18" s="163"/>
      <c r="E18" s="163">
        <v>0</v>
      </c>
      <c r="F18" s="163"/>
      <c r="G18" s="163">
        <v>0</v>
      </c>
      <c r="H18" s="163"/>
      <c r="I18" s="163">
        <v>0</v>
      </c>
      <c r="J18" s="163"/>
      <c r="K18" s="163">
        <v>0</v>
      </c>
      <c r="L18" s="163"/>
      <c r="M18" s="163">
        <v>0</v>
      </c>
      <c r="N18" s="163">
        <v>143615.26999999999</v>
      </c>
      <c r="O18" s="163">
        <v>0</v>
      </c>
      <c r="P18" s="163"/>
      <c r="Q18" s="163">
        <v>0</v>
      </c>
      <c r="R18" s="174"/>
      <c r="S18" s="187">
        <f t="shared" si="0"/>
        <v>143615.26999999999</v>
      </c>
    </row>
    <row r="19" spans="1:19" s="93" customFormat="1">
      <c r="A19" s="70">
        <v>12</v>
      </c>
      <c r="B19" s="99" t="s">
        <v>69</v>
      </c>
      <c r="C19" s="163">
        <v>0</v>
      </c>
      <c r="D19" s="163"/>
      <c r="E19" s="163">
        <v>0</v>
      </c>
      <c r="F19" s="163"/>
      <c r="G19" s="163">
        <v>0</v>
      </c>
      <c r="H19" s="163"/>
      <c r="I19" s="163">
        <v>0</v>
      </c>
      <c r="J19" s="163"/>
      <c r="K19" s="163">
        <v>0</v>
      </c>
      <c r="L19" s="163"/>
      <c r="M19" s="163">
        <v>0</v>
      </c>
      <c r="N19" s="163"/>
      <c r="O19" s="163">
        <v>0</v>
      </c>
      <c r="P19" s="163"/>
      <c r="Q19" s="163">
        <v>0</v>
      </c>
      <c r="R19" s="174"/>
      <c r="S19" s="783">
        <f t="shared" si="0"/>
        <v>0</v>
      </c>
    </row>
    <row r="20" spans="1:19" s="93" customFormat="1">
      <c r="A20" s="70">
        <v>13</v>
      </c>
      <c r="B20" s="99" t="s">
        <v>70</v>
      </c>
      <c r="C20" s="163">
        <v>0</v>
      </c>
      <c r="D20" s="163"/>
      <c r="E20" s="163">
        <v>0</v>
      </c>
      <c r="F20" s="163"/>
      <c r="G20" s="163">
        <v>0</v>
      </c>
      <c r="H20" s="163"/>
      <c r="I20" s="163">
        <v>0</v>
      </c>
      <c r="J20" s="163"/>
      <c r="K20" s="163">
        <v>0</v>
      </c>
      <c r="L20" s="163"/>
      <c r="M20" s="163">
        <v>0</v>
      </c>
      <c r="N20" s="163"/>
      <c r="O20" s="163">
        <v>0</v>
      </c>
      <c r="P20" s="163"/>
      <c r="Q20" s="163">
        <v>0</v>
      </c>
      <c r="R20" s="174"/>
      <c r="S20" s="783">
        <f t="shared" si="0"/>
        <v>0</v>
      </c>
    </row>
    <row r="21" spans="1:19" s="93" customFormat="1">
      <c r="A21" s="70">
        <v>14</v>
      </c>
      <c r="B21" s="99" t="s">
        <v>143</v>
      </c>
      <c r="C21" s="163">
        <v>1663459.7649999999</v>
      </c>
      <c r="D21" s="163"/>
      <c r="E21" s="163">
        <v>0</v>
      </c>
      <c r="F21" s="163"/>
      <c r="G21" s="163">
        <v>0</v>
      </c>
      <c r="H21" s="163"/>
      <c r="I21" s="163">
        <v>0</v>
      </c>
      <c r="J21" s="163"/>
      <c r="K21" s="163">
        <v>0</v>
      </c>
      <c r="L21" s="163"/>
      <c r="M21" s="163">
        <v>8467485.5218000002</v>
      </c>
      <c r="N21" s="163"/>
      <c r="O21" s="163">
        <v>0</v>
      </c>
      <c r="P21" s="163"/>
      <c r="Q21" s="163">
        <v>0</v>
      </c>
      <c r="R21" s="174"/>
      <c r="S21" s="783">
        <f t="shared" si="0"/>
        <v>8467485.5218000002</v>
      </c>
    </row>
    <row r="22" spans="1:19" ht="14.4" thickBot="1">
      <c r="A22" s="63"/>
      <c r="B22" s="95" t="s">
        <v>66</v>
      </c>
      <c r="C22" s="164">
        <f>SUM(C8:C21)</f>
        <v>1775844.1749999998</v>
      </c>
      <c r="D22" s="164">
        <f t="shared" ref="D22:S22" si="1">SUM(D8:D21)</f>
        <v>0</v>
      </c>
      <c r="E22" s="164">
        <f t="shared" si="1"/>
        <v>43907117.959112003</v>
      </c>
      <c r="F22" s="164">
        <f t="shared" si="1"/>
        <v>0</v>
      </c>
      <c r="G22" s="164">
        <f t="shared" si="1"/>
        <v>0</v>
      </c>
      <c r="H22" s="164">
        <f t="shared" si="1"/>
        <v>0</v>
      </c>
      <c r="I22" s="164">
        <f t="shared" si="1"/>
        <v>3255298.34886115</v>
      </c>
      <c r="J22" s="164">
        <f t="shared" si="1"/>
        <v>0</v>
      </c>
      <c r="K22" s="164">
        <f t="shared" si="1"/>
        <v>0</v>
      </c>
      <c r="L22" s="164">
        <f t="shared" si="1"/>
        <v>0</v>
      </c>
      <c r="M22" s="164">
        <f t="shared" si="1"/>
        <v>15115881.848626856</v>
      </c>
      <c r="N22" s="164">
        <f t="shared" si="1"/>
        <v>143615.26999999999</v>
      </c>
      <c r="O22" s="164">
        <f t="shared" si="1"/>
        <v>0</v>
      </c>
      <c r="P22" s="164">
        <f t="shared" si="1"/>
        <v>0</v>
      </c>
      <c r="Q22" s="164">
        <f t="shared" si="1"/>
        <v>0</v>
      </c>
      <c r="R22" s="164">
        <f t="shared" si="1"/>
        <v>0</v>
      </c>
      <c r="S22" s="784">
        <f t="shared" si="1"/>
        <v>25668569.884879831</v>
      </c>
    </row>
    <row r="23" spans="1:19">
      <c r="S23" s="777">
        <f>S22-'5. RWA'!C7-'5. RWA'!C9</f>
        <v>-4.3655745685100555E-10</v>
      </c>
    </row>
    <row r="24" spans="1:19">
      <c r="S24" s="777">
        <f>SUM(C22:R22)-'7. LI1'!E37-N22</f>
        <v>-4.1618477553129196E-9</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2" tint="-9.9978637043366805E-2"/>
  </sheetPr>
  <dimension ref="A1:V28"/>
  <sheetViews>
    <sheetView zoomScale="80" zoomScaleNormal="80" workbookViewId="0">
      <pane xSplit="2" ySplit="6" topLeftCell="C7" activePane="bottomRight" state="frozen"/>
      <selection activeCell="B2" sqref="B2"/>
      <selection pane="topRight" activeCell="B2" sqref="B2"/>
      <selection pane="bottomLeft" activeCell="B2" sqref="B2"/>
      <selection pane="bottomRight"/>
    </sheetView>
  </sheetViews>
  <sheetFormatPr defaultColWidth="9.109375" defaultRowHeight="13.8"/>
  <cols>
    <col min="1" max="1" width="10.5546875" style="2" bestFit="1" customWidth="1"/>
    <col min="2" max="2" width="97" style="2" bestFit="1" customWidth="1"/>
    <col min="3" max="3" width="19" style="2" customWidth="1"/>
    <col min="4" max="4" width="19.5546875" style="2" customWidth="1"/>
    <col min="5" max="5" width="31.109375" style="2" customWidth="1"/>
    <col min="6" max="6" width="29.109375" style="2" customWidth="1"/>
    <col min="7" max="7" width="28.5546875" style="2" customWidth="1"/>
    <col min="8" max="8" width="26.44140625" style="2" customWidth="1"/>
    <col min="9" max="9" width="23.88671875" style="2" customWidth="1"/>
    <col min="10" max="10" width="21.5546875" style="2" customWidth="1"/>
    <col min="11" max="11" width="15.88671875" style="2" customWidth="1"/>
    <col min="12" max="12" width="13.109375" style="2" customWidth="1"/>
    <col min="13" max="13" width="20.88671875" style="2" customWidth="1"/>
    <col min="14" max="14" width="19.109375" style="2" customWidth="1"/>
    <col min="15" max="15" width="18.44140625" style="2" customWidth="1"/>
    <col min="16" max="16" width="19" style="2" customWidth="1"/>
    <col min="17" max="17" width="20.109375" style="2" customWidth="1"/>
    <col min="18" max="18" width="18" style="2" customWidth="1"/>
    <col min="19" max="19" width="36" style="2" customWidth="1"/>
    <col min="20" max="20" width="19.44140625" style="2" customWidth="1"/>
    <col min="21" max="21" width="19.109375" style="2" customWidth="1"/>
    <col min="22" max="22" width="20" style="2" customWidth="1"/>
    <col min="23" max="16384" width="9.109375" style="12"/>
  </cols>
  <sheetData>
    <row r="1" spans="1:22">
      <c r="A1" s="2" t="s">
        <v>97</v>
      </c>
      <c r="B1" s="212" t="str">
        <f>Info!C2</f>
        <v>სს "ჰეშ ბანკი"</v>
      </c>
    </row>
    <row r="2" spans="1:22">
      <c r="A2" s="2" t="s">
        <v>98</v>
      </c>
      <c r="B2" s="709">
        <f>'1. key ratios'!B2</f>
        <v>46112</v>
      </c>
    </row>
    <row r="4" spans="1:22" ht="28.2" thickBot="1">
      <c r="A4" s="2" t="s">
        <v>249</v>
      </c>
      <c r="B4" s="183" t="s">
        <v>283</v>
      </c>
      <c r="V4" s="125" t="s">
        <v>76</v>
      </c>
    </row>
    <row r="5" spans="1:22">
      <c r="A5" s="61"/>
      <c r="B5" s="62"/>
      <c r="C5" s="894" t="s">
        <v>105</v>
      </c>
      <c r="D5" s="895"/>
      <c r="E5" s="895"/>
      <c r="F5" s="895"/>
      <c r="G5" s="895"/>
      <c r="H5" s="895"/>
      <c r="I5" s="895"/>
      <c r="J5" s="895"/>
      <c r="K5" s="895"/>
      <c r="L5" s="896"/>
      <c r="M5" s="894" t="s">
        <v>106</v>
      </c>
      <c r="N5" s="895"/>
      <c r="O5" s="895"/>
      <c r="P5" s="895"/>
      <c r="Q5" s="895"/>
      <c r="R5" s="895"/>
      <c r="S5" s="896"/>
      <c r="T5" s="899" t="s">
        <v>281</v>
      </c>
      <c r="U5" s="899" t="s">
        <v>280</v>
      </c>
      <c r="V5" s="897" t="s">
        <v>107</v>
      </c>
    </row>
    <row r="6" spans="1:22" s="37" customFormat="1" ht="138">
      <c r="A6" s="68"/>
      <c r="B6" s="101"/>
      <c r="C6" s="59" t="s">
        <v>108</v>
      </c>
      <c r="D6" s="58" t="s">
        <v>109</v>
      </c>
      <c r="E6" s="55" t="s">
        <v>110</v>
      </c>
      <c r="F6" s="184" t="s">
        <v>275</v>
      </c>
      <c r="G6" s="58" t="s">
        <v>111</v>
      </c>
      <c r="H6" s="58" t="s">
        <v>112</v>
      </c>
      <c r="I6" s="58" t="s">
        <v>113</v>
      </c>
      <c r="J6" s="58" t="s">
        <v>142</v>
      </c>
      <c r="K6" s="58" t="s">
        <v>114</v>
      </c>
      <c r="L6" s="60" t="s">
        <v>115</v>
      </c>
      <c r="M6" s="59" t="s">
        <v>116</v>
      </c>
      <c r="N6" s="58" t="s">
        <v>117</v>
      </c>
      <c r="O6" s="58" t="s">
        <v>118</v>
      </c>
      <c r="P6" s="58" t="s">
        <v>119</v>
      </c>
      <c r="Q6" s="58" t="s">
        <v>120</v>
      </c>
      <c r="R6" s="58" t="s">
        <v>121</v>
      </c>
      <c r="S6" s="60" t="s">
        <v>122</v>
      </c>
      <c r="T6" s="900"/>
      <c r="U6" s="900"/>
      <c r="V6" s="898"/>
    </row>
    <row r="7" spans="1:22" s="93" customFormat="1">
      <c r="A7" s="94">
        <v>1</v>
      </c>
      <c r="B7" s="99" t="s">
        <v>123</v>
      </c>
      <c r="C7" s="165"/>
      <c r="D7" s="163"/>
      <c r="E7" s="163"/>
      <c r="F7" s="163"/>
      <c r="G7" s="163"/>
      <c r="H7" s="163"/>
      <c r="I7" s="163"/>
      <c r="J7" s="163"/>
      <c r="K7" s="163"/>
      <c r="L7" s="166"/>
      <c r="M7" s="165"/>
      <c r="N7" s="163"/>
      <c r="O7" s="163"/>
      <c r="P7" s="163"/>
      <c r="Q7" s="163"/>
      <c r="R7" s="163"/>
      <c r="S7" s="166"/>
      <c r="T7" s="178"/>
      <c r="U7" s="177"/>
      <c r="V7" s="167">
        <f>SUM(C7:S7)</f>
        <v>0</v>
      </c>
    </row>
    <row r="8" spans="1:22" s="93" customFormat="1">
      <c r="A8" s="94">
        <v>2</v>
      </c>
      <c r="B8" s="99" t="s">
        <v>124</v>
      </c>
      <c r="C8" s="165"/>
      <c r="D8" s="163"/>
      <c r="E8" s="163"/>
      <c r="F8" s="163"/>
      <c r="G8" s="163"/>
      <c r="H8" s="163"/>
      <c r="I8" s="163"/>
      <c r="J8" s="163"/>
      <c r="K8" s="163"/>
      <c r="L8" s="166"/>
      <c r="M8" s="165"/>
      <c r="N8" s="163"/>
      <c r="O8" s="163"/>
      <c r="P8" s="163"/>
      <c r="Q8" s="163"/>
      <c r="R8" s="163"/>
      <c r="S8" s="166"/>
      <c r="T8" s="177"/>
      <c r="U8" s="177"/>
      <c r="V8" s="167">
        <f t="shared" ref="V8:V20" si="0">SUM(C8:S8)</f>
        <v>0</v>
      </c>
    </row>
    <row r="9" spans="1:22" s="93" customFormat="1">
      <c r="A9" s="94">
        <v>3</v>
      </c>
      <c r="B9" s="99" t="s">
        <v>125</v>
      </c>
      <c r="C9" s="165"/>
      <c r="D9" s="163"/>
      <c r="E9" s="163"/>
      <c r="F9" s="163"/>
      <c r="G9" s="163"/>
      <c r="H9" s="163"/>
      <c r="I9" s="163"/>
      <c r="J9" s="163"/>
      <c r="K9" s="163"/>
      <c r="L9" s="166"/>
      <c r="M9" s="165"/>
      <c r="N9" s="163"/>
      <c r="O9" s="163"/>
      <c r="P9" s="163"/>
      <c r="Q9" s="163"/>
      <c r="R9" s="163"/>
      <c r="S9" s="166"/>
      <c r="T9" s="177"/>
      <c r="U9" s="177"/>
      <c r="V9" s="167">
        <f>SUM(C9:S9)</f>
        <v>0</v>
      </c>
    </row>
    <row r="10" spans="1:22" s="93" customFormat="1">
      <c r="A10" s="94">
        <v>4</v>
      </c>
      <c r="B10" s="99" t="s">
        <v>126</v>
      </c>
      <c r="C10" s="165"/>
      <c r="D10" s="163"/>
      <c r="E10" s="163"/>
      <c r="F10" s="163"/>
      <c r="G10" s="163"/>
      <c r="H10" s="163"/>
      <c r="I10" s="163"/>
      <c r="J10" s="163"/>
      <c r="K10" s="163"/>
      <c r="L10" s="166"/>
      <c r="M10" s="165"/>
      <c r="N10" s="163"/>
      <c r="O10" s="163"/>
      <c r="P10" s="163"/>
      <c r="Q10" s="163"/>
      <c r="R10" s="163"/>
      <c r="S10" s="166"/>
      <c r="T10" s="177"/>
      <c r="U10" s="177"/>
      <c r="V10" s="167">
        <f t="shared" si="0"/>
        <v>0</v>
      </c>
    </row>
    <row r="11" spans="1:22" s="93" customFormat="1">
      <c r="A11" s="94">
        <v>5</v>
      </c>
      <c r="B11" s="99" t="s">
        <v>912</v>
      </c>
      <c r="C11" s="165"/>
      <c r="D11" s="163"/>
      <c r="E11" s="163"/>
      <c r="F11" s="163"/>
      <c r="G11" s="163"/>
      <c r="H11" s="163"/>
      <c r="I11" s="163"/>
      <c r="J11" s="163"/>
      <c r="K11" s="163"/>
      <c r="L11" s="166"/>
      <c r="M11" s="165"/>
      <c r="N11" s="163"/>
      <c r="O11" s="163"/>
      <c r="P11" s="163"/>
      <c r="Q11" s="163"/>
      <c r="R11" s="163"/>
      <c r="S11" s="166"/>
      <c r="T11" s="177"/>
      <c r="U11" s="177"/>
      <c r="V11" s="167">
        <f t="shared" si="0"/>
        <v>0</v>
      </c>
    </row>
    <row r="12" spans="1:22" s="93" customFormat="1">
      <c r="A12" s="94">
        <v>6</v>
      </c>
      <c r="B12" s="99" t="s">
        <v>127</v>
      </c>
      <c r="C12" s="165"/>
      <c r="D12" s="163"/>
      <c r="E12" s="163"/>
      <c r="F12" s="163"/>
      <c r="G12" s="163"/>
      <c r="H12" s="163"/>
      <c r="I12" s="163"/>
      <c r="J12" s="163"/>
      <c r="K12" s="163"/>
      <c r="L12" s="166"/>
      <c r="M12" s="165"/>
      <c r="N12" s="163"/>
      <c r="O12" s="163"/>
      <c r="P12" s="163"/>
      <c r="Q12" s="163"/>
      <c r="R12" s="163"/>
      <c r="S12" s="166"/>
      <c r="T12" s="177"/>
      <c r="U12" s="177"/>
      <c r="V12" s="167">
        <f t="shared" si="0"/>
        <v>0</v>
      </c>
    </row>
    <row r="13" spans="1:22" s="93" customFormat="1">
      <c r="A13" s="94">
        <v>7</v>
      </c>
      <c r="B13" s="99" t="s">
        <v>71</v>
      </c>
      <c r="C13" s="165"/>
      <c r="D13" s="163"/>
      <c r="E13" s="163"/>
      <c r="F13" s="163"/>
      <c r="G13" s="163"/>
      <c r="H13" s="163"/>
      <c r="I13" s="163"/>
      <c r="J13" s="163"/>
      <c r="K13" s="163"/>
      <c r="L13" s="166"/>
      <c r="M13" s="165"/>
      <c r="N13" s="163"/>
      <c r="O13" s="163"/>
      <c r="P13" s="163"/>
      <c r="Q13" s="163"/>
      <c r="R13" s="163"/>
      <c r="S13" s="166"/>
      <c r="T13" s="177"/>
      <c r="U13" s="177"/>
      <c r="V13" s="167">
        <f t="shared" si="0"/>
        <v>0</v>
      </c>
    </row>
    <row r="14" spans="1:22" s="93" customFormat="1">
      <c r="A14" s="94">
        <v>8</v>
      </c>
      <c r="B14" s="99" t="s">
        <v>72</v>
      </c>
      <c r="C14" s="165"/>
      <c r="D14" s="163"/>
      <c r="E14" s="163"/>
      <c r="F14" s="163"/>
      <c r="G14" s="163"/>
      <c r="H14" s="163"/>
      <c r="I14" s="163"/>
      <c r="J14" s="163"/>
      <c r="K14" s="163"/>
      <c r="L14" s="166"/>
      <c r="M14" s="165"/>
      <c r="N14" s="163"/>
      <c r="O14" s="163"/>
      <c r="P14" s="163"/>
      <c r="Q14" s="163"/>
      <c r="R14" s="163"/>
      <c r="S14" s="166"/>
      <c r="T14" s="177"/>
      <c r="U14" s="177"/>
      <c r="V14" s="167">
        <f t="shared" si="0"/>
        <v>0</v>
      </c>
    </row>
    <row r="15" spans="1:22" s="93" customFormat="1">
      <c r="A15" s="94">
        <v>9</v>
      </c>
      <c r="B15" s="99" t="s">
        <v>913</v>
      </c>
      <c r="C15" s="165"/>
      <c r="D15" s="163"/>
      <c r="E15" s="163"/>
      <c r="F15" s="163"/>
      <c r="G15" s="163"/>
      <c r="H15" s="163"/>
      <c r="I15" s="163"/>
      <c r="J15" s="163"/>
      <c r="K15" s="163"/>
      <c r="L15" s="166"/>
      <c r="M15" s="165"/>
      <c r="N15" s="163"/>
      <c r="O15" s="163"/>
      <c r="P15" s="163"/>
      <c r="Q15" s="163"/>
      <c r="R15" s="163"/>
      <c r="S15" s="166"/>
      <c r="T15" s="177"/>
      <c r="U15" s="177"/>
      <c r="V15" s="167">
        <f t="shared" si="0"/>
        <v>0</v>
      </c>
    </row>
    <row r="16" spans="1:22" s="93" customFormat="1">
      <c r="A16" s="94">
        <v>10</v>
      </c>
      <c r="B16" s="99" t="s">
        <v>67</v>
      </c>
      <c r="C16" s="165"/>
      <c r="D16" s="163"/>
      <c r="E16" s="163"/>
      <c r="F16" s="163"/>
      <c r="G16" s="163"/>
      <c r="H16" s="163"/>
      <c r="I16" s="163"/>
      <c r="J16" s="163"/>
      <c r="K16" s="163"/>
      <c r="L16" s="166"/>
      <c r="M16" s="165"/>
      <c r="N16" s="163"/>
      <c r="O16" s="163"/>
      <c r="P16" s="163"/>
      <c r="Q16" s="163"/>
      <c r="R16" s="163"/>
      <c r="S16" s="166"/>
      <c r="T16" s="177"/>
      <c r="U16" s="177"/>
      <c r="V16" s="167">
        <f t="shared" si="0"/>
        <v>0</v>
      </c>
    </row>
    <row r="17" spans="1:22" s="93" customFormat="1">
      <c r="A17" s="94">
        <v>11</v>
      </c>
      <c r="B17" s="99" t="s">
        <v>68</v>
      </c>
      <c r="C17" s="165"/>
      <c r="D17" s="163"/>
      <c r="E17" s="163"/>
      <c r="F17" s="163"/>
      <c r="G17" s="163"/>
      <c r="H17" s="163"/>
      <c r="I17" s="163"/>
      <c r="J17" s="163"/>
      <c r="K17" s="163"/>
      <c r="L17" s="166"/>
      <c r="M17" s="165"/>
      <c r="N17" s="163"/>
      <c r="O17" s="163"/>
      <c r="P17" s="163"/>
      <c r="Q17" s="163"/>
      <c r="R17" s="163"/>
      <c r="S17" s="166"/>
      <c r="T17" s="177"/>
      <c r="U17" s="177"/>
      <c r="V17" s="167">
        <f t="shared" si="0"/>
        <v>0</v>
      </c>
    </row>
    <row r="18" spans="1:22" s="93" customFormat="1">
      <c r="A18" s="94">
        <v>12</v>
      </c>
      <c r="B18" s="99" t="s">
        <v>69</v>
      </c>
      <c r="C18" s="165"/>
      <c r="D18" s="163"/>
      <c r="E18" s="163"/>
      <c r="F18" s="163"/>
      <c r="G18" s="163"/>
      <c r="H18" s="163"/>
      <c r="I18" s="163"/>
      <c r="J18" s="163"/>
      <c r="K18" s="163"/>
      <c r="L18" s="166"/>
      <c r="M18" s="165"/>
      <c r="N18" s="163"/>
      <c r="O18" s="163"/>
      <c r="P18" s="163"/>
      <c r="Q18" s="163"/>
      <c r="R18" s="163"/>
      <c r="S18" s="166"/>
      <c r="T18" s="177"/>
      <c r="U18" s="177"/>
      <c r="V18" s="167">
        <f t="shared" si="0"/>
        <v>0</v>
      </c>
    </row>
    <row r="19" spans="1:22" s="93" customFormat="1">
      <c r="A19" s="94">
        <v>13</v>
      </c>
      <c r="B19" s="99" t="s">
        <v>70</v>
      </c>
      <c r="C19" s="165"/>
      <c r="D19" s="163"/>
      <c r="E19" s="163"/>
      <c r="F19" s="163"/>
      <c r="G19" s="163"/>
      <c r="H19" s="163"/>
      <c r="I19" s="163"/>
      <c r="J19" s="163"/>
      <c r="K19" s="163"/>
      <c r="L19" s="166"/>
      <c r="M19" s="165"/>
      <c r="N19" s="163"/>
      <c r="O19" s="163"/>
      <c r="P19" s="163"/>
      <c r="Q19" s="163"/>
      <c r="R19" s="163"/>
      <c r="S19" s="166"/>
      <c r="T19" s="177"/>
      <c r="U19" s="177"/>
      <c r="V19" s="167">
        <f t="shared" si="0"/>
        <v>0</v>
      </c>
    </row>
    <row r="20" spans="1:22" s="93" customFormat="1">
      <c r="A20" s="94">
        <v>14</v>
      </c>
      <c r="B20" s="99" t="s">
        <v>143</v>
      </c>
      <c r="C20" s="165"/>
      <c r="D20" s="163"/>
      <c r="E20" s="163"/>
      <c r="F20" s="163"/>
      <c r="G20" s="163"/>
      <c r="H20" s="163"/>
      <c r="I20" s="163"/>
      <c r="J20" s="163"/>
      <c r="K20" s="163"/>
      <c r="L20" s="166"/>
      <c r="M20" s="165"/>
      <c r="N20" s="163"/>
      <c r="O20" s="163"/>
      <c r="P20" s="163"/>
      <c r="Q20" s="163"/>
      <c r="R20" s="163"/>
      <c r="S20" s="166"/>
      <c r="T20" s="177"/>
      <c r="U20" s="177"/>
      <c r="V20" s="167">
        <f t="shared" si="0"/>
        <v>0</v>
      </c>
    </row>
    <row r="21" spans="1:22" ht="14.4" thickBot="1">
      <c r="A21" s="63"/>
      <c r="B21" s="64" t="s">
        <v>66</v>
      </c>
      <c r="C21" s="168">
        <f>SUM(C7:C20)</f>
        <v>0</v>
      </c>
      <c r="D21" s="164">
        <f t="shared" ref="D21:V21" si="1">SUM(D7:D20)</f>
        <v>0</v>
      </c>
      <c r="E21" s="164">
        <f t="shared" si="1"/>
        <v>0</v>
      </c>
      <c r="F21" s="164">
        <f t="shared" si="1"/>
        <v>0</v>
      </c>
      <c r="G21" s="164">
        <f t="shared" si="1"/>
        <v>0</v>
      </c>
      <c r="H21" s="164">
        <f t="shared" si="1"/>
        <v>0</v>
      </c>
      <c r="I21" s="164">
        <f t="shared" si="1"/>
        <v>0</v>
      </c>
      <c r="J21" s="164">
        <f t="shared" si="1"/>
        <v>0</v>
      </c>
      <c r="K21" s="164">
        <f t="shared" si="1"/>
        <v>0</v>
      </c>
      <c r="L21" s="169">
        <f t="shared" si="1"/>
        <v>0</v>
      </c>
      <c r="M21" s="168">
        <f t="shared" si="1"/>
        <v>0</v>
      </c>
      <c r="N21" s="164">
        <f t="shared" si="1"/>
        <v>0</v>
      </c>
      <c r="O21" s="164">
        <f t="shared" si="1"/>
        <v>0</v>
      </c>
      <c r="P21" s="164">
        <f t="shared" si="1"/>
        <v>0</v>
      </c>
      <c r="Q21" s="164">
        <f t="shared" si="1"/>
        <v>0</v>
      </c>
      <c r="R21" s="164">
        <f t="shared" si="1"/>
        <v>0</v>
      </c>
      <c r="S21" s="169">
        <f t="shared" si="1"/>
        <v>0</v>
      </c>
      <c r="T21" s="169">
        <f>SUM(T7:T20)</f>
        <v>0</v>
      </c>
      <c r="U21" s="169">
        <f t="shared" si="1"/>
        <v>0</v>
      </c>
      <c r="V21" s="170">
        <f t="shared" si="1"/>
        <v>0</v>
      </c>
    </row>
    <row r="24" spans="1:22">
      <c r="A24" s="18"/>
      <c r="B24" s="18"/>
      <c r="C24" s="40"/>
      <c r="D24" s="40"/>
      <c r="E24" s="40"/>
    </row>
    <row r="25" spans="1:22">
      <c r="A25" s="56"/>
      <c r="B25" s="56"/>
      <c r="C25" s="18"/>
      <c r="D25" s="40"/>
      <c r="E25" s="40"/>
    </row>
    <row r="26" spans="1:22">
      <c r="A26" s="56"/>
      <c r="B26" s="57"/>
      <c r="C26" s="18"/>
      <c r="D26" s="40"/>
      <c r="E26" s="40"/>
    </row>
    <row r="27" spans="1:22">
      <c r="A27" s="56"/>
      <c r="B27" s="56"/>
      <c r="C27" s="18"/>
      <c r="D27" s="40"/>
      <c r="E27" s="40"/>
    </row>
    <row r="28" spans="1:22">
      <c r="A28" s="56"/>
      <c r="B28" s="57"/>
      <c r="C28" s="18"/>
      <c r="D28" s="40"/>
      <c r="E28" s="40"/>
    </row>
  </sheetData>
  <mergeCells count="5">
    <mergeCell ref="C5:L5"/>
    <mergeCell ref="M5:S5"/>
    <mergeCell ref="V5:V6"/>
    <mergeCell ref="T5:T6"/>
    <mergeCell ref="U5:U6"/>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2" tint="-9.9978637043366805E-2"/>
  </sheetPr>
  <dimension ref="A1:I28"/>
  <sheetViews>
    <sheetView zoomScale="80" zoomScaleNormal="80" workbookViewId="0">
      <pane xSplit="1" ySplit="7" topLeftCell="B8" activePane="bottomRight" state="frozen"/>
      <selection activeCell="B2" sqref="B2"/>
      <selection pane="topRight" activeCell="B2" sqref="B2"/>
      <selection pane="bottomLeft" activeCell="B2" sqref="B2"/>
      <selection pane="bottomRight"/>
    </sheetView>
  </sheetViews>
  <sheetFormatPr defaultColWidth="9.109375" defaultRowHeight="13.8"/>
  <cols>
    <col min="1" max="1" width="10.5546875" style="2" bestFit="1" customWidth="1"/>
    <col min="2" max="2" width="101.88671875" style="2" customWidth="1"/>
    <col min="3" max="3" width="13.88671875" style="2" customWidth="1"/>
    <col min="4" max="4" width="14.88671875" style="2" bestFit="1" customWidth="1"/>
    <col min="5" max="5" width="17.88671875" style="2" customWidth="1"/>
    <col min="6" max="6" width="15.88671875" style="2" customWidth="1"/>
    <col min="7" max="7" width="17.44140625" style="2" customWidth="1"/>
    <col min="8" max="8" width="15.109375" style="2" customWidth="1"/>
    <col min="9" max="16384" width="9.109375" style="12"/>
  </cols>
  <sheetData>
    <row r="1" spans="1:9">
      <c r="A1" s="2" t="s">
        <v>97</v>
      </c>
      <c r="B1" s="212" t="str">
        <f>Info!C2</f>
        <v>სს "ჰეშ ბანკი"</v>
      </c>
    </row>
    <row r="2" spans="1:9">
      <c r="A2" s="2" t="s">
        <v>98</v>
      </c>
      <c r="B2" s="709">
        <f>'1. key ratios'!B2</f>
        <v>46112</v>
      </c>
    </row>
    <row r="4" spans="1:9" ht="14.4" thickBot="1">
      <c r="A4" s="2" t="s">
        <v>250</v>
      </c>
      <c r="B4" s="180" t="s">
        <v>284</v>
      </c>
    </row>
    <row r="5" spans="1:9">
      <c r="A5" s="61"/>
      <c r="B5" s="91"/>
      <c r="C5" s="96" t="s">
        <v>0</v>
      </c>
      <c r="D5" s="96" t="s">
        <v>1</v>
      </c>
      <c r="E5" s="96" t="s">
        <v>2</v>
      </c>
      <c r="F5" s="96" t="s">
        <v>3</v>
      </c>
      <c r="G5" s="175" t="s">
        <v>4</v>
      </c>
      <c r="H5" s="97" t="s">
        <v>5</v>
      </c>
      <c r="I5" s="24"/>
    </row>
    <row r="6" spans="1:9" ht="15" customHeight="1">
      <c r="A6" s="90"/>
      <c r="B6" s="22"/>
      <c r="C6" s="901" t="s">
        <v>276</v>
      </c>
      <c r="D6" s="905" t="s">
        <v>297</v>
      </c>
      <c r="E6" s="906"/>
      <c r="F6" s="901" t="s">
        <v>303</v>
      </c>
      <c r="G6" s="901" t="s">
        <v>304</v>
      </c>
      <c r="H6" s="903" t="s">
        <v>278</v>
      </c>
      <c r="I6" s="24"/>
    </row>
    <row r="7" spans="1:9" ht="69">
      <c r="A7" s="90"/>
      <c r="B7" s="22"/>
      <c r="C7" s="902"/>
      <c r="D7" s="179" t="s">
        <v>279</v>
      </c>
      <c r="E7" s="179" t="s">
        <v>277</v>
      </c>
      <c r="F7" s="902"/>
      <c r="G7" s="902"/>
      <c r="H7" s="904"/>
      <c r="I7" s="24"/>
    </row>
    <row r="8" spans="1:9">
      <c r="A8" s="53">
        <v>1</v>
      </c>
      <c r="B8" s="99" t="s">
        <v>123</v>
      </c>
      <c r="C8" s="171">
        <f>'11. CRWA'!C8+'11. CRWA'!E8+'11. CRWA'!G8+'11. CRWA'!I8+'11. CRWA'!K8+'11. CRWA'!M8+'11. CRWA'!O8+'11. CRWA'!Q8</f>
        <v>688998.41150000005</v>
      </c>
      <c r="D8" s="172">
        <f>'11. CRWA'!D8+'11. CRWA'!F8+'11. CRWA'!H8+'11. CRWA'!J8+'11. CRWA'!L8+'11. CRWA'!N8+'11. CRWA'!P8+'11. CRWA'!R8</f>
        <v>0</v>
      </c>
      <c r="E8" s="172">
        <v>0</v>
      </c>
      <c r="F8" s="171">
        <f>'11. CRWA'!S8</f>
        <v>576614.00150000001</v>
      </c>
      <c r="G8" s="176">
        <f>F8</f>
        <v>576614.00150000001</v>
      </c>
      <c r="H8" s="185">
        <f>G8/(C8+E8)</f>
        <v>0.83688727270744945</v>
      </c>
    </row>
    <row r="9" spans="1:9" ht="15" customHeight="1">
      <c r="A9" s="53">
        <v>2</v>
      </c>
      <c r="B9" s="99" t="s">
        <v>124</v>
      </c>
      <c r="C9" s="171">
        <f>'11. CRWA'!C9+'11. CRWA'!E9+'11. CRWA'!G9+'11. CRWA'!I9+'11. CRWA'!K9+'11. CRWA'!M9+'11. CRWA'!O9+'11. CRWA'!Q9</f>
        <v>0</v>
      </c>
      <c r="D9" s="172">
        <f>'11. CRWA'!D9+'11. CRWA'!F9+'11. CRWA'!H9+'11. CRWA'!J9+'11. CRWA'!L9+'11. CRWA'!N9+'11. CRWA'!P9+'11. CRWA'!R9</f>
        <v>0</v>
      </c>
      <c r="E9" s="172">
        <v>0</v>
      </c>
      <c r="F9" s="171">
        <f>'11. CRWA'!S9</f>
        <v>0</v>
      </c>
      <c r="G9" s="176">
        <f t="shared" ref="G9:G21" si="0">F9</f>
        <v>0</v>
      </c>
      <c r="H9" s="185">
        <f>IFERROR(G9/(C9+E9),)</f>
        <v>0</v>
      </c>
    </row>
    <row r="10" spans="1:9">
      <c r="A10" s="53">
        <v>3</v>
      </c>
      <c r="B10" s="99" t="s">
        <v>125</v>
      </c>
      <c r="C10" s="171">
        <f>'11. CRWA'!C10+'11. CRWA'!E10+'11. CRWA'!G10+'11. CRWA'!I10+'11. CRWA'!K10+'11. CRWA'!M10+'11. CRWA'!O10+'11. CRWA'!Q10</f>
        <v>0</v>
      </c>
      <c r="D10" s="172">
        <f>'11. CRWA'!D10+'11. CRWA'!F10+'11. CRWA'!H10+'11. CRWA'!J10+'11. CRWA'!L10+'11. CRWA'!N10+'11. CRWA'!P10+'11. CRWA'!R10</f>
        <v>0</v>
      </c>
      <c r="E10" s="172">
        <v>0</v>
      </c>
      <c r="F10" s="171">
        <f>'11. CRWA'!S10</f>
        <v>0</v>
      </c>
      <c r="G10" s="176">
        <f t="shared" si="0"/>
        <v>0</v>
      </c>
      <c r="H10" s="185">
        <f t="shared" ref="H10:H21" si="1">IFERROR(G10/(C10+E10),)</f>
        <v>0</v>
      </c>
    </row>
    <row r="11" spans="1:9">
      <c r="A11" s="53">
        <v>4</v>
      </c>
      <c r="B11" s="99" t="s">
        <v>126</v>
      </c>
      <c r="C11" s="171">
        <f>'11. CRWA'!C11+'11. CRWA'!E11+'11. CRWA'!G11+'11. CRWA'!I11+'11. CRWA'!K11+'11. CRWA'!M11+'11. CRWA'!O11+'11. CRWA'!Q11</f>
        <v>0</v>
      </c>
      <c r="D11" s="172">
        <f>'11. CRWA'!D11+'11. CRWA'!F11+'11. CRWA'!H11+'11. CRWA'!J11+'11. CRWA'!L11+'11. CRWA'!N11+'11. CRWA'!P11+'11. CRWA'!R11</f>
        <v>0</v>
      </c>
      <c r="E11" s="172">
        <v>0</v>
      </c>
      <c r="F11" s="171">
        <f>'11. CRWA'!S11</f>
        <v>0</v>
      </c>
      <c r="G11" s="176">
        <f t="shared" si="0"/>
        <v>0</v>
      </c>
      <c r="H11" s="185">
        <f t="shared" si="1"/>
        <v>0</v>
      </c>
    </row>
    <row r="12" spans="1:9">
      <c r="A12" s="53">
        <v>5</v>
      </c>
      <c r="B12" s="99" t="s">
        <v>912</v>
      </c>
      <c r="C12" s="171">
        <f>'11. CRWA'!C12+'11. CRWA'!E12+'11. CRWA'!G12+'11. CRWA'!I12+'11. CRWA'!K12+'11. CRWA'!M12+'11. CRWA'!O12+'11. CRWA'!Q12</f>
        <v>0</v>
      </c>
      <c r="D12" s="172">
        <f>'11. CRWA'!D12+'11. CRWA'!F12+'11. CRWA'!H12+'11. CRWA'!J12+'11. CRWA'!L12+'11. CRWA'!N12+'11. CRWA'!P12+'11. CRWA'!R12</f>
        <v>0</v>
      </c>
      <c r="E12" s="172">
        <v>0</v>
      </c>
      <c r="F12" s="171">
        <f>'11. CRWA'!S12</f>
        <v>0</v>
      </c>
      <c r="G12" s="176">
        <f t="shared" si="0"/>
        <v>0</v>
      </c>
      <c r="H12" s="185">
        <f t="shared" si="1"/>
        <v>0</v>
      </c>
    </row>
    <row r="13" spans="1:9">
      <c r="A13" s="53">
        <v>6</v>
      </c>
      <c r="B13" s="99" t="s">
        <v>127</v>
      </c>
      <c r="C13" s="171">
        <f>'11. CRWA'!C13+'11. CRWA'!E13+'11. CRWA'!G13+'11. CRWA'!I13+'11. CRWA'!K13+'11. CRWA'!M13+'11. CRWA'!O13+'11. CRWA'!Q13</f>
        <v>52114188.15330001</v>
      </c>
      <c r="D13" s="172">
        <f>'11. CRWA'!D13+'11. CRWA'!F13+'11. CRWA'!H13+'11. CRWA'!J13+'11. CRWA'!L13+'11. CRWA'!N13+'11. CRWA'!P13+'11. CRWA'!R13</f>
        <v>0</v>
      </c>
      <c r="E13" s="172">
        <v>0</v>
      </c>
      <c r="F13" s="171">
        <f>'11. CRWA'!S13</f>
        <v>15360844.611579832</v>
      </c>
      <c r="G13" s="176">
        <f t="shared" si="0"/>
        <v>15360844.611579832</v>
      </c>
      <c r="H13" s="185">
        <f t="shared" si="1"/>
        <v>0.29475360081201113</v>
      </c>
    </row>
    <row r="14" spans="1:9">
      <c r="A14" s="53">
        <v>7</v>
      </c>
      <c r="B14" s="99" t="s">
        <v>71</v>
      </c>
      <c r="C14" s="171">
        <f>'11. CRWA'!C14+'11. CRWA'!E14+'11. CRWA'!G14+'11. CRWA'!I14+'11. CRWA'!K14+'11. CRWA'!M14+'11. CRWA'!O14+'11. CRWA'!Q14</f>
        <v>0</v>
      </c>
      <c r="D14" s="172">
        <f>'11. CRWA'!D14+'11. CRWA'!F14+'11. CRWA'!H14+'11. CRWA'!J14+'11. CRWA'!L14+'11. CRWA'!N14+'11. CRWA'!P14+'11. CRWA'!R14</f>
        <v>0</v>
      </c>
      <c r="E14" s="172">
        <v>0</v>
      </c>
      <c r="F14" s="171">
        <f>'11. CRWA'!S14</f>
        <v>0</v>
      </c>
      <c r="G14" s="176">
        <f t="shared" si="0"/>
        <v>0</v>
      </c>
      <c r="H14" s="185">
        <f t="shared" si="1"/>
        <v>0</v>
      </c>
    </row>
    <row r="15" spans="1:9">
      <c r="A15" s="53">
        <v>8</v>
      </c>
      <c r="B15" s="99" t="s">
        <v>72</v>
      </c>
      <c r="C15" s="171">
        <f>'11. CRWA'!C15+'11. CRWA'!E15+'11. CRWA'!G15+'11. CRWA'!I15+'11. CRWA'!K15+'11. CRWA'!M15+'11. CRWA'!O15+'11. CRWA'!Q15</f>
        <v>1120010.4799999995</v>
      </c>
      <c r="D15" s="172">
        <f>'11. CRWA'!D15+'11. CRWA'!F15+'11. CRWA'!H15+'11. CRWA'!J15+'11. CRWA'!L15+'11. CRWA'!N15+'11. CRWA'!P15+'11. CRWA'!R15</f>
        <v>0</v>
      </c>
      <c r="E15" s="172">
        <v>0</v>
      </c>
      <c r="F15" s="171">
        <f>'11. CRWA'!S15</f>
        <v>1120010.4799999995</v>
      </c>
      <c r="G15" s="176">
        <f t="shared" si="0"/>
        <v>1120010.4799999995</v>
      </c>
      <c r="H15" s="185">
        <f t="shared" si="1"/>
        <v>1</v>
      </c>
    </row>
    <row r="16" spans="1:9">
      <c r="A16" s="53">
        <v>9</v>
      </c>
      <c r="B16" s="99" t="s">
        <v>913</v>
      </c>
      <c r="C16" s="171">
        <f>'11. CRWA'!C16+'11. CRWA'!E16+'11. CRWA'!G16+'11. CRWA'!I16+'11. CRWA'!K16+'11. CRWA'!M16+'11. CRWA'!O16+'11. CRWA'!Q16</f>
        <v>0</v>
      </c>
      <c r="D16" s="172">
        <f>'11. CRWA'!D16+'11. CRWA'!F16+'11. CRWA'!H16+'11. CRWA'!J16+'11. CRWA'!L16+'11. CRWA'!N16+'11. CRWA'!P16+'11. CRWA'!R16</f>
        <v>0</v>
      </c>
      <c r="E16" s="172">
        <v>0</v>
      </c>
      <c r="F16" s="171">
        <f>'11. CRWA'!S16</f>
        <v>0</v>
      </c>
      <c r="G16" s="176">
        <f t="shared" si="0"/>
        <v>0</v>
      </c>
      <c r="H16" s="185">
        <f t="shared" si="1"/>
        <v>0</v>
      </c>
    </row>
    <row r="17" spans="1:8">
      <c r="A17" s="53">
        <v>10</v>
      </c>
      <c r="B17" s="99" t="s">
        <v>67</v>
      </c>
      <c r="C17" s="171">
        <f>'11. CRWA'!C17+'11. CRWA'!E17+'11. CRWA'!G17+'11. CRWA'!I17+'11. CRWA'!K17+'11. CRWA'!M17+'11. CRWA'!O17+'11. CRWA'!Q17</f>
        <v>0</v>
      </c>
      <c r="D17" s="172">
        <f>'11. CRWA'!D17+'11. CRWA'!F17+'11. CRWA'!H17+'11. CRWA'!J17+'11. CRWA'!L17+'11. CRWA'!N17+'11. CRWA'!P17+'11. CRWA'!R17</f>
        <v>0</v>
      </c>
      <c r="E17" s="172">
        <v>0</v>
      </c>
      <c r="F17" s="171">
        <f>'11. CRWA'!S17</f>
        <v>0</v>
      </c>
      <c r="G17" s="176">
        <f t="shared" si="0"/>
        <v>0</v>
      </c>
      <c r="H17" s="185">
        <f t="shared" si="1"/>
        <v>0</v>
      </c>
    </row>
    <row r="18" spans="1:8">
      <c r="A18" s="53">
        <v>11</v>
      </c>
      <c r="B18" s="99" t="s">
        <v>68</v>
      </c>
      <c r="C18" s="171">
        <f>'11. CRWA'!C18+'11. CRWA'!E18+'11. CRWA'!G18+'11. CRWA'!I18+'11. CRWA'!K18+'11. CRWA'!M18+'11. CRWA'!O18+'11. CRWA'!Q18</f>
        <v>0</v>
      </c>
      <c r="D18" s="172">
        <f>'11. CRWA'!D18+'11. CRWA'!F18+'11. CRWA'!H18+'11. CRWA'!J18+'11. CRWA'!L18+'11. CRWA'!N18+'11. CRWA'!P18+'11. CRWA'!R18</f>
        <v>143615.26999999999</v>
      </c>
      <c r="E18" s="172">
        <v>0</v>
      </c>
      <c r="F18" s="171">
        <f>'11. CRWA'!S18</f>
        <v>143615.26999999999</v>
      </c>
      <c r="G18" s="176">
        <f t="shared" si="0"/>
        <v>143615.26999999999</v>
      </c>
      <c r="H18" s="185">
        <f t="shared" si="1"/>
        <v>0</v>
      </c>
    </row>
    <row r="19" spans="1:8">
      <c r="A19" s="53">
        <v>12</v>
      </c>
      <c r="B19" s="99" t="s">
        <v>69</v>
      </c>
      <c r="C19" s="171">
        <f>'11. CRWA'!C19+'11. CRWA'!E19+'11. CRWA'!G19+'11. CRWA'!I19+'11. CRWA'!K19+'11. CRWA'!M19+'11. CRWA'!O19+'11. CRWA'!Q19</f>
        <v>0</v>
      </c>
      <c r="D19" s="172">
        <f>'11. CRWA'!D19+'11. CRWA'!F19+'11. CRWA'!H19+'11. CRWA'!J19+'11. CRWA'!L19+'11. CRWA'!N19+'11. CRWA'!P19+'11. CRWA'!R19</f>
        <v>0</v>
      </c>
      <c r="E19" s="172">
        <v>0</v>
      </c>
      <c r="F19" s="171">
        <f>'11. CRWA'!S19</f>
        <v>0</v>
      </c>
      <c r="G19" s="176">
        <f t="shared" si="0"/>
        <v>0</v>
      </c>
      <c r="H19" s="185">
        <f t="shared" si="1"/>
        <v>0</v>
      </c>
    </row>
    <row r="20" spans="1:8">
      <c r="A20" s="53">
        <v>13</v>
      </c>
      <c r="B20" s="99" t="s">
        <v>70</v>
      </c>
      <c r="C20" s="171">
        <f>'11. CRWA'!C20+'11. CRWA'!E20+'11. CRWA'!G20+'11. CRWA'!I20+'11. CRWA'!K20+'11. CRWA'!M20+'11. CRWA'!O20+'11. CRWA'!Q20</f>
        <v>0</v>
      </c>
      <c r="D20" s="172">
        <f>'11. CRWA'!D20+'11. CRWA'!F20+'11. CRWA'!H20+'11. CRWA'!J20+'11. CRWA'!L20+'11. CRWA'!N20+'11. CRWA'!P20+'11. CRWA'!R20</f>
        <v>0</v>
      </c>
      <c r="E20" s="172">
        <v>0</v>
      </c>
      <c r="F20" s="171">
        <f>'11. CRWA'!S20</f>
        <v>0</v>
      </c>
      <c r="G20" s="176">
        <f t="shared" si="0"/>
        <v>0</v>
      </c>
      <c r="H20" s="185">
        <f t="shared" si="1"/>
        <v>0</v>
      </c>
    </row>
    <row r="21" spans="1:8">
      <c r="A21" s="53">
        <v>14</v>
      </c>
      <c r="B21" s="99" t="s">
        <v>143</v>
      </c>
      <c r="C21" s="171">
        <f>'11. CRWA'!C21+'11. CRWA'!E21+'11. CRWA'!G21+'11. CRWA'!I21+'11. CRWA'!K21+'11. CRWA'!M21+'11. CRWA'!O21+'11. CRWA'!Q21</f>
        <v>10130945.286800001</v>
      </c>
      <c r="D21" s="172">
        <f>'11. CRWA'!D21+'11. CRWA'!F21+'11. CRWA'!H21+'11. CRWA'!J21+'11. CRWA'!L21+'11. CRWA'!N21+'11. CRWA'!P21+'11. CRWA'!R21</f>
        <v>0</v>
      </c>
      <c r="E21" s="172">
        <v>0</v>
      </c>
      <c r="F21" s="171">
        <f>'11. CRWA'!S21</f>
        <v>8467485.5218000002</v>
      </c>
      <c r="G21" s="176">
        <f t="shared" si="0"/>
        <v>8467485.5218000002</v>
      </c>
      <c r="H21" s="185">
        <f t="shared" si="1"/>
        <v>0.83580409153256541</v>
      </c>
    </row>
    <row r="22" spans="1:8" ht="14.4" thickBot="1">
      <c r="A22" s="92"/>
      <c r="B22" s="98" t="s">
        <v>66</v>
      </c>
      <c r="C22" s="164">
        <f>SUM(C8:C21)</f>
        <v>64054142.33160001</v>
      </c>
      <c r="D22" s="164">
        <f>SUM(D8:D21)</f>
        <v>143615.26999999999</v>
      </c>
      <c r="E22" s="164">
        <f>SUM(E8:E21)</f>
        <v>0</v>
      </c>
      <c r="F22" s="164">
        <f>SUM(F8:F21)</f>
        <v>25668569.884879831</v>
      </c>
      <c r="G22" s="164">
        <f>SUM(G8:G21)</f>
        <v>25668569.884879831</v>
      </c>
      <c r="H22" s="186">
        <f>IFERROR(G22/(C22+E22),)</f>
        <v>0.4007323952914234</v>
      </c>
    </row>
    <row r="23" spans="1:8">
      <c r="C23" s="740">
        <f>C22+D22-SUM('11. CRWA'!C22:R22)</f>
        <v>0</v>
      </c>
      <c r="G23" s="740">
        <f>G22-'5. RWA'!C6</f>
        <v>0</v>
      </c>
    </row>
    <row r="24" spans="1:8">
      <c r="C24" s="777"/>
    </row>
    <row r="28" spans="1:8" ht="10.5" customHeight="1"/>
  </sheetData>
  <mergeCells count="5">
    <mergeCell ref="C6:C7"/>
    <mergeCell ref="F6:F7"/>
    <mergeCell ref="G6:G7"/>
    <mergeCell ref="H6:H7"/>
    <mergeCell ref="D6:E6"/>
  </mergeCell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2" tint="-9.9978637043366805E-2"/>
  </sheetPr>
  <dimension ref="A1:K28"/>
  <sheetViews>
    <sheetView zoomScale="80" zoomScaleNormal="80" workbookViewId="0">
      <pane xSplit="2" ySplit="6" topLeftCell="C7" activePane="bottomRight" state="frozen"/>
      <selection activeCell="B2" sqref="B2"/>
      <selection pane="topRight" activeCell="B2" sqref="B2"/>
      <selection pane="bottomLeft" activeCell="B2" sqref="B2"/>
      <selection pane="bottomRight"/>
    </sheetView>
  </sheetViews>
  <sheetFormatPr defaultColWidth="9.109375" defaultRowHeight="13.8"/>
  <cols>
    <col min="1" max="1" width="10.5546875" style="212" bestFit="1" customWidth="1"/>
    <col min="2" max="2" width="104.109375" style="212" customWidth="1"/>
    <col min="3" max="11" width="12.88671875" style="212" customWidth="1"/>
    <col min="12" max="16384" width="9.109375" style="212"/>
  </cols>
  <sheetData>
    <row r="1" spans="1:11">
      <c r="A1" s="212" t="s">
        <v>97</v>
      </c>
      <c r="B1" s="212" t="str">
        <f>Info!C2</f>
        <v>სს "ჰეშ ბანკი"</v>
      </c>
    </row>
    <row r="2" spans="1:11">
      <c r="A2" s="212" t="s">
        <v>98</v>
      </c>
      <c r="B2" s="709">
        <f>'1. key ratios'!B2</f>
        <v>46112</v>
      </c>
      <c r="C2" s="213"/>
      <c r="D2" s="213"/>
    </row>
    <row r="3" spans="1:11">
      <c r="B3" s="213"/>
      <c r="C3" s="213"/>
      <c r="D3" s="213"/>
    </row>
    <row r="4" spans="1:11" ht="14.4" thickBot="1">
      <c r="A4" s="212" t="s">
        <v>340</v>
      </c>
      <c r="B4" s="180" t="s">
        <v>339</v>
      </c>
      <c r="C4" s="213"/>
      <c r="D4" s="213"/>
    </row>
    <row r="5" spans="1:11" ht="30" customHeight="1">
      <c r="A5" s="910"/>
      <c r="B5" s="911"/>
      <c r="C5" s="908" t="s">
        <v>372</v>
      </c>
      <c r="D5" s="908"/>
      <c r="E5" s="908"/>
      <c r="F5" s="908" t="s">
        <v>373</v>
      </c>
      <c r="G5" s="908"/>
      <c r="H5" s="908"/>
      <c r="I5" s="908" t="s">
        <v>374</v>
      </c>
      <c r="J5" s="908"/>
      <c r="K5" s="909"/>
    </row>
    <row r="6" spans="1:11">
      <c r="A6" s="210"/>
      <c r="B6" s="211"/>
      <c r="C6" s="214" t="s">
        <v>26</v>
      </c>
      <c r="D6" s="214" t="s">
        <v>79</v>
      </c>
      <c r="E6" s="214" t="s">
        <v>66</v>
      </c>
      <c r="F6" s="214" t="s">
        <v>26</v>
      </c>
      <c r="G6" s="214" t="s">
        <v>79</v>
      </c>
      <c r="H6" s="214" t="s">
        <v>66</v>
      </c>
      <c r="I6" s="214" t="s">
        <v>26</v>
      </c>
      <c r="J6" s="214" t="s">
        <v>79</v>
      </c>
      <c r="K6" s="216" t="s">
        <v>66</v>
      </c>
    </row>
    <row r="7" spans="1:11">
      <c r="A7" s="217" t="s">
        <v>310</v>
      </c>
      <c r="B7" s="209"/>
      <c r="C7" s="209"/>
      <c r="D7" s="209"/>
      <c r="E7" s="209"/>
      <c r="F7" s="209"/>
      <c r="G7" s="209"/>
      <c r="H7" s="209"/>
      <c r="I7" s="209"/>
      <c r="J7" s="209"/>
      <c r="K7" s="218"/>
    </row>
    <row r="8" spans="1:11">
      <c r="A8" s="208">
        <v>1</v>
      </c>
      <c r="B8" s="193" t="s">
        <v>310</v>
      </c>
      <c r="C8" s="802"/>
      <c r="D8" s="802"/>
      <c r="E8" s="802"/>
      <c r="F8" s="803">
        <v>5271347.8478888879</v>
      </c>
      <c r="G8" s="803">
        <v>4161913.6318646674</v>
      </c>
      <c r="H8" s="803">
        <v>9433261.4797535557</v>
      </c>
      <c r="I8" s="803">
        <v>790207.84755555552</v>
      </c>
      <c r="J8" s="803">
        <v>1835088.7241318445</v>
      </c>
      <c r="K8" s="815">
        <v>2625296.5716873989</v>
      </c>
    </row>
    <row r="9" spans="1:11">
      <c r="A9" s="217" t="s">
        <v>311</v>
      </c>
      <c r="B9" s="209"/>
      <c r="C9" s="804"/>
      <c r="D9" s="804"/>
      <c r="E9" s="804"/>
      <c r="F9" s="804"/>
      <c r="G9" s="804"/>
      <c r="H9" s="804"/>
      <c r="I9" s="804"/>
      <c r="J9" s="804"/>
      <c r="K9" s="816"/>
    </row>
    <row r="10" spans="1:11">
      <c r="A10" s="219">
        <v>2</v>
      </c>
      <c r="B10" s="194" t="s">
        <v>312</v>
      </c>
      <c r="C10" s="337">
        <v>558458.92166666675</v>
      </c>
      <c r="D10" s="805">
        <v>1239734.8091600002</v>
      </c>
      <c r="E10" s="805">
        <v>1798193.7308266673</v>
      </c>
      <c r="F10" s="805">
        <v>153650.22190555555</v>
      </c>
      <c r="G10" s="805">
        <v>872375.28911270585</v>
      </c>
      <c r="H10" s="805">
        <v>1026025.5110182613</v>
      </c>
      <c r="I10" s="805">
        <v>25016.47599444443</v>
      </c>
      <c r="J10" s="805">
        <v>111522.62936777782</v>
      </c>
      <c r="K10" s="817">
        <v>136539.10536222227</v>
      </c>
    </row>
    <row r="11" spans="1:11">
      <c r="A11" s="219">
        <v>3</v>
      </c>
      <c r="B11" s="194" t="s">
        <v>313</v>
      </c>
      <c r="C11" s="337">
        <v>438312.63371777756</v>
      </c>
      <c r="D11" s="805">
        <v>2092809.7346988891</v>
      </c>
      <c r="E11" s="805">
        <v>2531122.3684166656</v>
      </c>
      <c r="F11" s="805">
        <v>264764.45779888891</v>
      </c>
      <c r="G11" s="805">
        <v>1307742.2430050268</v>
      </c>
      <c r="H11" s="805">
        <v>1572506.7008039169</v>
      </c>
      <c r="I11" s="805">
        <v>137236.11227050002</v>
      </c>
      <c r="J11" s="805">
        <v>675374.49579938862</v>
      </c>
      <c r="K11" s="817">
        <v>812610.6080698889</v>
      </c>
    </row>
    <row r="12" spans="1:11">
      <c r="A12" s="219">
        <v>4</v>
      </c>
      <c r="B12" s="194" t="s">
        <v>314</v>
      </c>
      <c r="C12" s="337">
        <v>0</v>
      </c>
      <c r="D12" s="805">
        <v>0</v>
      </c>
      <c r="E12" s="805">
        <v>0</v>
      </c>
      <c r="F12" s="805">
        <v>0</v>
      </c>
      <c r="G12" s="805">
        <v>0</v>
      </c>
      <c r="H12" s="805">
        <v>0</v>
      </c>
      <c r="I12" s="805">
        <v>0</v>
      </c>
      <c r="J12" s="805">
        <v>0</v>
      </c>
      <c r="K12" s="817">
        <v>0</v>
      </c>
    </row>
    <row r="13" spans="1:11">
      <c r="A13" s="219">
        <v>5</v>
      </c>
      <c r="B13" s="194" t="s">
        <v>315</v>
      </c>
      <c r="C13" s="337">
        <v>5.94</v>
      </c>
      <c r="D13" s="805">
        <v>0</v>
      </c>
      <c r="E13" s="805">
        <v>5.94</v>
      </c>
      <c r="F13" s="805">
        <v>5.94</v>
      </c>
      <c r="G13" s="805">
        <v>0</v>
      </c>
      <c r="H13" s="805">
        <v>5.94</v>
      </c>
      <c r="I13" s="805">
        <v>5.94</v>
      </c>
      <c r="J13" s="805">
        <v>0</v>
      </c>
      <c r="K13" s="817">
        <v>5.94</v>
      </c>
    </row>
    <row r="14" spans="1:11">
      <c r="A14" s="219">
        <v>6</v>
      </c>
      <c r="B14" s="194" t="s">
        <v>330</v>
      </c>
      <c r="C14" s="337">
        <v>0</v>
      </c>
      <c r="D14" s="805">
        <v>0</v>
      </c>
      <c r="E14" s="805">
        <v>0</v>
      </c>
      <c r="F14" s="805">
        <v>0</v>
      </c>
      <c r="G14" s="805">
        <v>0</v>
      </c>
      <c r="H14" s="805">
        <v>0</v>
      </c>
      <c r="I14" s="805">
        <v>0</v>
      </c>
      <c r="J14" s="805">
        <v>0</v>
      </c>
      <c r="K14" s="817">
        <v>0</v>
      </c>
    </row>
    <row r="15" spans="1:11">
      <c r="A15" s="219">
        <v>7</v>
      </c>
      <c r="B15" s="194" t="s">
        <v>317</v>
      </c>
      <c r="C15" s="337">
        <v>647155.47922222188</v>
      </c>
      <c r="D15" s="805">
        <v>2740965.8608465889</v>
      </c>
      <c r="E15" s="805">
        <v>3388121.3400688139</v>
      </c>
      <c r="F15" s="805">
        <v>169198.66244444446</v>
      </c>
      <c r="G15" s="805">
        <v>327841.034468</v>
      </c>
      <c r="H15" s="805">
        <v>497039.69691244431</v>
      </c>
      <c r="I15" s="805">
        <v>169198.66244444446</v>
      </c>
      <c r="J15" s="805">
        <v>327841.034468</v>
      </c>
      <c r="K15" s="817">
        <v>497039.69691244431</v>
      </c>
    </row>
    <row r="16" spans="1:11">
      <c r="A16" s="219">
        <v>8</v>
      </c>
      <c r="B16" s="195" t="s">
        <v>318</v>
      </c>
      <c r="C16" s="337">
        <v>1643932.9746066662</v>
      </c>
      <c r="D16" s="805">
        <v>6073510.4047054779</v>
      </c>
      <c r="E16" s="805">
        <v>7717443.3793121465</v>
      </c>
      <c r="F16" s="805">
        <v>587619.28214888892</v>
      </c>
      <c r="G16" s="805">
        <v>2507958.5665857326</v>
      </c>
      <c r="H16" s="805">
        <v>3095577.8487346224</v>
      </c>
      <c r="I16" s="805">
        <v>331457.19070938893</v>
      </c>
      <c r="J16" s="805">
        <v>1114738.1596351664</v>
      </c>
      <c r="K16" s="817">
        <v>1446195.3503445555</v>
      </c>
    </row>
    <row r="17" spans="1:11">
      <c r="A17" s="217" t="s">
        <v>319</v>
      </c>
      <c r="B17" s="209"/>
      <c r="C17" s="804"/>
      <c r="D17" s="804"/>
      <c r="E17" s="804"/>
      <c r="F17" s="804"/>
      <c r="G17" s="804"/>
      <c r="H17" s="804"/>
      <c r="I17" s="804"/>
      <c r="J17" s="804"/>
      <c r="K17" s="816"/>
    </row>
    <row r="18" spans="1:11">
      <c r="A18" s="219">
        <v>9</v>
      </c>
      <c r="B18" s="194" t="s">
        <v>320</v>
      </c>
      <c r="C18" s="337">
        <v>0</v>
      </c>
      <c r="D18" s="805">
        <v>0</v>
      </c>
      <c r="E18" s="805">
        <v>0</v>
      </c>
      <c r="F18" s="805">
        <v>0</v>
      </c>
      <c r="G18" s="805">
        <v>0</v>
      </c>
      <c r="H18" s="805">
        <v>0</v>
      </c>
      <c r="I18" s="805">
        <v>0</v>
      </c>
      <c r="J18" s="805">
        <v>0</v>
      </c>
      <c r="K18" s="817">
        <v>0</v>
      </c>
    </row>
    <row r="19" spans="1:11">
      <c r="A19" s="219">
        <v>10</v>
      </c>
      <c r="B19" s="194" t="s">
        <v>321</v>
      </c>
      <c r="C19" s="337">
        <v>48648297.726485774</v>
      </c>
      <c r="D19" s="805">
        <v>4004732.765394445</v>
      </c>
      <c r="E19" s="805">
        <v>52653030.491880193</v>
      </c>
      <c r="F19" s="805">
        <v>11165.260350766659</v>
      </c>
      <c r="G19" s="805">
        <v>0</v>
      </c>
      <c r="H19" s="805">
        <v>11165.260350766659</v>
      </c>
      <c r="I19" s="805">
        <v>4407651.4060174329</v>
      </c>
      <c r="J19" s="805">
        <v>2598256.4470377779</v>
      </c>
      <c r="K19" s="817">
        <v>7005907.8530552136</v>
      </c>
    </row>
    <row r="20" spans="1:11">
      <c r="A20" s="219">
        <v>11</v>
      </c>
      <c r="B20" s="194" t="s">
        <v>322</v>
      </c>
      <c r="C20" s="337">
        <v>1035584.7006666665</v>
      </c>
      <c r="D20" s="805">
        <v>400802.8986886667</v>
      </c>
      <c r="E20" s="805">
        <v>1436387.5993553335</v>
      </c>
      <c r="F20" s="805">
        <v>0</v>
      </c>
      <c r="G20" s="805">
        <v>0</v>
      </c>
      <c r="H20" s="805">
        <v>0</v>
      </c>
      <c r="I20" s="805">
        <v>0</v>
      </c>
      <c r="J20" s="805">
        <v>0</v>
      </c>
      <c r="K20" s="817">
        <v>0</v>
      </c>
    </row>
    <row r="21" spans="1:11" ht="14.4" thickBot="1">
      <c r="A21" s="133">
        <v>12</v>
      </c>
      <c r="B21" s="220" t="s">
        <v>323</v>
      </c>
      <c r="C21" s="806">
        <v>49683882.42715244</v>
      </c>
      <c r="D21" s="807">
        <v>4405535.664083112</v>
      </c>
      <c r="E21" s="806">
        <v>54089418.091235526</v>
      </c>
      <c r="F21" s="807">
        <v>11165.260350766659</v>
      </c>
      <c r="G21" s="807">
        <v>0</v>
      </c>
      <c r="H21" s="807">
        <v>11165.260350766659</v>
      </c>
      <c r="I21" s="807">
        <v>4407651.4060174329</v>
      </c>
      <c r="J21" s="807">
        <v>2598256.4470377779</v>
      </c>
      <c r="K21" s="818">
        <v>7005907.8530552136</v>
      </c>
    </row>
    <row r="22" spans="1:11" ht="38.25" customHeight="1" thickBot="1">
      <c r="A22" s="206"/>
      <c r="B22" s="207"/>
      <c r="C22" s="207"/>
      <c r="D22" s="207"/>
      <c r="E22" s="207"/>
      <c r="F22" s="907" t="s">
        <v>324</v>
      </c>
      <c r="G22" s="908"/>
      <c r="H22" s="908"/>
      <c r="I22" s="907" t="s">
        <v>325</v>
      </c>
      <c r="J22" s="908"/>
      <c r="K22" s="909"/>
    </row>
    <row r="23" spans="1:11">
      <c r="A23" s="199">
        <v>13</v>
      </c>
      <c r="B23" s="196" t="s">
        <v>310</v>
      </c>
      <c r="C23" s="205"/>
      <c r="D23" s="205"/>
      <c r="E23" s="205"/>
      <c r="F23" s="808">
        <f t="shared" ref="F23:H23" si="0">F8</f>
        <v>5271347.8478888879</v>
      </c>
      <c r="G23" s="808">
        <f t="shared" si="0"/>
        <v>4161913.6318646674</v>
      </c>
      <c r="H23" s="808">
        <f t="shared" si="0"/>
        <v>9433261.4797535557</v>
      </c>
      <c r="I23" s="808">
        <f t="shared" ref="I23:K23" si="1">I8</f>
        <v>790207.84755555552</v>
      </c>
      <c r="J23" s="808">
        <f t="shared" si="1"/>
        <v>1835088.7241318445</v>
      </c>
      <c r="K23" s="820">
        <f t="shared" si="1"/>
        <v>2625296.5716873989</v>
      </c>
    </row>
    <row r="24" spans="1:11" ht="14.4" thickBot="1">
      <c r="A24" s="200">
        <v>14</v>
      </c>
      <c r="B24" s="197" t="s">
        <v>326</v>
      </c>
      <c r="C24" s="221"/>
      <c r="D24" s="203"/>
      <c r="E24" s="204"/>
      <c r="F24" s="809">
        <f>MAX(F16-F21,F16*0.25)</f>
        <v>576454.02179812221</v>
      </c>
      <c r="G24" s="809">
        <f t="shared" ref="G24:H24" si="2">MAX(G16-G21,G16*0.25)</f>
        <v>2507958.5665857326</v>
      </c>
      <c r="H24" s="809">
        <f t="shared" si="2"/>
        <v>3084412.5883838558</v>
      </c>
      <c r="I24" s="809">
        <f>MAX(I16-I21,I16*0.25)</f>
        <v>82864.297677347233</v>
      </c>
      <c r="J24" s="809">
        <f t="shared" ref="J24:K24" si="3">MAX(J16-J21,J16*0.25)</f>
        <v>278684.5399087916</v>
      </c>
      <c r="K24" s="821">
        <f t="shared" si="3"/>
        <v>361548.83758613886</v>
      </c>
    </row>
    <row r="25" spans="1:11" ht="14.4" thickBot="1">
      <c r="A25" s="201">
        <v>15</v>
      </c>
      <c r="B25" s="198" t="s">
        <v>327</v>
      </c>
      <c r="C25" s="202"/>
      <c r="D25" s="202"/>
      <c r="E25" s="202"/>
      <c r="F25" s="810">
        <f t="shared" ref="F25:K25" si="4">F23/F24</f>
        <v>9.1444376282536322</v>
      </c>
      <c r="G25" s="810">
        <f t="shared" si="4"/>
        <v>1.6594826116009502</v>
      </c>
      <c r="H25" s="810">
        <f t="shared" si="4"/>
        <v>3.0583656399536081</v>
      </c>
      <c r="I25" s="810">
        <f t="shared" si="4"/>
        <v>9.5361678033213586</v>
      </c>
      <c r="J25" s="810">
        <f t="shared" si="4"/>
        <v>6.5848242774157324</v>
      </c>
      <c r="K25" s="819">
        <f t="shared" si="4"/>
        <v>7.261250206791007</v>
      </c>
    </row>
    <row r="28" spans="1:11" ht="41.4">
      <c r="B28" s="23" t="s">
        <v>371</v>
      </c>
    </row>
  </sheetData>
  <mergeCells count="6">
    <mergeCell ref="F22:H22"/>
    <mergeCell ref="I22:K22"/>
    <mergeCell ref="A5:B5"/>
    <mergeCell ref="C5:E5"/>
    <mergeCell ref="F5:H5"/>
    <mergeCell ref="I5:K5"/>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2" tint="-9.9978637043366805E-2"/>
  </sheetPr>
  <dimension ref="A1:Q34"/>
  <sheetViews>
    <sheetView zoomScale="70" zoomScaleNormal="70" workbookViewId="0">
      <pane xSplit="1" ySplit="1" topLeftCell="B2" activePane="bottomRight" state="frozen"/>
      <selection activeCell="B2" sqref="B2"/>
      <selection pane="topRight" activeCell="B2" sqref="B2"/>
      <selection pane="bottomLeft" activeCell="B2" sqref="B2"/>
      <selection pane="bottomRight" activeCell="B1" sqref="B1"/>
    </sheetView>
  </sheetViews>
  <sheetFormatPr defaultColWidth="9.109375" defaultRowHeight="13.8"/>
  <cols>
    <col min="1" max="1" width="10.5546875" style="38" bestFit="1" customWidth="1"/>
    <col min="2" max="2" width="95" style="38" customWidth="1"/>
    <col min="3" max="9" width="15" style="38" customWidth="1"/>
    <col min="10" max="14" width="18.5546875" style="38" customWidth="1"/>
    <col min="15" max="17" width="18.5546875" style="12" customWidth="1"/>
    <col min="18" max="16384" width="9.109375" style="12"/>
  </cols>
  <sheetData>
    <row r="1" spans="1:17">
      <c r="A1" s="688" t="s">
        <v>97</v>
      </c>
      <c r="B1" s="709" t="str">
        <f>'1. key ratios'!B1</f>
        <v>სს "ჰეშ ბანკი"</v>
      </c>
    </row>
    <row r="2" spans="1:17">
      <c r="A2" s="38" t="s">
        <v>98</v>
      </c>
      <c r="B2" s="709">
        <f>'1. key ratios'!B2</f>
        <v>46112</v>
      </c>
    </row>
    <row r="3" spans="1:17">
      <c r="B3" s="12"/>
      <c r="C3" s="12"/>
      <c r="D3" s="12"/>
      <c r="E3" s="12"/>
      <c r="F3" s="12"/>
      <c r="G3" s="12"/>
      <c r="H3" s="12"/>
      <c r="I3" s="12"/>
      <c r="J3" s="12"/>
      <c r="K3" s="12"/>
      <c r="L3" s="12"/>
      <c r="M3" s="12"/>
      <c r="N3" s="12"/>
    </row>
    <row r="4" spans="1:17" ht="14.4">
      <c r="B4" s="689" t="s">
        <v>980</v>
      </c>
      <c r="C4" s="12"/>
      <c r="D4" s="12"/>
      <c r="E4" s="12"/>
      <c r="F4" s="12"/>
      <c r="G4" s="12"/>
      <c r="H4" s="12"/>
      <c r="I4" s="12"/>
      <c r="J4" s="12"/>
      <c r="K4" s="12"/>
      <c r="L4" s="12"/>
      <c r="M4" s="12"/>
      <c r="N4" s="12"/>
    </row>
    <row r="5" spans="1:17" ht="86.4">
      <c r="B5" s="690" t="s">
        <v>981</v>
      </c>
      <c r="C5" s="691" t="s">
        <v>982</v>
      </c>
      <c r="D5" s="691" t="s">
        <v>983</v>
      </c>
      <c r="E5" s="691" t="s">
        <v>984</v>
      </c>
      <c r="F5" s="691" t="s">
        <v>985</v>
      </c>
      <c r="G5" s="691" t="s">
        <v>986</v>
      </c>
      <c r="H5" s="691" t="s">
        <v>987</v>
      </c>
      <c r="I5" s="692" t="s">
        <v>988</v>
      </c>
      <c r="J5" s="693">
        <v>0.02</v>
      </c>
      <c r="K5" s="693">
        <v>0.2</v>
      </c>
      <c r="L5" s="693">
        <v>0.35</v>
      </c>
      <c r="M5" s="693">
        <v>0.5</v>
      </c>
      <c r="N5" s="693">
        <v>0.75</v>
      </c>
      <c r="O5" s="693">
        <v>1</v>
      </c>
      <c r="P5" s="693">
        <v>1.5</v>
      </c>
      <c r="Q5" s="694" t="s">
        <v>73</v>
      </c>
    </row>
    <row r="6" spans="1:17" ht="14.4">
      <c r="B6" s="695"/>
      <c r="C6" s="660" t="b">
        <f>IF(C7&gt;0,C7,IF(C8&gt;0,C8,IF(C9&gt;0,C9)))</f>
        <v>0</v>
      </c>
      <c r="D6" s="660" t="b">
        <f t="shared" ref="D6:Q6" si="0">IF(D7&gt;0,D7,IF(D8&gt;0,D8,IF(D9&gt;0,D9)))</f>
        <v>0</v>
      </c>
      <c r="E6" s="660" t="b">
        <f t="shared" si="0"/>
        <v>0</v>
      </c>
      <c r="F6" s="660" t="b">
        <f t="shared" si="0"/>
        <v>0</v>
      </c>
      <c r="G6" s="660" t="b">
        <f t="shared" si="0"/>
        <v>0</v>
      </c>
      <c r="H6" s="660"/>
      <c r="I6" s="660" t="b">
        <f t="shared" si="0"/>
        <v>0</v>
      </c>
      <c r="J6" s="660" t="b">
        <f t="shared" si="0"/>
        <v>0</v>
      </c>
      <c r="K6" s="660" t="b">
        <f t="shared" si="0"/>
        <v>0</v>
      </c>
      <c r="L6" s="660" t="b">
        <f t="shared" si="0"/>
        <v>0</v>
      </c>
      <c r="M6" s="660" t="b">
        <f t="shared" si="0"/>
        <v>0</v>
      </c>
      <c r="N6" s="660" t="b">
        <f t="shared" si="0"/>
        <v>0</v>
      </c>
      <c r="O6" s="660" t="b">
        <f t="shared" si="0"/>
        <v>0</v>
      </c>
      <c r="P6" s="660" t="b">
        <f t="shared" si="0"/>
        <v>0</v>
      </c>
      <c r="Q6" s="660" t="b">
        <f t="shared" si="0"/>
        <v>0</v>
      </c>
    </row>
    <row r="7" spans="1:17" ht="14.4">
      <c r="B7" s="696" t="s">
        <v>976</v>
      </c>
      <c r="C7" s="660">
        <f>C11+C15+C19+C23+C27+C31</f>
        <v>0</v>
      </c>
      <c r="D7" s="660"/>
      <c r="E7" s="660"/>
      <c r="F7" s="660">
        <f t="shared" ref="F7:G9" si="1">F11+F15+F19+F23+F27+F31</f>
        <v>0</v>
      </c>
      <c r="G7" s="660">
        <f t="shared" si="1"/>
        <v>0</v>
      </c>
      <c r="H7" s="697">
        <v>1.4</v>
      </c>
      <c r="I7" s="698">
        <f t="shared" ref="I7:I33" si="2">(F7+G7)*H7</f>
        <v>0</v>
      </c>
      <c r="J7" s="660">
        <f>J11+J15+J19+J23+J27+J31</f>
        <v>0</v>
      </c>
      <c r="K7" s="660">
        <f t="shared" ref="J7:Q9" si="3">K11+K15+K19+K23+K27+K31</f>
        <v>0</v>
      </c>
      <c r="L7" s="660">
        <f t="shared" si="3"/>
        <v>0</v>
      </c>
      <c r="M7" s="660">
        <f t="shared" si="3"/>
        <v>0</v>
      </c>
      <c r="N7" s="660">
        <f t="shared" si="3"/>
        <v>0</v>
      </c>
      <c r="O7" s="660">
        <f t="shared" si="3"/>
        <v>0</v>
      </c>
      <c r="P7" s="660">
        <f t="shared" si="3"/>
        <v>0</v>
      </c>
      <c r="Q7" s="660">
        <f>Q11+Q15+Q19+Q23+Q27+Q31</f>
        <v>0</v>
      </c>
    </row>
    <row r="8" spans="1:17" ht="14.4">
      <c r="B8" s="696" t="s">
        <v>977</v>
      </c>
      <c r="C8" s="660">
        <f>C12+C16+C20+C24+C28+C32</f>
        <v>0</v>
      </c>
      <c r="D8" s="660"/>
      <c r="E8" s="660"/>
      <c r="F8" s="660">
        <f t="shared" si="1"/>
        <v>0</v>
      </c>
      <c r="G8" s="660">
        <f t="shared" si="1"/>
        <v>0</v>
      </c>
      <c r="H8" s="697">
        <v>1.4</v>
      </c>
      <c r="I8" s="698">
        <f t="shared" si="2"/>
        <v>0</v>
      </c>
      <c r="J8" s="660">
        <f t="shared" si="3"/>
        <v>0</v>
      </c>
      <c r="K8" s="660">
        <f t="shared" si="3"/>
        <v>0</v>
      </c>
      <c r="L8" s="660">
        <f t="shared" si="3"/>
        <v>0</v>
      </c>
      <c r="M8" s="660">
        <f t="shared" si="3"/>
        <v>0</v>
      </c>
      <c r="N8" s="660">
        <f t="shared" si="3"/>
        <v>0</v>
      </c>
      <c r="O8" s="660">
        <f t="shared" si="3"/>
        <v>0</v>
      </c>
      <c r="P8" s="660">
        <f t="shared" si="3"/>
        <v>0</v>
      </c>
      <c r="Q8" s="660">
        <f>Q12+Q16+Q20+Q24+Q28+Q32</f>
        <v>0</v>
      </c>
    </row>
    <row r="9" spans="1:17" ht="14.4">
      <c r="B9" s="696" t="s">
        <v>978</v>
      </c>
      <c r="C9" s="660">
        <f>C13+C17+C21+C25+C29+C33</f>
        <v>0</v>
      </c>
      <c r="D9" s="660"/>
      <c r="E9" s="660"/>
      <c r="F9" s="660">
        <f t="shared" si="1"/>
        <v>0</v>
      </c>
      <c r="G9" s="660">
        <f t="shared" si="1"/>
        <v>0</v>
      </c>
      <c r="H9" s="697">
        <v>1.4</v>
      </c>
      <c r="I9" s="698">
        <f t="shared" si="2"/>
        <v>0</v>
      </c>
      <c r="J9" s="660">
        <f t="shared" si="3"/>
        <v>0</v>
      </c>
      <c r="K9" s="660">
        <f t="shared" si="3"/>
        <v>0</v>
      </c>
      <c r="L9" s="660">
        <f t="shared" si="3"/>
        <v>0</v>
      </c>
      <c r="M9" s="660">
        <f t="shared" si="3"/>
        <v>0</v>
      </c>
      <c r="N9" s="660">
        <f t="shared" si="3"/>
        <v>0</v>
      </c>
      <c r="O9" s="660">
        <f t="shared" si="3"/>
        <v>0</v>
      </c>
      <c r="P9" s="660">
        <f t="shared" si="3"/>
        <v>0</v>
      </c>
      <c r="Q9" s="660">
        <f t="shared" si="3"/>
        <v>0</v>
      </c>
    </row>
    <row r="10" spans="1:17" ht="14.4">
      <c r="B10" s="699" t="s">
        <v>989</v>
      </c>
      <c r="C10" s="700"/>
      <c r="D10" s="700"/>
      <c r="E10" s="700"/>
      <c r="F10" s="700"/>
      <c r="G10" s="700"/>
      <c r="H10" s="697">
        <v>1.4</v>
      </c>
      <c r="I10" s="698">
        <f t="shared" si="2"/>
        <v>0</v>
      </c>
      <c r="J10" s="701"/>
      <c r="K10" s="701"/>
      <c r="L10" s="701"/>
      <c r="M10" s="701"/>
      <c r="N10" s="701"/>
      <c r="O10" s="701"/>
      <c r="P10" s="701"/>
      <c r="Q10" s="660">
        <f>SUM(Q11:Q13)</f>
        <v>0</v>
      </c>
    </row>
    <row r="11" spans="1:17" ht="14.4">
      <c r="B11" s="702" t="s">
        <v>976</v>
      </c>
      <c r="C11" s="700"/>
      <c r="D11" s="700"/>
      <c r="E11" s="700"/>
      <c r="F11" s="700"/>
      <c r="G11" s="700"/>
      <c r="H11" s="697">
        <v>1.4</v>
      </c>
      <c r="I11" s="698">
        <f t="shared" si="2"/>
        <v>0</v>
      </c>
      <c r="J11" s="701"/>
      <c r="K11" s="701"/>
      <c r="L11" s="701"/>
      <c r="M11" s="701"/>
      <c r="N11" s="701"/>
      <c r="O11" s="701"/>
      <c r="P11" s="701"/>
      <c r="Q11" s="660">
        <f>SUMPRODUCT($J$5:$P$5,J11:P11)</f>
        <v>0</v>
      </c>
    </row>
    <row r="12" spans="1:17" ht="14.4">
      <c r="B12" s="702" t="s">
        <v>977</v>
      </c>
      <c r="C12" s="700"/>
      <c r="D12" s="700"/>
      <c r="E12" s="700"/>
      <c r="F12" s="700"/>
      <c r="G12" s="700"/>
      <c r="H12" s="697">
        <v>1.4</v>
      </c>
      <c r="I12" s="698">
        <f t="shared" si="2"/>
        <v>0</v>
      </c>
      <c r="J12" s="701"/>
      <c r="K12" s="701"/>
      <c r="L12" s="701"/>
      <c r="M12" s="701"/>
      <c r="N12" s="701"/>
      <c r="O12" s="701"/>
      <c r="P12" s="701"/>
      <c r="Q12" s="660">
        <f t="shared" ref="Q12:Q13" si="4">SUMPRODUCT($J$5:$P$5,J12:P12)</f>
        <v>0</v>
      </c>
    </row>
    <row r="13" spans="1:17" ht="14.4">
      <c r="B13" s="702" t="s">
        <v>978</v>
      </c>
      <c r="C13" s="700"/>
      <c r="D13" s="700"/>
      <c r="E13" s="700"/>
      <c r="F13" s="700"/>
      <c r="G13" s="700"/>
      <c r="H13" s="697">
        <v>1.4</v>
      </c>
      <c r="I13" s="698">
        <f t="shared" si="2"/>
        <v>0</v>
      </c>
      <c r="J13" s="701"/>
      <c r="K13" s="701"/>
      <c r="L13" s="701"/>
      <c r="M13" s="701"/>
      <c r="N13" s="701"/>
      <c r="O13" s="701"/>
      <c r="P13" s="701"/>
      <c r="Q13" s="660">
        <f t="shared" si="4"/>
        <v>0</v>
      </c>
    </row>
    <row r="14" spans="1:17" ht="14.4">
      <c r="B14" s="699" t="s">
        <v>990</v>
      </c>
      <c r="C14" s="700"/>
      <c r="D14" s="700"/>
      <c r="E14" s="700"/>
      <c r="F14" s="700"/>
      <c r="G14" s="700"/>
      <c r="H14" s="697">
        <v>1.4</v>
      </c>
      <c r="I14" s="698">
        <f t="shared" si="2"/>
        <v>0</v>
      </c>
      <c r="J14" s="701"/>
      <c r="K14" s="701"/>
      <c r="L14" s="701"/>
      <c r="M14" s="701"/>
      <c r="N14" s="701"/>
      <c r="O14" s="701"/>
      <c r="P14" s="701"/>
      <c r="Q14" s="660">
        <f>SUM(Q15:Q17)</f>
        <v>0</v>
      </c>
    </row>
    <row r="15" spans="1:17" ht="14.4">
      <c r="B15" s="702" t="s">
        <v>976</v>
      </c>
      <c r="C15" s="700"/>
      <c r="D15" s="700"/>
      <c r="E15" s="700"/>
      <c r="F15" s="700"/>
      <c r="G15" s="700"/>
      <c r="H15" s="697">
        <v>1.4</v>
      </c>
      <c r="I15" s="698">
        <f t="shared" si="2"/>
        <v>0</v>
      </c>
      <c r="J15" s="701"/>
      <c r="K15" s="701"/>
      <c r="L15" s="701"/>
      <c r="M15" s="701"/>
      <c r="N15" s="701"/>
      <c r="O15" s="701"/>
      <c r="P15" s="701"/>
      <c r="Q15" s="660">
        <f>SUMPRODUCT($J$5:$P$5,J15:P15)</f>
        <v>0</v>
      </c>
    </row>
    <row r="16" spans="1:17" ht="14.4">
      <c r="B16" s="702" t="s">
        <v>977</v>
      </c>
      <c r="C16" s="700"/>
      <c r="D16" s="700"/>
      <c r="E16" s="700"/>
      <c r="F16" s="700"/>
      <c r="G16" s="700"/>
      <c r="H16" s="697">
        <v>1.4</v>
      </c>
      <c r="I16" s="698">
        <f t="shared" si="2"/>
        <v>0</v>
      </c>
      <c r="J16" s="701"/>
      <c r="K16" s="701"/>
      <c r="L16" s="701"/>
      <c r="M16" s="701"/>
      <c r="N16" s="701"/>
      <c r="O16" s="701"/>
      <c r="P16" s="701"/>
      <c r="Q16" s="660">
        <f t="shared" ref="Q16:Q17" si="5">SUMPRODUCT($J$5:$P$5,J16:P16)</f>
        <v>0</v>
      </c>
    </row>
    <row r="17" spans="2:17" ht="14.4">
      <c r="B17" s="702" t="s">
        <v>978</v>
      </c>
      <c r="C17" s="700"/>
      <c r="D17" s="700"/>
      <c r="E17" s="700"/>
      <c r="F17" s="700"/>
      <c r="G17" s="700"/>
      <c r="H17" s="697">
        <v>1.4</v>
      </c>
      <c r="I17" s="698">
        <f t="shared" si="2"/>
        <v>0</v>
      </c>
      <c r="J17" s="701"/>
      <c r="K17" s="701"/>
      <c r="L17" s="701"/>
      <c r="M17" s="701"/>
      <c r="N17" s="701"/>
      <c r="O17" s="701"/>
      <c r="P17" s="701"/>
      <c r="Q17" s="660">
        <f t="shared" si="5"/>
        <v>0</v>
      </c>
    </row>
    <row r="18" spans="2:17" ht="14.4">
      <c r="B18" s="699" t="s">
        <v>991</v>
      </c>
      <c r="C18" s="700"/>
      <c r="D18" s="700"/>
      <c r="E18" s="700"/>
      <c r="F18" s="700"/>
      <c r="G18" s="700"/>
      <c r="H18" s="697">
        <v>1.4</v>
      </c>
      <c r="I18" s="698">
        <f t="shared" si="2"/>
        <v>0</v>
      </c>
      <c r="J18" s="701"/>
      <c r="K18" s="701"/>
      <c r="L18" s="701"/>
      <c r="M18" s="701"/>
      <c r="N18" s="701"/>
      <c r="O18" s="701"/>
      <c r="P18" s="701"/>
      <c r="Q18" s="660">
        <f>SUM(Q19:Q21)</f>
        <v>0</v>
      </c>
    </row>
    <row r="19" spans="2:17" ht="14.4">
      <c r="B19" s="702" t="s">
        <v>976</v>
      </c>
      <c r="C19" s="700"/>
      <c r="D19" s="700"/>
      <c r="E19" s="700"/>
      <c r="F19" s="700"/>
      <c r="G19" s="700"/>
      <c r="H19" s="697">
        <v>1.4</v>
      </c>
      <c r="I19" s="698">
        <f t="shared" si="2"/>
        <v>0</v>
      </c>
      <c r="J19" s="701"/>
      <c r="K19" s="701"/>
      <c r="L19" s="701"/>
      <c r="M19" s="701"/>
      <c r="N19" s="701"/>
      <c r="O19" s="701"/>
      <c r="P19" s="701"/>
      <c r="Q19" s="660">
        <f>SUMPRODUCT($J$5:$P$5,J19:P19)</f>
        <v>0</v>
      </c>
    </row>
    <row r="20" spans="2:17" ht="14.4">
      <c r="B20" s="702" t="s">
        <v>977</v>
      </c>
      <c r="C20" s="700"/>
      <c r="D20" s="700"/>
      <c r="E20" s="700"/>
      <c r="F20" s="700"/>
      <c r="G20" s="700"/>
      <c r="H20" s="697">
        <v>1.4</v>
      </c>
      <c r="I20" s="698">
        <f t="shared" si="2"/>
        <v>0</v>
      </c>
      <c r="J20" s="701"/>
      <c r="K20" s="701"/>
      <c r="L20" s="701"/>
      <c r="M20" s="701"/>
      <c r="N20" s="701"/>
      <c r="O20" s="701"/>
      <c r="P20" s="701"/>
      <c r="Q20" s="660">
        <f t="shared" ref="Q20:Q21" si="6">SUMPRODUCT($J$5:$P$5,J20:P20)</f>
        <v>0</v>
      </c>
    </row>
    <row r="21" spans="2:17" ht="14.4">
      <c r="B21" s="702" t="s">
        <v>978</v>
      </c>
      <c r="C21" s="700"/>
      <c r="D21" s="700"/>
      <c r="E21" s="700"/>
      <c r="F21" s="700"/>
      <c r="G21" s="700"/>
      <c r="H21" s="697">
        <v>1.4</v>
      </c>
      <c r="I21" s="698">
        <f t="shared" si="2"/>
        <v>0</v>
      </c>
      <c r="J21" s="701"/>
      <c r="K21" s="701"/>
      <c r="L21" s="701"/>
      <c r="M21" s="701"/>
      <c r="N21" s="701"/>
      <c r="O21" s="701"/>
      <c r="P21" s="701"/>
      <c r="Q21" s="660">
        <f t="shared" si="6"/>
        <v>0</v>
      </c>
    </row>
    <row r="22" spans="2:17" ht="14.4">
      <c r="B22" s="699" t="s">
        <v>992</v>
      </c>
      <c r="C22" s="700"/>
      <c r="D22" s="700"/>
      <c r="E22" s="700"/>
      <c r="F22" s="700"/>
      <c r="G22" s="700"/>
      <c r="H22" s="697">
        <v>1.4</v>
      </c>
      <c r="I22" s="698">
        <f t="shared" si="2"/>
        <v>0</v>
      </c>
      <c r="J22" s="701"/>
      <c r="K22" s="701"/>
      <c r="L22" s="701"/>
      <c r="M22" s="701"/>
      <c r="N22" s="701"/>
      <c r="O22" s="701"/>
      <c r="P22" s="701"/>
      <c r="Q22" s="660">
        <f>SUM(Q23:Q25)</f>
        <v>0</v>
      </c>
    </row>
    <row r="23" spans="2:17" ht="14.4">
      <c r="B23" s="702" t="s">
        <v>976</v>
      </c>
      <c r="C23" s="700"/>
      <c r="D23" s="700"/>
      <c r="E23" s="700"/>
      <c r="F23" s="700"/>
      <c r="G23" s="700"/>
      <c r="H23" s="697">
        <v>1.4</v>
      </c>
      <c r="I23" s="698">
        <f t="shared" si="2"/>
        <v>0</v>
      </c>
      <c r="J23" s="701"/>
      <c r="K23" s="701"/>
      <c r="L23" s="701"/>
      <c r="M23" s="701"/>
      <c r="N23" s="701"/>
      <c r="O23" s="701"/>
      <c r="P23" s="701"/>
      <c r="Q23" s="660">
        <f>SUMPRODUCT($J$5:$P$5,J23:P23)</f>
        <v>0</v>
      </c>
    </row>
    <row r="24" spans="2:17" ht="14.4">
      <c r="B24" s="702" t="s">
        <v>977</v>
      </c>
      <c r="C24" s="700"/>
      <c r="D24" s="700"/>
      <c r="E24" s="700"/>
      <c r="F24" s="700"/>
      <c r="G24" s="700"/>
      <c r="H24" s="697">
        <v>1.4</v>
      </c>
      <c r="I24" s="698">
        <f t="shared" si="2"/>
        <v>0</v>
      </c>
      <c r="J24" s="701"/>
      <c r="K24" s="701"/>
      <c r="L24" s="701"/>
      <c r="M24" s="701"/>
      <c r="N24" s="701"/>
      <c r="O24" s="701"/>
      <c r="P24" s="701"/>
      <c r="Q24" s="660">
        <f t="shared" ref="Q24:Q25" si="7">SUMPRODUCT($J$5:$P$5,J24:P24)</f>
        <v>0</v>
      </c>
    </row>
    <row r="25" spans="2:17" ht="14.4">
      <c r="B25" s="702" t="s">
        <v>978</v>
      </c>
      <c r="C25" s="700"/>
      <c r="D25" s="700"/>
      <c r="E25" s="700"/>
      <c r="F25" s="700"/>
      <c r="G25" s="700"/>
      <c r="H25" s="697">
        <v>1.4</v>
      </c>
      <c r="I25" s="698">
        <f t="shared" si="2"/>
        <v>0</v>
      </c>
      <c r="J25" s="701"/>
      <c r="K25" s="701"/>
      <c r="L25" s="701"/>
      <c r="M25" s="701"/>
      <c r="N25" s="701"/>
      <c r="O25" s="701"/>
      <c r="P25" s="701"/>
      <c r="Q25" s="660">
        <f t="shared" si="7"/>
        <v>0</v>
      </c>
    </row>
    <row r="26" spans="2:17" ht="14.4">
      <c r="B26" s="699" t="s">
        <v>993</v>
      </c>
      <c r="C26" s="700"/>
      <c r="D26" s="700"/>
      <c r="E26" s="700"/>
      <c r="F26" s="700"/>
      <c r="G26" s="700"/>
      <c r="H26" s="697">
        <v>1.4</v>
      </c>
      <c r="I26" s="698">
        <f t="shared" si="2"/>
        <v>0</v>
      </c>
      <c r="J26" s="701"/>
      <c r="K26" s="701"/>
      <c r="L26" s="701"/>
      <c r="M26" s="701"/>
      <c r="N26" s="701"/>
      <c r="O26" s="701"/>
      <c r="P26" s="701"/>
      <c r="Q26" s="660">
        <f>SUM(Q27:Q29)</f>
        <v>0</v>
      </c>
    </row>
    <row r="27" spans="2:17" ht="14.4">
      <c r="B27" s="702" t="s">
        <v>976</v>
      </c>
      <c r="C27" s="700"/>
      <c r="D27" s="700"/>
      <c r="E27" s="700"/>
      <c r="F27" s="700"/>
      <c r="G27" s="700"/>
      <c r="H27" s="697">
        <v>1.4</v>
      </c>
      <c r="I27" s="698">
        <f t="shared" si="2"/>
        <v>0</v>
      </c>
      <c r="J27" s="701"/>
      <c r="K27" s="701"/>
      <c r="L27" s="701"/>
      <c r="M27" s="701"/>
      <c r="N27" s="701"/>
      <c r="O27" s="701"/>
      <c r="P27" s="701"/>
      <c r="Q27" s="660">
        <f>SUMPRODUCT($J$5:$P$5,J27:P27)</f>
        <v>0</v>
      </c>
    </row>
    <row r="28" spans="2:17" ht="14.4">
      <c r="B28" s="702" t="s">
        <v>977</v>
      </c>
      <c r="C28" s="700"/>
      <c r="D28" s="700"/>
      <c r="E28" s="700"/>
      <c r="F28" s="700"/>
      <c r="G28" s="700"/>
      <c r="H28" s="697">
        <v>1.4</v>
      </c>
      <c r="I28" s="698">
        <f t="shared" si="2"/>
        <v>0</v>
      </c>
      <c r="J28" s="701"/>
      <c r="K28" s="701"/>
      <c r="L28" s="701"/>
      <c r="M28" s="701"/>
      <c r="N28" s="701"/>
      <c r="O28" s="701"/>
      <c r="P28" s="701"/>
      <c r="Q28" s="660">
        <f t="shared" ref="Q28:Q29" si="8">SUMPRODUCT($J$5:$P$5,J28:P28)</f>
        <v>0</v>
      </c>
    </row>
    <row r="29" spans="2:17" ht="14.4">
      <c r="B29" s="702" t="s">
        <v>978</v>
      </c>
      <c r="C29" s="700"/>
      <c r="D29" s="700"/>
      <c r="E29" s="700"/>
      <c r="F29" s="700"/>
      <c r="G29" s="700"/>
      <c r="H29" s="697">
        <v>1.4</v>
      </c>
      <c r="I29" s="698">
        <f t="shared" si="2"/>
        <v>0</v>
      </c>
      <c r="J29" s="701"/>
      <c r="K29" s="701"/>
      <c r="L29" s="701"/>
      <c r="M29" s="701"/>
      <c r="N29" s="701"/>
      <c r="O29" s="701"/>
      <c r="P29" s="701"/>
      <c r="Q29" s="660">
        <f t="shared" si="8"/>
        <v>0</v>
      </c>
    </row>
    <row r="30" spans="2:17" ht="14.4">
      <c r="B30" s="703" t="s">
        <v>994</v>
      </c>
      <c r="C30" s="700"/>
      <c r="D30" s="700"/>
      <c r="E30" s="700"/>
      <c r="F30" s="700"/>
      <c r="G30" s="700"/>
      <c r="H30" s="697">
        <v>1.4</v>
      </c>
      <c r="I30" s="698">
        <f t="shared" si="2"/>
        <v>0</v>
      </c>
      <c r="J30" s="701"/>
      <c r="K30" s="701"/>
      <c r="L30" s="701"/>
      <c r="M30" s="701"/>
      <c r="N30" s="701"/>
      <c r="O30" s="701"/>
      <c r="P30" s="701"/>
      <c r="Q30" s="660">
        <f>SUM(Q31:Q33)</f>
        <v>0</v>
      </c>
    </row>
    <row r="31" spans="2:17" ht="14.4">
      <c r="B31" s="702" t="s">
        <v>976</v>
      </c>
      <c r="C31" s="700"/>
      <c r="D31" s="700"/>
      <c r="E31" s="700"/>
      <c r="F31" s="700"/>
      <c r="G31" s="700"/>
      <c r="H31" s="697">
        <v>1.4</v>
      </c>
      <c r="I31" s="698">
        <f t="shared" si="2"/>
        <v>0</v>
      </c>
      <c r="J31" s="701"/>
      <c r="K31" s="701"/>
      <c r="L31" s="701"/>
      <c r="M31" s="701"/>
      <c r="N31" s="701"/>
      <c r="O31" s="701"/>
      <c r="P31" s="701"/>
      <c r="Q31" s="660">
        <f>SUMPRODUCT($J$5:$P$5,J31:P31)</f>
        <v>0</v>
      </c>
    </row>
    <row r="32" spans="2:17" ht="14.4">
      <c r="B32" s="702" t="s">
        <v>977</v>
      </c>
      <c r="C32" s="700"/>
      <c r="D32" s="700"/>
      <c r="E32" s="700"/>
      <c r="F32" s="700"/>
      <c r="G32" s="700"/>
      <c r="H32" s="697">
        <v>1.4</v>
      </c>
      <c r="I32" s="698">
        <f t="shared" si="2"/>
        <v>0</v>
      </c>
      <c r="J32" s="701"/>
      <c r="K32" s="701"/>
      <c r="L32" s="701"/>
      <c r="M32" s="701"/>
      <c r="N32" s="701"/>
      <c r="O32" s="701"/>
      <c r="P32" s="701"/>
      <c r="Q32" s="660">
        <f t="shared" ref="Q32:Q33" si="9">SUMPRODUCT($J$5:$P$5,J32:P32)</f>
        <v>0</v>
      </c>
    </row>
    <row r="33" spans="2:17" ht="14.4">
      <c r="B33" s="702" t="s">
        <v>978</v>
      </c>
      <c r="C33" s="700"/>
      <c r="D33" s="700"/>
      <c r="E33" s="700"/>
      <c r="F33" s="700"/>
      <c r="G33" s="700"/>
      <c r="H33" s="697">
        <v>1.4</v>
      </c>
      <c r="I33" s="698">
        <f t="shared" si="2"/>
        <v>0</v>
      </c>
      <c r="J33" s="701"/>
      <c r="K33" s="701"/>
      <c r="L33" s="701"/>
      <c r="M33" s="701"/>
      <c r="N33" s="701"/>
      <c r="O33" s="701"/>
      <c r="P33" s="701"/>
      <c r="Q33" s="660">
        <f t="shared" si="9"/>
        <v>0</v>
      </c>
    </row>
    <row r="34" spans="2:17" ht="14.4">
      <c r="B34" s="704" t="s">
        <v>66</v>
      </c>
      <c r="C34" s="705" t="b">
        <f>C6</f>
        <v>0</v>
      </c>
      <c r="D34" s="705" t="b">
        <f t="shared" ref="D34:G34" si="10">D6</f>
        <v>0</v>
      </c>
      <c r="E34" s="705" t="b">
        <f t="shared" si="10"/>
        <v>0</v>
      </c>
      <c r="F34" s="705" t="b">
        <f t="shared" si="10"/>
        <v>0</v>
      </c>
      <c r="G34" s="705" t="b">
        <f t="shared" si="10"/>
        <v>0</v>
      </c>
      <c r="H34" s="697">
        <v>1.4</v>
      </c>
      <c r="I34" s="698">
        <f>(F34+G34)*H34</f>
        <v>0</v>
      </c>
      <c r="J34" s="705" t="b">
        <f t="shared" ref="J34:Q34" si="11">J6</f>
        <v>0</v>
      </c>
      <c r="K34" s="705" t="b">
        <f t="shared" si="11"/>
        <v>0</v>
      </c>
      <c r="L34" s="705" t="b">
        <f t="shared" si="11"/>
        <v>0</v>
      </c>
      <c r="M34" s="705" t="b">
        <f t="shared" si="11"/>
        <v>0</v>
      </c>
      <c r="N34" s="705" t="b">
        <f t="shared" si="11"/>
        <v>0</v>
      </c>
      <c r="O34" s="705" t="b">
        <f t="shared" si="11"/>
        <v>0</v>
      </c>
      <c r="P34" s="705" t="b">
        <f t="shared" si="11"/>
        <v>0</v>
      </c>
      <c r="Q34" s="705" t="b">
        <f t="shared" si="11"/>
        <v>0</v>
      </c>
    </row>
  </sheetData>
  <conditionalFormatting sqref="I7:I34">
    <cfRule type="expression" dxfId="26" priority="1">
      <formula>(C7*#REF!)&lt;&gt;SUM(#REF!)</formula>
    </cfRule>
  </conditionalFormatting>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9.9978637043366805E-2"/>
  </sheetPr>
  <dimension ref="A1:L53"/>
  <sheetViews>
    <sheetView zoomScaleNormal="100" workbookViewId="0">
      <pane xSplit="1" ySplit="5" topLeftCell="B21" activePane="bottomRight" state="frozen"/>
      <selection pane="topRight"/>
      <selection pane="bottomLeft"/>
      <selection pane="bottomRight" activeCell="D23" sqref="D23"/>
    </sheetView>
  </sheetViews>
  <sheetFormatPr defaultRowHeight="14.4"/>
  <cols>
    <col min="1" max="1" width="9.5546875" style="19" bestFit="1" customWidth="1"/>
    <col min="2" max="2" width="88.44140625" style="16" customWidth="1"/>
    <col min="3" max="3" width="13.5546875" style="16" bestFit="1" customWidth="1"/>
    <col min="4" max="4" width="14" style="2" customWidth="1"/>
    <col min="5" max="7" width="12.88671875" style="2" customWidth="1"/>
    <col min="8" max="9" width="6.88671875" customWidth="1"/>
    <col min="11" max="11" width="11.5546875" bestFit="1" customWidth="1"/>
    <col min="12" max="12" width="13.6640625" bestFit="1" customWidth="1"/>
  </cols>
  <sheetData>
    <row r="1" spans="1:8">
      <c r="A1" s="17" t="s">
        <v>97</v>
      </c>
      <c r="B1" s="272" t="str">
        <f>Info!C2</f>
        <v>სს "ჰეშ ბანკი"</v>
      </c>
    </row>
    <row r="2" spans="1:8">
      <c r="A2" s="17" t="s">
        <v>98</v>
      </c>
      <c r="B2" s="709">
        <v>46112</v>
      </c>
      <c r="C2" s="28"/>
      <c r="D2" s="18"/>
      <c r="E2" s="18"/>
      <c r="F2" s="18"/>
      <c r="G2" s="18"/>
      <c r="H2" s="1"/>
    </row>
    <row r="3" spans="1:8" ht="15" thickBot="1">
      <c r="A3" s="17"/>
      <c r="C3" s="28"/>
      <c r="D3" s="18"/>
      <c r="E3" s="18"/>
      <c r="F3" s="18"/>
      <c r="G3" s="18"/>
      <c r="H3" s="1"/>
    </row>
    <row r="4" spans="1:8" ht="15" customHeight="1" thickBot="1">
      <c r="A4" s="39" t="s">
        <v>241</v>
      </c>
      <c r="B4" s="126" t="s">
        <v>128</v>
      </c>
      <c r="C4" s="127"/>
      <c r="D4" s="848" t="s">
        <v>904</v>
      </c>
      <c r="E4" s="849"/>
      <c r="F4" s="849"/>
      <c r="G4" s="850"/>
      <c r="H4" s="1"/>
    </row>
    <row r="5" spans="1:8">
      <c r="A5" s="189" t="s">
        <v>25</v>
      </c>
      <c r="B5" s="190"/>
      <c r="C5" s="295" t="str">
        <f>INT((MONTH($B$2))/3)&amp;"Q"&amp;"-"&amp;YEAR($B$2)</f>
        <v>1Q-2026</v>
      </c>
      <c r="D5" s="295" t="str">
        <f>IF(INT(MONTH($B$2))=3, "4"&amp;"Q"&amp;"-"&amp;YEAR($B$2)-1, IF(INT(MONTH($B$2))=6, "1"&amp;"Q"&amp;"-"&amp;YEAR($B$2), IF(INT(MONTH($B$2))=9, "2"&amp;"Q"&amp;"-"&amp;YEAR($B$2),IF(INT(MONTH($B$2))=12, "3"&amp;"Q"&amp;"-"&amp;YEAR($B$2), 0))))</f>
        <v>4Q-2025</v>
      </c>
      <c r="E5" s="295" t="str">
        <f>IF(INT(MONTH($B$2))=3, "3"&amp;"Q"&amp;"-"&amp;YEAR($B$2)-1, IF(INT(MONTH($B$2))=6, "4"&amp;"Q"&amp;"-"&amp;YEAR($B$2)-1, IF(INT(MONTH($B$2))=9, "1"&amp;"Q"&amp;"-"&amp;YEAR($B$2),IF(INT(MONTH($B$2))=12, "2"&amp;"Q"&amp;"-"&amp;YEAR($B$2), 0))))</f>
        <v>3Q-2025</v>
      </c>
      <c r="F5" s="295" t="str">
        <f>IF(INT(MONTH($B$2))=3, "2"&amp;"Q"&amp;"-"&amp;YEAR($B$2)-1, IF(INT(MONTH($B$2))=6, "3"&amp;"Q"&amp;"-"&amp;YEAR($B$2)-1, IF(INT(MONTH($B$2))=9, "4"&amp;"Q"&amp;"-"&amp;YEAR($B$2)-1,IF(INT(MONTH($B$2))=12, "1"&amp;"Q"&amp;"-"&amp;YEAR($B$2), 0))))</f>
        <v>2Q-2025</v>
      </c>
      <c r="G5" s="296" t="str">
        <f>IF(INT(MONTH($B$2))=3, "1"&amp;"Q"&amp;"-"&amp;YEAR($B$2)-1, IF(INT(MONTH($B$2))=6, "2"&amp;"Q"&amp;"-"&amp;YEAR($B$2)-1, IF(INT(MONTH($B$2))=9, "3"&amp;"Q"&amp;"-"&amp;YEAR($B$2)-1,IF(INT(MONTH($B$2))=12, "4"&amp;"Q"&amp;"-"&amp;YEAR($B$2)-1, 0))))</f>
        <v>1Q-2025</v>
      </c>
    </row>
    <row r="6" spans="1:8">
      <c r="A6" s="297"/>
      <c r="B6" s="298" t="s">
        <v>95</v>
      </c>
      <c r="C6" s="191"/>
      <c r="D6" s="191"/>
      <c r="E6" s="191"/>
      <c r="F6" s="191"/>
      <c r="G6" s="192"/>
    </row>
    <row r="7" spans="1:8">
      <c r="A7" s="297"/>
      <c r="B7" s="299" t="s">
        <v>99</v>
      </c>
      <c r="C7" s="191"/>
      <c r="D7" s="191"/>
      <c r="E7" s="191"/>
      <c r="F7" s="191"/>
      <c r="G7" s="192"/>
    </row>
    <row r="8" spans="1:8">
      <c r="A8" s="277">
        <v>1</v>
      </c>
      <c r="B8" s="278" t="s">
        <v>22</v>
      </c>
      <c r="C8" s="300">
        <v>53179989.75000006</v>
      </c>
      <c r="D8" s="300">
        <v>31350848.460000016</v>
      </c>
      <c r="E8" s="301">
        <v>18793765.93</v>
      </c>
      <c r="F8" s="301">
        <v>22811901</v>
      </c>
      <c r="G8" s="301">
        <v>26168468</v>
      </c>
    </row>
    <row r="9" spans="1:8">
      <c r="A9" s="277">
        <v>2</v>
      </c>
      <c r="B9" s="278" t="s">
        <v>75</v>
      </c>
      <c r="C9" s="300">
        <v>53182089.75000006</v>
      </c>
      <c r="D9" s="300">
        <v>31352948.460000016</v>
      </c>
      <c r="E9" s="301">
        <v>18795865.93</v>
      </c>
      <c r="F9" s="301">
        <v>22814001</v>
      </c>
      <c r="G9" s="301">
        <v>26170568</v>
      </c>
    </row>
    <row r="10" spans="1:8">
      <c r="A10" s="277">
        <v>3</v>
      </c>
      <c r="B10" s="278" t="s">
        <v>74</v>
      </c>
      <c r="C10" s="300">
        <v>53182089.75000006</v>
      </c>
      <c r="D10" s="300">
        <v>31352948.460000016</v>
      </c>
      <c r="E10" s="301">
        <v>18795865.93</v>
      </c>
      <c r="F10" s="301">
        <v>22814001</v>
      </c>
      <c r="G10" s="301">
        <v>26170568</v>
      </c>
    </row>
    <row r="11" spans="1:8">
      <c r="A11" s="277">
        <v>4</v>
      </c>
      <c r="B11" s="278" t="s">
        <v>414</v>
      </c>
      <c r="C11" s="300">
        <v>3052980.9063581154</v>
      </c>
      <c r="D11" s="300">
        <v>5760520.0352085233</v>
      </c>
      <c r="E11" s="301">
        <v>1258195.8050554546</v>
      </c>
      <c r="F11" s="301">
        <v>1567468.484720675</v>
      </c>
      <c r="G11" s="301">
        <v>657742.04809387506</v>
      </c>
    </row>
    <row r="12" spans="1:8">
      <c r="A12" s="277">
        <v>5</v>
      </c>
      <c r="B12" s="278" t="s">
        <v>415</v>
      </c>
      <c r="C12" s="300">
        <v>3748320.1194847892</v>
      </c>
      <c r="D12" s="300">
        <v>7086683.0480077285</v>
      </c>
      <c r="E12" s="301">
        <v>1509834.9998723692</v>
      </c>
      <c r="F12" s="301">
        <v>1880996.09741265</v>
      </c>
      <c r="G12" s="301">
        <v>789290.45771265007</v>
      </c>
    </row>
    <row r="13" spans="1:8">
      <c r="A13" s="277">
        <v>6</v>
      </c>
      <c r="B13" s="278" t="s">
        <v>416</v>
      </c>
      <c r="C13" s="300">
        <v>4671173.4179240735</v>
      </c>
      <c r="D13" s="300">
        <v>8847461.9793572072</v>
      </c>
      <c r="E13" s="301">
        <v>1845353.9248502294</v>
      </c>
      <c r="F13" s="301">
        <v>2299031.4649443501</v>
      </c>
      <c r="G13" s="301">
        <v>964688.33720435004</v>
      </c>
    </row>
    <row r="14" spans="1:8">
      <c r="A14" s="297"/>
      <c r="B14" s="298" t="s">
        <v>418</v>
      </c>
      <c r="C14" s="191"/>
      <c r="D14" s="191"/>
      <c r="E14" s="191"/>
      <c r="F14" s="191"/>
      <c r="G14" s="191"/>
    </row>
    <row r="15" spans="1:8" ht="21.9" customHeight="1">
      <c r="A15" s="277">
        <v>7</v>
      </c>
      <c r="B15" s="278" t="s">
        <v>417</v>
      </c>
      <c r="C15" s="302">
        <v>30146468.435905773</v>
      </c>
      <c r="D15" s="302">
        <v>60144875.131976642</v>
      </c>
      <c r="E15" s="301">
        <v>16775940.831292992</v>
      </c>
      <c r="F15" s="301">
        <v>20896333.160585001</v>
      </c>
      <c r="G15" s="301">
        <v>8769893.9745850004</v>
      </c>
    </row>
    <row r="16" spans="1:8">
      <c r="A16" s="297"/>
      <c r="B16" s="298" t="s">
        <v>421</v>
      </c>
      <c r="C16" s="191"/>
      <c r="D16" s="191"/>
      <c r="E16" s="191"/>
      <c r="F16" s="191"/>
      <c r="G16" s="191"/>
    </row>
    <row r="17" spans="1:7" s="3" customFormat="1">
      <c r="A17" s="277"/>
      <c r="B17" s="299" t="s">
        <v>967</v>
      </c>
      <c r="C17" s="191"/>
      <c r="D17" s="191"/>
      <c r="E17" s="191"/>
      <c r="F17" s="191"/>
      <c r="G17" s="191"/>
    </row>
    <row r="18" spans="1:7">
      <c r="A18" s="276">
        <v>8</v>
      </c>
      <c r="B18" s="303" t="s">
        <v>412</v>
      </c>
      <c r="C18" s="716">
        <v>1.7640537186989487</v>
      </c>
      <c r="D18" s="716">
        <v>0.52125552495048766</v>
      </c>
      <c r="E18" s="717">
        <v>1.1202808902939774</v>
      </c>
      <c r="F18" s="717">
        <v>1.0916700468304255</v>
      </c>
      <c r="G18" s="717">
        <v>2.9838978755998378</v>
      </c>
    </row>
    <row r="19" spans="1:7" ht="15" customHeight="1">
      <c r="A19" s="276">
        <v>9</v>
      </c>
      <c r="B19" s="303" t="s">
        <v>411</v>
      </c>
      <c r="C19" s="716">
        <v>1.764123378599725</v>
      </c>
      <c r="D19" s="716">
        <v>0.52129044064356034</v>
      </c>
      <c r="E19" s="717">
        <v>1.1204060695623783</v>
      </c>
      <c r="F19" s="717">
        <v>1.0917705429310505</v>
      </c>
      <c r="G19" s="717">
        <v>2.9841373311743391</v>
      </c>
    </row>
    <row r="20" spans="1:7">
      <c r="A20" s="276">
        <v>10</v>
      </c>
      <c r="B20" s="303" t="s">
        <v>413</v>
      </c>
      <c r="C20" s="716">
        <v>1.764123378599725</v>
      </c>
      <c r="D20" s="716">
        <v>0.52129044064356034</v>
      </c>
      <c r="E20" s="717">
        <v>1.1204060695623783</v>
      </c>
      <c r="F20" s="717">
        <v>1.0917705429310505</v>
      </c>
      <c r="G20" s="717">
        <v>2.9841373311743391</v>
      </c>
    </row>
    <row r="21" spans="1:7">
      <c r="A21" s="276">
        <v>11</v>
      </c>
      <c r="B21" s="278" t="s">
        <v>414</v>
      </c>
      <c r="C21" s="716">
        <v>0.10127159381368467</v>
      </c>
      <c r="D21" s="716">
        <v>9.5777404518142956E-2</v>
      </c>
      <c r="E21" s="717">
        <v>7.5000014467652379E-2</v>
      </c>
      <c r="F21" s="717">
        <v>7.5011652650966501E-2</v>
      </c>
      <c r="G21" s="717">
        <v>7.4999999999999997E-2</v>
      </c>
    </row>
    <row r="22" spans="1:7">
      <c r="A22" s="276">
        <v>12</v>
      </c>
      <c r="B22" s="278" t="s">
        <v>415</v>
      </c>
      <c r="C22" s="716">
        <v>0.12433695600047051</v>
      </c>
      <c r="D22" s="716">
        <v>0.11782688105108428</v>
      </c>
      <c r="E22" s="717">
        <v>9.0000019376320128E-2</v>
      </c>
      <c r="F22" s="717">
        <v>9.0015606228972991E-2</v>
      </c>
      <c r="G22" s="717">
        <v>0.09</v>
      </c>
    </row>
    <row r="23" spans="1:7">
      <c r="A23" s="276">
        <v>13</v>
      </c>
      <c r="B23" s="278" t="s">
        <v>416</v>
      </c>
      <c r="C23" s="716">
        <v>0.15494927466729402</v>
      </c>
      <c r="D23" s="716">
        <v>0.1471025080681124</v>
      </c>
      <c r="E23" s="717">
        <v>0.11000002583509352</v>
      </c>
      <c r="F23" s="717">
        <v>0.11002080830529733</v>
      </c>
      <c r="G23" s="717">
        <v>0.11</v>
      </c>
    </row>
    <row r="24" spans="1:7">
      <c r="A24" s="297"/>
      <c r="B24" s="298" t="s">
        <v>952</v>
      </c>
      <c r="C24" s="191"/>
      <c r="D24" s="191"/>
      <c r="E24" s="191"/>
      <c r="F24" s="191"/>
      <c r="G24" s="191"/>
    </row>
    <row r="25" spans="1:7" ht="27.6">
      <c r="A25" s="276">
        <v>14</v>
      </c>
      <c r="B25" s="303" t="s">
        <v>953</v>
      </c>
      <c r="C25" s="309"/>
      <c r="D25" s="309"/>
      <c r="E25" s="310"/>
      <c r="F25" s="310"/>
      <c r="G25" s="310"/>
    </row>
    <row r="26" spans="1:7">
      <c r="A26" s="297"/>
      <c r="B26" s="298" t="s">
        <v>6</v>
      </c>
      <c r="C26" s="191"/>
      <c r="D26" s="191"/>
      <c r="E26" s="191"/>
      <c r="F26" s="191"/>
      <c r="G26" s="191"/>
    </row>
    <row r="27" spans="1:7" ht="15" customHeight="1">
      <c r="A27" s="304">
        <v>15</v>
      </c>
      <c r="B27" s="305" t="s">
        <v>7</v>
      </c>
      <c r="C27" s="710">
        <v>8.2110689284415256E-2</v>
      </c>
      <c r="D27" s="710">
        <v>8.2272715337645227E-2</v>
      </c>
      <c r="E27" s="711">
        <v>8.062597891317777E-2</v>
      </c>
      <c r="F27" s="711">
        <v>8.1524097446075056E-2</v>
      </c>
      <c r="G27" s="711">
        <v>8.3896635406862985E-2</v>
      </c>
    </row>
    <row r="28" spans="1:7">
      <c r="A28" s="304">
        <v>16</v>
      </c>
      <c r="B28" s="305" t="s">
        <v>8</v>
      </c>
      <c r="C28" s="710">
        <v>0</v>
      </c>
      <c r="D28" s="710">
        <v>0</v>
      </c>
      <c r="E28" s="711">
        <v>0</v>
      </c>
      <c r="F28" s="711">
        <v>-1.162497540123367E-3</v>
      </c>
      <c r="G28" s="711">
        <v>0</v>
      </c>
    </row>
    <row r="29" spans="1:7">
      <c r="A29" s="304">
        <v>17</v>
      </c>
      <c r="B29" s="305" t="s">
        <v>9</v>
      </c>
      <c r="C29" s="801">
        <v>-0.14841791232281892</v>
      </c>
      <c r="D29" s="710">
        <v>-0.21082291548533938</v>
      </c>
      <c r="E29" s="711">
        <v>-0.27019245942360659</v>
      </c>
      <c r="F29" s="711">
        <v>7.7221230868894541E-2</v>
      </c>
      <c r="G29" s="711">
        <v>5.7608889246389072E-2</v>
      </c>
    </row>
    <row r="30" spans="1:7">
      <c r="A30" s="304">
        <v>18</v>
      </c>
      <c r="B30" s="305" t="s">
        <v>129</v>
      </c>
      <c r="C30" s="710">
        <v>8.0000941706266884E-2</v>
      </c>
      <c r="D30" s="710">
        <v>8.0781341394046968E-2</v>
      </c>
      <c r="E30" s="711">
        <v>7.9185494521994138E-2</v>
      </c>
      <c r="F30" s="711">
        <v>8.0361599905951681E-2</v>
      </c>
      <c r="G30" s="711">
        <v>8.3896635406862985E-2</v>
      </c>
    </row>
    <row r="31" spans="1:7">
      <c r="A31" s="304">
        <v>19</v>
      </c>
      <c r="B31" s="305" t="s">
        <v>10</v>
      </c>
      <c r="C31" s="710">
        <v>-0.15159934791350579</v>
      </c>
      <c r="D31" s="710">
        <v>-0.24962608783425572</v>
      </c>
      <c r="E31" s="711">
        <v>-0.3153376525518311</v>
      </c>
      <c r="F31" s="711">
        <v>-0.34138993340532159</v>
      </c>
      <c r="G31" s="711">
        <v>-0.27934170748511533</v>
      </c>
    </row>
    <row r="32" spans="1:7">
      <c r="A32" s="304">
        <v>20</v>
      </c>
      <c r="B32" s="305" t="s">
        <v>11</v>
      </c>
      <c r="C32" s="710">
        <v>-0.17141271336042685</v>
      </c>
      <c r="D32" s="710">
        <v>-0.2701670909274354</v>
      </c>
      <c r="E32" s="711">
        <v>-0.33871215211596539</v>
      </c>
      <c r="F32" s="711">
        <v>-0.36110630196706561</v>
      </c>
      <c r="G32" s="711">
        <v>-0.28225174407941594</v>
      </c>
    </row>
    <row r="33" spans="1:12">
      <c r="A33" s="297"/>
      <c r="B33" s="298" t="s">
        <v>12</v>
      </c>
      <c r="C33" s="712"/>
      <c r="D33" s="712"/>
      <c r="E33" s="712"/>
      <c r="F33" s="712"/>
      <c r="G33" s="712"/>
    </row>
    <row r="34" spans="1:12">
      <c r="A34" s="304">
        <v>21</v>
      </c>
      <c r="B34" s="305" t="s">
        <v>13</v>
      </c>
      <c r="C34" s="710">
        <v>0</v>
      </c>
      <c r="D34" s="710">
        <v>0</v>
      </c>
      <c r="E34" s="711">
        <v>0</v>
      </c>
      <c r="F34" s="711">
        <v>0</v>
      </c>
      <c r="G34" s="711">
        <v>0</v>
      </c>
    </row>
    <row r="35" spans="1:12" ht="15" customHeight="1">
      <c r="A35" s="304">
        <v>22</v>
      </c>
      <c r="B35" s="305" t="s">
        <v>917</v>
      </c>
      <c r="C35" s="710">
        <v>2.495431953730895E-2</v>
      </c>
      <c r="D35" s="710">
        <v>2.0097793017095304E-2</v>
      </c>
      <c r="E35" s="711">
        <v>0</v>
      </c>
      <c r="F35" s="711">
        <v>0</v>
      </c>
      <c r="G35" s="711">
        <v>0</v>
      </c>
    </row>
    <row r="36" spans="1:12">
      <c r="A36" s="304">
        <v>23</v>
      </c>
      <c r="B36" s="305" t="s">
        <v>14</v>
      </c>
      <c r="C36" s="710">
        <v>0</v>
      </c>
      <c r="D36" s="710">
        <v>0</v>
      </c>
      <c r="E36" s="711">
        <v>0</v>
      </c>
      <c r="F36" s="711">
        <v>0</v>
      </c>
      <c r="G36" s="711">
        <v>0</v>
      </c>
    </row>
    <row r="37" spans="1:12" ht="15" customHeight="1">
      <c r="A37" s="304">
        <v>24</v>
      </c>
      <c r="B37" s="305" t="s">
        <v>15</v>
      </c>
      <c r="C37" s="710">
        <v>0.11405073692557857</v>
      </c>
      <c r="D37" s="710">
        <v>7.7550068828904264E-2</v>
      </c>
      <c r="E37" s="711">
        <v>5.8887919351365614E-2</v>
      </c>
      <c r="F37" s="711">
        <v>6.8892733556579724E-2</v>
      </c>
      <c r="G37" s="711">
        <v>1.4563350743552953E-2</v>
      </c>
    </row>
    <row r="38" spans="1:12">
      <c r="A38" s="304">
        <v>25</v>
      </c>
      <c r="B38" s="305" t="s">
        <v>16</v>
      </c>
      <c r="C38" s="710">
        <v>113.12665698637112</v>
      </c>
      <c r="D38" s="710">
        <v>0</v>
      </c>
      <c r="E38" s="711">
        <v>0</v>
      </c>
      <c r="F38" s="711">
        <v>0</v>
      </c>
      <c r="G38" s="711">
        <v>0</v>
      </c>
    </row>
    <row r="39" spans="1:12" ht="15" customHeight="1">
      <c r="A39" s="297"/>
      <c r="B39" s="298" t="s">
        <v>17</v>
      </c>
      <c r="C39" s="712"/>
      <c r="D39" s="712"/>
      <c r="E39" s="712"/>
      <c r="F39" s="712"/>
      <c r="G39" s="712"/>
    </row>
    <row r="40" spans="1:12" ht="15" customHeight="1">
      <c r="A40" s="304">
        <v>26</v>
      </c>
      <c r="B40" s="838" t="s">
        <v>18</v>
      </c>
      <c r="C40" s="710">
        <v>5.5811216363818354E-2</v>
      </c>
      <c r="D40" s="710">
        <v>0.15252755628882661</v>
      </c>
      <c r="E40" s="710">
        <v>0.54124055299360108</v>
      </c>
      <c r="F40" s="710">
        <v>0.26980594284217729</v>
      </c>
      <c r="G40" s="710">
        <v>0.44051015960863127</v>
      </c>
    </row>
    <row r="41" spans="1:12" ht="15" customHeight="1">
      <c r="A41" s="304">
        <v>27</v>
      </c>
      <c r="B41" s="305" t="s">
        <v>19</v>
      </c>
      <c r="C41" s="710">
        <v>0.81879509375406645</v>
      </c>
      <c r="D41" s="710">
        <v>0.8284433473215157</v>
      </c>
      <c r="E41" s="710">
        <v>0.57426512608597735</v>
      </c>
      <c r="F41" s="710">
        <v>0.67036249691754324</v>
      </c>
      <c r="G41" s="710">
        <v>0.3000056713944726</v>
      </c>
    </row>
    <row r="42" spans="1:12" ht="15" customHeight="1">
      <c r="A42" s="304">
        <v>28</v>
      </c>
      <c r="B42" s="306" t="s">
        <v>20</v>
      </c>
      <c r="C42" s="710">
        <v>8.0617467417017252E-2</v>
      </c>
      <c r="D42" s="710">
        <v>3.7702518288073417E-2</v>
      </c>
      <c r="E42" s="710">
        <v>1.2732691744507897E-2</v>
      </c>
      <c r="F42" s="710">
        <v>1.0818190187406871E-2</v>
      </c>
      <c r="G42" s="710">
        <v>7.443843466049949E-3</v>
      </c>
    </row>
    <row r="43" spans="1:12" ht="15" customHeight="1">
      <c r="A43" s="307"/>
      <c r="B43" s="298" t="s">
        <v>344</v>
      </c>
      <c r="C43" s="712"/>
      <c r="D43" s="712"/>
      <c r="E43" s="712"/>
      <c r="F43" s="712"/>
      <c r="G43" s="712"/>
      <c r="K43" s="779"/>
    </row>
    <row r="44" spans="1:12" ht="15" customHeight="1">
      <c r="A44" s="304">
        <v>29</v>
      </c>
      <c r="B44" s="348" t="s">
        <v>328</v>
      </c>
      <c r="C44" s="800">
        <v>9433261.4797535557</v>
      </c>
      <c r="D44" s="800">
        <v>14453547.694903554</v>
      </c>
      <c r="E44" s="800">
        <v>6132188.4555165228</v>
      </c>
      <c r="F44" s="800">
        <v>0</v>
      </c>
      <c r="G44" s="800">
        <v>0</v>
      </c>
      <c r="K44" s="779"/>
      <c r="L44" s="780"/>
    </row>
    <row r="45" spans="1:12">
      <c r="A45" s="304">
        <v>30</v>
      </c>
      <c r="B45" s="305" t="s">
        <v>329</v>
      </c>
      <c r="C45" s="800">
        <v>3084412.5883838558</v>
      </c>
      <c r="D45" s="800">
        <v>900186.82189625036</v>
      </c>
      <c r="E45" s="828">
        <v>105172.89615380439</v>
      </c>
      <c r="F45" s="828">
        <v>0</v>
      </c>
      <c r="G45" s="828">
        <v>0</v>
      </c>
      <c r="K45" s="779"/>
      <c r="L45" s="780"/>
    </row>
    <row r="46" spans="1:12">
      <c r="A46" s="346">
        <v>31</v>
      </c>
      <c r="B46" s="347" t="s">
        <v>327</v>
      </c>
      <c r="C46" s="710">
        <v>3.0583656399536081</v>
      </c>
      <c r="D46" s="710">
        <v>16.056164502005313</v>
      </c>
      <c r="E46" s="710">
        <v>58.30578675468665</v>
      </c>
      <c r="F46" s="710">
        <v>0</v>
      </c>
      <c r="G46" s="710">
        <v>0</v>
      </c>
      <c r="K46" s="779"/>
      <c r="L46" s="780"/>
    </row>
    <row r="47" spans="1:12">
      <c r="A47" s="346"/>
      <c r="B47" s="298" t="s">
        <v>422</v>
      </c>
      <c r="C47" s="712"/>
      <c r="D47" s="712"/>
      <c r="E47" s="712"/>
      <c r="F47" s="712"/>
      <c r="G47" s="712"/>
      <c r="K47" s="781"/>
      <c r="L47" s="781"/>
    </row>
    <row r="48" spans="1:12">
      <c r="A48" s="346">
        <v>32</v>
      </c>
      <c r="B48" s="347" t="s">
        <v>429</v>
      </c>
      <c r="C48" s="714">
        <v>56859838.399960071</v>
      </c>
      <c r="D48" s="714">
        <v>32870685.836805016</v>
      </c>
      <c r="E48" s="715">
        <v>19318418.543511949</v>
      </c>
      <c r="F48" s="715">
        <v>23195432.991949998</v>
      </c>
      <c r="G48" s="715">
        <v>26399539.762389999</v>
      </c>
      <c r="L48" s="742"/>
    </row>
    <row r="49" spans="1:12">
      <c r="A49" s="346">
        <v>33</v>
      </c>
      <c r="B49" s="347" t="s">
        <v>442</v>
      </c>
      <c r="C49" s="714">
        <v>18304082.108605005</v>
      </c>
      <c r="D49" s="714">
        <v>14795986.052604999</v>
      </c>
      <c r="E49" s="715">
        <v>10131334.394139098</v>
      </c>
      <c r="F49" s="715">
        <v>13191747.506010005</v>
      </c>
      <c r="G49" s="715">
        <v>11635046.271300003</v>
      </c>
      <c r="L49" s="742"/>
    </row>
    <row r="50" spans="1:12" ht="15" thickBot="1">
      <c r="A50" s="71">
        <v>34</v>
      </c>
      <c r="B50" s="149" t="s">
        <v>456</v>
      </c>
      <c r="C50" s="713">
        <v>3.1064020617143902</v>
      </c>
      <c r="D50" s="713">
        <v>2.2215948109127721</v>
      </c>
      <c r="E50" s="713">
        <v>1.9067990248833866</v>
      </c>
      <c r="F50" s="713">
        <v>1.7583290599962158</v>
      </c>
      <c r="G50" s="713">
        <v>2.2689673205262064</v>
      </c>
    </row>
    <row r="51" spans="1:12">
      <c r="A51" s="20"/>
      <c r="C51" s="829"/>
    </row>
    <row r="52" spans="1:12">
      <c r="B52" s="23"/>
      <c r="C52" s="829"/>
      <c r="D52" s="777"/>
    </row>
    <row r="53" spans="1:12" ht="69">
      <c r="B53" s="231" t="s">
        <v>343</v>
      </c>
      <c r="D53" s="212"/>
      <c r="E53" s="212"/>
      <c r="F53" s="212"/>
      <c r="G53" s="212"/>
    </row>
  </sheetData>
  <mergeCells count="1">
    <mergeCell ref="D4:G4"/>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2" tint="-9.9978637043366805E-2"/>
  </sheetPr>
  <dimension ref="A1:E39"/>
  <sheetViews>
    <sheetView zoomScale="121" zoomScaleNormal="80" workbookViewId="0"/>
  </sheetViews>
  <sheetFormatPr defaultRowHeight="14.4"/>
  <cols>
    <col min="1" max="1" width="11.44140625" customWidth="1"/>
    <col min="2" max="2" width="76.88671875" style="4" customWidth="1"/>
    <col min="3" max="3" width="22.88671875" customWidth="1"/>
    <col min="4" max="4" width="14.44140625" bestFit="1" customWidth="1"/>
    <col min="5" max="5" width="10.6640625" bestFit="1" customWidth="1"/>
  </cols>
  <sheetData>
    <row r="1" spans="1:5">
      <c r="A1" s="212" t="s">
        <v>97</v>
      </c>
      <c r="B1" t="str">
        <f>Info!C2</f>
        <v>სს "ჰეშ ბანკი"</v>
      </c>
    </row>
    <row r="2" spans="1:5">
      <c r="A2" s="212" t="s">
        <v>98</v>
      </c>
      <c r="B2" s="709">
        <f>'1. key ratios'!B2</f>
        <v>46112</v>
      </c>
    </row>
    <row r="3" spans="1:5">
      <c r="A3" s="212"/>
      <c r="B3"/>
    </row>
    <row r="4" spans="1:5">
      <c r="A4" s="212" t="s">
        <v>406</v>
      </c>
      <c r="B4" t="s">
        <v>375</v>
      </c>
    </row>
    <row r="5" spans="1:5">
      <c r="A5" s="664"/>
      <c r="B5" s="664" t="s">
        <v>376</v>
      </c>
      <c r="C5" s="665"/>
    </row>
    <row r="6" spans="1:5">
      <c r="A6" s="666">
        <v>1</v>
      </c>
      <c r="B6" s="667" t="s">
        <v>376</v>
      </c>
      <c r="C6" s="668">
        <f>'7. LI1'!C37</f>
        <v>73275579.771600023</v>
      </c>
      <c r="D6" s="781"/>
    </row>
    <row r="7" spans="1:5">
      <c r="A7" s="666">
        <v>2</v>
      </c>
      <c r="B7" s="667" t="s">
        <v>377</v>
      </c>
      <c r="C7" s="668">
        <f>-'9. Capital'!C12</f>
        <v>-9221437.4399999995</v>
      </c>
      <c r="D7" s="781"/>
    </row>
    <row r="8" spans="1:5">
      <c r="A8" s="669">
        <v>3</v>
      </c>
      <c r="B8" s="670" t="s">
        <v>378</v>
      </c>
      <c r="C8" s="671">
        <f>C7+C6</f>
        <v>64054142.331600025</v>
      </c>
      <c r="D8" s="781"/>
      <c r="E8" s="742"/>
    </row>
    <row r="9" spans="1:5">
      <c r="A9" s="672"/>
      <c r="B9" s="672" t="s">
        <v>379</v>
      </c>
      <c r="C9" s="673"/>
      <c r="D9" s="781"/>
    </row>
    <row r="10" spans="1:5">
      <c r="A10" s="674">
        <v>4</v>
      </c>
      <c r="B10" s="675" t="s">
        <v>380</v>
      </c>
      <c r="C10" s="668">
        <f>'15. CCR'!F34*0</f>
        <v>0</v>
      </c>
      <c r="D10" s="781"/>
    </row>
    <row r="11" spans="1:5">
      <c r="A11" s="674">
        <v>5</v>
      </c>
      <c r="B11" s="676" t="s">
        <v>381</v>
      </c>
      <c r="C11" s="668">
        <f>'15. CCR'!G34*0</f>
        <v>0</v>
      </c>
      <c r="D11" s="781"/>
    </row>
    <row r="12" spans="1:5">
      <c r="A12" s="674">
        <v>6</v>
      </c>
      <c r="B12" s="677" t="s">
        <v>979</v>
      </c>
      <c r="C12" s="671">
        <f>'15. CCR'!I34</f>
        <v>0</v>
      </c>
    </row>
    <row r="13" spans="1:5">
      <c r="A13" s="678">
        <v>7</v>
      </c>
      <c r="B13" s="679" t="s">
        <v>382</v>
      </c>
      <c r="C13" s="668">
        <f>'15. CCR'!E34*0</f>
        <v>0</v>
      </c>
    </row>
    <row r="14" spans="1:5">
      <c r="A14" s="680">
        <v>8</v>
      </c>
      <c r="B14" s="681" t="s">
        <v>383</v>
      </c>
      <c r="C14" s="671">
        <f>C12</f>
        <v>0</v>
      </c>
    </row>
    <row r="15" spans="1:5">
      <c r="A15" s="672"/>
      <c r="B15" s="672" t="s">
        <v>384</v>
      </c>
      <c r="C15" s="682"/>
    </row>
    <row r="16" spans="1:5">
      <c r="A16" s="678">
        <v>9</v>
      </c>
      <c r="B16" s="683" t="s">
        <v>385</v>
      </c>
      <c r="C16" s="668"/>
    </row>
    <row r="17" spans="1:4">
      <c r="A17" s="674">
        <v>10</v>
      </c>
      <c r="B17" s="667" t="s">
        <v>386</v>
      </c>
      <c r="C17" s="668"/>
    </row>
    <row r="18" spans="1:4">
      <c r="A18" s="674">
        <v>11</v>
      </c>
      <c r="B18" s="667" t="s">
        <v>387</v>
      </c>
      <c r="C18" s="668"/>
    </row>
    <row r="19" spans="1:4" ht="22.8">
      <c r="A19" s="678">
        <v>12</v>
      </c>
      <c r="B19" s="683" t="s">
        <v>388</v>
      </c>
      <c r="C19" s="668"/>
    </row>
    <row r="20" spans="1:4">
      <c r="A20" s="678">
        <v>13</v>
      </c>
      <c r="B20" s="683" t="s">
        <v>389</v>
      </c>
      <c r="C20" s="668"/>
    </row>
    <row r="21" spans="1:4">
      <c r="A21" s="678">
        <v>14</v>
      </c>
      <c r="B21" s="667" t="s">
        <v>390</v>
      </c>
      <c r="C21" s="668"/>
    </row>
    <row r="22" spans="1:4">
      <c r="A22" s="680">
        <v>15</v>
      </c>
      <c r="B22" s="681" t="s">
        <v>391</v>
      </c>
      <c r="C22" s="671">
        <f>SUM(C16:C21)</f>
        <v>0</v>
      </c>
    </row>
    <row r="23" spans="1:4">
      <c r="A23" s="672"/>
      <c r="B23" s="672" t="s">
        <v>392</v>
      </c>
      <c r="C23" s="673"/>
    </row>
    <row r="24" spans="1:4">
      <c r="A24" s="674">
        <v>16</v>
      </c>
      <c r="B24" s="667" t="s">
        <v>393</v>
      </c>
      <c r="C24" s="668">
        <v>143615.26999999999</v>
      </c>
    </row>
    <row r="25" spans="1:4">
      <c r="A25" s="674">
        <v>17</v>
      </c>
      <c r="B25" s="667" t="s">
        <v>394</v>
      </c>
      <c r="C25" s="668">
        <v>0</v>
      </c>
    </row>
    <row r="26" spans="1:4">
      <c r="A26" s="680">
        <v>18</v>
      </c>
      <c r="B26" s="681" t="s">
        <v>395</v>
      </c>
      <c r="C26" s="671">
        <f>C24+C25</f>
        <v>143615.26999999999</v>
      </c>
      <c r="D26" s="798"/>
    </row>
    <row r="27" spans="1:4">
      <c r="A27" s="672"/>
      <c r="B27" s="672" t="s">
        <v>396</v>
      </c>
      <c r="C27" s="682"/>
    </row>
    <row r="28" spans="1:4">
      <c r="A28" s="674">
        <v>19</v>
      </c>
      <c r="B28" s="667" t="s">
        <v>397</v>
      </c>
      <c r="C28" s="668"/>
    </row>
    <row r="29" spans="1:4">
      <c r="A29" s="674">
        <v>20</v>
      </c>
      <c r="B29" s="667" t="s">
        <v>398</v>
      </c>
      <c r="C29" s="668"/>
    </row>
    <row r="30" spans="1:4">
      <c r="A30" s="672"/>
      <c r="B30" s="672" t="s">
        <v>399</v>
      </c>
      <c r="C30" s="673"/>
    </row>
    <row r="31" spans="1:4">
      <c r="A31" s="680">
        <v>21</v>
      </c>
      <c r="B31" s="681" t="s">
        <v>75</v>
      </c>
      <c r="C31" s="671">
        <f>'1. key ratios'!C9</f>
        <v>53182089.75000006</v>
      </c>
    </row>
    <row r="32" spans="1:4">
      <c r="A32" s="680">
        <v>22</v>
      </c>
      <c r="B32" s="681" t="s">
        <v>400</v>
      </c>
      <c r="C32" s="671">
        <f>C8+C14+C22+C26</f>
        <v>64197757.601600029</v>
      </c>
    </row>
    <row r="33" spans="1:3">
      <c r="A33" s="684"/>
      <c r="B33" s="684" t="s">
        <v>375</v>
      </c>
      <c r="C33" s="673"/>
    </row>
    <row r="34" spans="1:3">
      <c r="A34" s="680">
        <v>23</v>
      </c>
      <c r="B34" s="681" t="s">
        <v>375</v>
      </c>
      <c r="C34" s="744">
        <f>IFERROR(C31/C32,0)</f>
        <v>0.82841039526705496</v>
      </c>
    </row>
    <row r="35" spans="1:3">
      <c r="A35" s="684"/>
      <c r="B35" s="684" t="s">
        <v>401</v>
      </c>
      <c r="C35" s="673"/>
    </row>
    <row r="36" spans="1:3">
      <c r="A36" s="678" t="s">
        <v>402</v>
      </c>
      <c r="B36" s="683" t="s">
        <v>403</v>
      </c>
      <c r="C36" s="685"/>
    </row>
    <row r="37" spans="1:3">
      <c r="A37" s="686" t="s">
        <v>404</v>
      </c>
      <c r="B37" s="687" t="s">
        <v>405</v>
      </c>
      <c r="C37" s="685"/>
    </row>
    <row r="39" spans="1:3">
      <c r="B39" s="273"/>
    </row>
  </sheetData>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2" tint="-9.9978637043366805E-2"/>
  </sheetPr>
  <dimension ref="A1:F9"/>
  <sheetViews>
    <sheetView zoomScale="80" zoomScaleNormal="80" workbookViewId="0">
      <selection activeCell="C35" sqref="C35"/>
    </sheetView>
  </sheetViews>
  <sheetFormatPr defaultRowHeight="14.4"/>
  <cols>
    <col min="1" max="1" width="11.44140625" customWidth="1"/>
    <col min="2" max="2" width="76.88671875" style="4" customWidth="1"/>
    <col min="3" max="6" width="24.44140625" customWidth="1"/>
  </cols>
  <sheetData>
    <row r="1" spans="1:6">
      <c r="A1" s="16" t="s">
        <v>97</v>
      </c>
      <c r="B1" s="709" t="str">
        <f>'1. key ratios'!B1</f>
        <v>სს "ჰეშ ბანკი"</v>
      </c>
    </row>
    <row r="2" spans="1:6">
      <c r="A2" s="212" t="s">
        <v>98</v>
      </c>
      <c r="B2" s="709">
        <f>'1. key ratios'!B2</f>
        <v>46112</v>
      </c>
    </row>
    <row r="3" spans="1:6">
      <c r="A3" s="212"/>
      <c r="B3"/>
    </row>
    <row r="4" spans="1:6">
      <c r="A4" s="663" t="s">
        <v>971</v>
      </c>
    </row>
    <row r="5" spans="1:6" ht="86.4">
      <c r="B5" s="657"/>
      <c r="C5" s="658" t="s">
        <v>972</v>
      </c>
      <c r="D5" s="658" t="s">
        <v>973</v>
      </c>
      <c r="E5" s="658" t="s">
        <v>974</v>
      </c>
      <c r="F5" s="658" t="s">
        <v>975</v>
      </c>
    </row>
    <row r="6" spans="1:6">
      <c r="B6" s="659" t="s">
        <v>970</v>
      </c>
      <c r="C6" s="660" t="b">
        <f>IF(C7&gt;0,C7,IF(C8&gt;0,C8,IF(C9&gt;0,C9)))</f>
        <v>0</v>
      </c>
      <c r="D6" s="660" t="b">
        <f>IF(D7&gt;0,D7,IF(D8&gt;0,D8,IF(D9&gt;0,D9)))</f>
        <v>0</v>
      </c>
      <c r="E6" s="660" t="b">
        <f>IF(E7&gt;0,E7,IF(E8&gt;0,E8,IF(E9&gt;0,E9)))</f>
        <v>0</v>
      </c>
      <c r="F6" s="660" t="b">
        <f>IF(F7&gt;0,F7,IF(F8&gt;0,F8,IF(F9&gt;0,F9)))</f>
        <v>0</v>
      </c>
    </row>
    <row r="7" spans="1:6">
      <c r="B7" s="661" t="s">
        <v>976</v>
      </c>
      <c r="C7" s="662"/>
      <c r="D7" s="662"/>
      <c r="E7" s="662"/>
      <c r="F7" s="662"/>
    </row>
    <row r="8" spans="1:6">
      <c r="B8" s="661" t="s">
        <v>977</v>
      </c>
      <c r="C8" s="662"/>
      <c r="D8" s="662"/>
      <c r="E8" s="662"/>
      <c r="F8" s="662"/>
    </row>
    <row r="9" spans="1:6">
      <c r="B9" s="661" t="s">
        <v>978</v>
      </c>
      <c r="C9" s="662"/>
      <c r="D9" s="662"/>
      <c r="E9" s="662"/>
      <c r="F9" s="662"/>
    </row>
  </sheetData>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2" tint="-9.9978637043366805E-2"/>
  </sheetPr>
  <dimension ref="A1:N43"/>
  <sheetViews>
    <sheetView zoomScale="80" zoomScaleNormal="80" workbookViewId="0">
      <pane xSplit="2" ySplit="6" topLeftCell="C7" activePane="bottomRight" state="frozen"/>
      <selection activeCell="B2" sqref="B2"/>
      <selection pane="topRight" activeCell="B2" sqref="B2"/>
      <selection pane="bottomLeft" activeCell="B2" sqref="B2"/>
      <selection pane="bottomRight" activeCell="E34" sqref="E34"/>
    </sheetView>
  </sheetViews>
  <sheetFormatPr defaultRowHeight="14.4"/>
  <cols>
    <col min="1" max="1" width="9.88671875" style="212" bestFit="1" customWidth="1"/>
    <col min="2" max="2" width="82.5546875" style="23" customWidth="1"/>
    <col min="3" max="7" width="17.5546875" style="212" customWidth="1"/>
    <col min="8" max="8" width="11.33203125" bestFit="1" customWidth="1"/>
    <col min="9" max="9" width="15.21875" bestFit="1" customWidth="1"/>
    <col min="10" max="10" width="14" bestFit="1" customWidth="1"/>
    <col min="11" max="11" width="15.21875" bestFit="1" customWidth="1"/>
    <col min="12" max="12" width="11.21875" bestFit="1" customWidth="1"/>
    <col min="14" max="14" width="12.88671875" bestFit="1" customWidth="1"/>
  </cols>
  <sheetData>
    <row r="1" spans="1:14">
      <c r="A1" s="212" t="s">
        <v>97</v>
      </c>
      <c r="B1" s="212" t="str">
        <f>Info!C2</f>
        <v>სს "ჰეშ ბანკი"</v>
      </c>
    </row>
    <row r="2" spans="1:14">
      <c r="A2" s="212" t="s">
        <v>98</v>
      </c>
      <c r="B2" s="709">
        <f>'1. key ratios'!B2</f>
        <v>46112</v>
      </c>
    </row>
    <row r="3" spans="1:14">
      <c r="B3" s="308"/>
    </row>
    <row r="4" spans="1:14" ht="15" thickBot="1">
      <c r="A4" s="212" t="s">
        <v>457</v>
      </c>
      <c r="B4" s="311" t="s">
        <v>422</v>
      </c>
    </row>
    <row r="5" spans="1:14">
      <c r="A5" s="312"/>
      <c r="B5" s="313"/>
      <c r="C5" s="912" t="s">
        <v>423</v>
      </c>
      <c r="D5" s="912"/>
      <c r="E5" s="912"/>
      <c r="F5" s="912"/>
      <c r="G5" s="913" t="s">
        <v>424</v>
      </c>
    </row>
    <row r="6" spans="1:14">
      <c r="A6" s="314"/>
      <c r="B6" s="315"/>
      <c r="C6" s="316" t="s">
        <v>425</v>
      </c>
      <c r="D6" s="317" t="s">
        <v>426</v>
      </c>
      <c r="E6" s="317" t="s">
        <v>427</v>
      </c>
      <c r="F6" s="317" t="s">
        <v>428</v>
      </c>
      <c r="G6" s="914"/>
    </row>
    <row r="7" spans="1:14">
      <c r="A7" s="318"/>
      <c r="B7" s="319" t="s">
        <v>429</v>
      </c>
      <c r="C7" s="320"/>
      <c r="D7" s="320"/>
      <c r="E7" s="320"/>
      <c r="F7" s="320"/>
      <c r="G7" s="321"/>
    </row>
    <row r="8" spans="1:14">
      <c r="A8" s="322">
        <v>1</v>
      </c>
      <c r="B8" s="323" t="s">
        <v>430</v>
      </c>
      <c r="C8" s="324">
        <f>C9</f>
        <v>53182089.75000006</v>
      </c>
      <c r="D8" s="324">
        <f>SUM(D9:D10)</f>
        <v>0</v>
      </c>
      <c r="E8" s="324">
        <f>SUM(E9:E10)</f>
        <v>0</v>
      </c>
      <c r="F8" s="324">
        <f>SUM(F9:F10)</f>
        <v>38381.64</v>
      </c>
      <c r="G8" s="325">
        <f>SUM(G9:G10)</f>
        <v>53220471.39000006</v>
      </c>
    </row>
    <row r="9" spans="1:14">
      <c r="A9" s="322">
        <v>2</v>
      </c>
      <c r="B9" s="326" t="s">
        <v>74</v>
      </c>
      <c r="C9" s="745">
        <v>53182089.75000006</v>
      </c>
      <c r="D9" s="324"/>
      <c r="E9" s="324"/>
      <c r="F9" s="324"/>
      <c r="G9" s="325">
        <v>53182089.75000006</v>
      </c>
      <c r="I9" s="796"/>
      <c r="K9" s="796"/>
    </row>
    <row r="10" spans="1:14">
      <c r="A10" s="322">
        <v>3</v>
      </c>
      <c r="B10" s="326" t="s">
        <v>431</v>
      </c>
      <c r="C10" s="327"/>
      <c r="D10" s="327"/>
      <c r="E10" s="327"/>
      <c r="F10" s="324">
        <v>38381.64</v>
      </c>
      <c r="G10" s="325">
        <v>38381.64</v>
      </c>
    </row>
    <row r="11" spans="1:14" ht="27.6">
      <c r="A11" s="322">
        <v>4</v>
      </c>
      <c r="B11" s="323" t="s">
        <v>432</v>
      </c>
      <c r="C11" s="324">
        <f t="shared" ref="C11:F11" si="0">SUM(C12:C13)</f>
        <v>1999426.2748000068</v>
      </c>
      <c r="D11" s="324">
        <f t="shared" si="0"/>
        <v>168711.89359999998</v>
      </c>
      <c r="E11" s="324">
        <f t="shared" si="0"/>
        <v>266092.80110000004</v>
      </c>
      <c r="F11" s="324">
        <f t="shared" si="0"/>
        <v>5001.68</v>
      </c>
      <c r="G11" s="325">
        <f>SUM(G12:G13)</f>
        <v>1839635.8858100106</v>
      </c>
    </row>
    <row r="12" spans="1:14">
      <c r="A12" s="322">
        <v>5</v>
      </c>
      <c r="B12" s="326" t="s">
        <v>433</v>
      </c>
      <c r="C12" s="745">
        <v>942147.53210000659</v>
      </c>
      <c r="D12" s="328">
        <v>168711.89359999998</v>
      </c>
      <c r="E12" s="324">
        <v>261960.14110000004</v>
      </c>
      <c r="F12" s="324">
        <v>5001.68</v>
      </c>
      <c r="G12" s="325">
        <v>1308930.1844600106</v>
      </c>
      <c r="I12" s="781"/>
      <c r="J12" s="781"/>
      <c r="K12" s="781"/>
      <c r="L12" s="781"/>
      <c r="N12" s="832">
        <v>4.6566128730773926E-9</v>
      </c>
    </row>
    <row r="13" spans="1:14">
      <c r="A13" s="322">
        <v>6</v>
      </c>
      <c r="B13" s="326" t="s">
        <v>434</v>
      </c>
      <c r="C13" s="745">
        <v>1057278.7427000001</v>
      </c>
      <c r="D13" s="328">
        <v>0</v>
      </c>
      <c r="E13" s="324">
        <v>4132.66</v>
      </c>
      <c r="F13" s="324">
        <v>0</v>
      </c>
      <c r="G13" s="325">
        <v>530705.7013500001</v>
      </c>
      <c r="I13" s="781"/>
      <c r="J13" s="781"/>
      <c r="K13" s="781"/>
      <c r="L13" s="781"/>
      <c r="N13" s="832">
        <v>0</v>
      </c>
    </row>
    <row r="14" spans="1:14">
      <c r="A14" s="322">
        <v>7</v>
      </c>
      <c r="B14" s="323" t="s">
        <v>435</v>
      </c>
      <c r="C14" s="324">
        <f t="shared" ref="C14:F14" si="1">SUM(C15:C16)</f>
        <v>3599462.2483000001</v>
      </c>
      <c r="D14" s="324">
        <f t="shared" si="1"/>
        <v>0</v>
      </c>
      <c r="E14" s="324">
        <f t="shared" si="1"/>
        <v>0</v>
      </c>
      <c r="F14" s="324">
        <f t="shared" si="1"/>
        <v>0</v>
      </c>
      <c r="G14" s="325">
        <f>SUM(G15:G16)</f>
        <v>1799731.12415</v>
      </c>
    </row>
    <row r="15" spans="1:14" ht="55.2">
      <c r="A15" s="322">
        <v>8</v>
      </c>
      <c r="B15" s="326" t="s">
        <v>436</v>
      </c>
      <c r="C15" s="324">
        <v>3599462.2483000001</v>
      </c>
      <c r="D15" s="328">
        <v>0</v>
      </c>
      <c r="E15" s="324">
        <v>0</v>
      </c>
      <c r="F15" s="324">
        <v>0</v>
      </c>
      <c r="G15" s="325">
        <v>1799731.12415</v>
      </c>
      <c r="I15" s="781"/>
      <c r="J15" s="781"/>
      <c r="K15" s="781"/>
      <c r="L15" s="781"/>
      <c r="N15" s="833">
        <v>0</v>
      </c>
    </row>
    <row r="16" spans="1:14" ht="27.6">
      <c r="A16" s="322">
        <v>9</v>
      </c>
      <c r="B16" s="326" t="s">
        <v>437</v>
      </c>
      <c r="C16" s="324"/>
      <c r="D16" s="328"/>
      <c r="E16" s="324"/>
      <c r="F16" s="324"/>
      <c r="G16" s="325"/>
    </row>
    <row r="17" spans="1:13">
      <c r="A17" s="322">
        <v>10</v>
      </c>
      <c r="B17" s="323" t="s">
        <v>438</v>
      </c>
      <c r="C17" s="324"/>
      <c r="D17" s="328"/>
      <c r="E17" s="324"/>
      <c r="F17" s="324"/>
      <c r="G17" s="325"/>
    </row>
    <row r="18" spans="1:13">
      <c r="A18" s="322">
        <v>11</v>
      </c>
      <c r="B18" s="323" t="s">
        <v>78</v>
      </c>
      <c r="C18" s="324">
        <f>SUM(C19:C20)</f>
        <v>4794976.0506999996</v>
      </c>
      <c r="D18" s="328">
        <f t="shared" ref="D18:G18" si="2">SUM(D19:D20)</f>
        <v>0</v>
      </c>
      <c r="E18" s="324">
        <f t="shared" si="2"/>
        <v>0</v>
      </c>
      <c r="F18" s="324">
        <f t="shared" si="2"/>
        <v>0</v>
      </c>
      <c r="G18" s="325">
        <f t="shared" si="2"/>
        <v>0</v>
      </c>
    </row>
    <row r="19" spans="1:13">
      <c r="A19" s="322">
        <v>12</v>
      </c>
      <c r="B19" s="326" t="s">
        <v>439</v>
      </c>
      <c r="C19" s="327"/>
      <c r="D19" s="328"/>
      <c r="E19" s="324"/>
      <c r="F19" s="324"/>
      <c r="G19" s="325"/>
      <c r="I19" s="3"/>
      <c r="J19" s="3"/>
      <c r="K19" s="3"/>
      <c r="L19" s="3"/>
      <c r="M19" s="3"/>
    </row>
    <row r="20" spans="1:13" ht="27.6">
      <c r="A20" s="322">
        <v>13</v>
      </c>
      <c r="B20" s="326" t="s">
        <v>440</v>
      </c>
      <c r="C20" s="745">
        <v>4794976.0506999996</v>
      </c>
      <c r="D20" s="324"/>
      <c r="E20" s="324"/>
      <c r="F20" s="324"/>
      <c r="G20" s="325"/>
      <c r="I20" s="839"/>
      <c r="J20" s="3"/>
      <c r="K20" s="839"/>
      <c r="L20" s="3"/>
      <c r="M20" s="3"/>
    </row>
    <row r="21" spans="1:13">
      <c r="A21" s="329">
        <v>14</v>
      </c>
      <c r="B21" s="330" t="s">
        <v>441</v>
      </c>
      <c r="C21" s="327"/>
      <c r="D21" s="327"/>
      <c r="E21" s="327"/>
      <c r="F21" s="327"/>
      <c r="G21" s="331">
        <f>SUM(G8,G11,G14,G17,G18)</f>
        <v>56859838.399960071</v>
      </c>
      <c r="H21" s="811">
        <v>0</v>
      </c>
      <c r="I21" s="3"/>
      <c r="J21" s="3"/>
      <c r="K21" s="3"/>
      <c r="L21" s="3"/>
      <c r="M21" s="3"/>
    </row>
    <row r="22" spans="1:13">
      <c r="A22" s="332"/>
      <c r="B22" s="349" t="s">
        <v>442</v>
      </c>
      <c r="C22" s="333"/>
      <c r="D22" s="334"/>
      <c r="E22" s="333"/>
      <c r="F22" s="333"/>
      <c r="G22" s="335"/>
      <c r="I22" s="3"/>
      <c r="J22" s="3"/>
      <c r="K22" s="3"/>
      <c r="L22" s="3"/>
      <c r="M22" s="3"/>
    </row>
    <row r="23" spans="1:13">
      <c r="A23" s="322">
        <v>15</v>
      </c>
      <c r="B23" s="323" t="s">
        <v>310</v>
      </c>
      <c r="C23" s="336">
        <v>2352458.1765000001</v>
      </c>
      <c r="D23" s="337">
        <v>9189463.9091000017</v>
      </c>
      <c r="E23" s="336"/>
      <c r="F23" s="336"/>
      <c r="G23" s="325">
        <v>459473.1954550001</v>
      </c>
      <c r="I23" s="839"/>
      <c r="J23" s="839"/>
      <c r="K23" s="840"/>
      <c r="L23" s="3"/>
      <c r="M23" s="3"/>
    </row>
    <row r="24" spans="1:13">
      <c r="A24" s="322">
        <v>16</v>
      </c>
      <c r="B24" s="323" t="s">
        <v>443</v>
      </c>
      <c r="C24" s="324">
        <f>SUM(C25:C27,C29,C31)</f>
        <v>92010.068100000004</v>
      </c>
      <c r="D24" s="328">
        <f t="shared" ref="D24:G24" si="3">SUM(D25:D27,D29,D31)</f>
        <v>42242498.548900001</v>
      </c>
      <c r="E24" s="324">
        <f t="shared" si="3"/>
        <v>33691.599999999991</v>
      </c>
      <c r="F24" s="324">
        <f t="shared" si="3"/>
        <v>1071996.1399999999</v>
      </c>
      <c r="G24" s="325">
        <f t="shared" si="3"/>
        <v>8772585.3740500007</v>
      </c>
      <c r="I24" s="3"/>
      <c r="J24" s="3"/>
      <c r="K24" s="3"/>
      <c r="L24" s="3"/>
      <c r="M24" s="3"/>
    </row>
    <row r="25" spans="1:13" ht="27.6">
      <c r="A25" s="322">
        <v>17</v>
      </c>
      <c r="B25" s="326" t="s">
        <v>444</v>
      </c>
      <c r="C25" s="324">
        <v>91937.468099999998</v>
      </c>
      <c r="D25" s="328">
        <v>37972952.398900002</v>
      </c>
      <c r="E25" s="324">
        <v>0</v>
      </c>
      <c r="F25" s="324">
        <v>0</v>
      </c>
      <c r="G25" s="325">
        <v>5709733.4800499994</v>
      </c>
      <c r="I25" s="841"/>
      <c r="J25" s="841"/>
      <c r="K25" s="841"/>
      <c r="L25" s="841"/>
      <c r="M25" s="3"/>
    </row>
    <row r="26" spans="1:13" ht="27.6">
      <c r="A26" s="322">
        <v>18</v>
      </c>
      <c r="B26" s="326" t="s">
        <v>445</v>
      </c>
      <c r="C26" s="324"/>
      <c r="D26" s="328"/>
      <c r="E26" s="324"/>
      <c r="F26" s="324"/>
      <c r="G26" s="325"/>
      <c r="I26" s="3"/>
      <c r="J26" s="3"/>
      <c r="K26" s="3"/>
      <c r="L26" s="3"/>
      <c r="M26" s="3"/>
    </row>
    <row r="27" spans="1:13">
      <c r="A27" s="322">
        <v>19</v>
      </c>
      <c r="B27" s="326" t="s">
        <v>446</v>
      </c>
      <c r="C27" s="324">
        <v>72.599999999999994</v>
      </c>
      <c r="D27" s="328">
        <v>14249.789999999999</v>
      </c>
      <c r="E27" s="324">
        <v>33691.599999999991</v>
      </c>
      <c r="F27" s="324">
        <v>1071996.1399999999</v>
      </c>
      <c r="G27" s="325">
        <v>935203.7140000005</v>
      </c>
      <c r="I27" s="841"/>
      <c r="J27" s="841"/>
      <c r="K27" s="842"/>
      <c r="L27" s="841"/>
      <c r="M27" s="3"/>
    </row>
    <row r="28" spans="1:13">
      <c r="A28" s="322">
        <v>20</v>
      </c>
      <c r="B28" s="338" t="s">
        <v>447</v>
      </c>
      <c r="C28" s="324"/>
      <c r="D28" s="328"/>
      <c r="E28" s="324"/>
      <c r="F28" s="324"/>
      <c r="G28" s="325"/>
      <c r="I28" s="3"/>
      <c r="J28" s="3"/>
      <c r="K28" s="3"/>
      <c r="L28" s="3"/>
      <c r="M28" s="3"/>
    </row>
    <row r="29" spans="1:13">
      <c r="A29" s="322">
        <v>21</v>
      </c>
      <c r="B29" s="326" t="s">
        <v>448</v>
      </c>
      <c r="C29" s="324"/>
      <c r="D29" s="328"/>
      <c r="E29" s="324"/>
      <c r="F29" s="324"/>
      <c r="G29" s="325"/>
      <c r="I29" s="3"/>
      <c r="J29" s="3"/>
      <c r="K29" s="3"/>
      <c r="L29" s="3"/>
      <c r="M29" s="3"/>
    </row>
    <row r="30" spans="1:13">
      <c r="A30" s="322">
        <v>22</v>
      </c>
      <c r="B30" s="338" t="s">
        <v>447</v>
      </c>
      <c r="C30" s="324"/>
      <c r="D30" s="328"/>
      <c r="E30" s="324"/>
      <c r="F30" s="324"/>
      <c r="G30" s="325"/>
      <c r="I30" s="3"/>
      <c r="J30" s="3"/>
      <c r="K30" s="3"/>
      <c r="L30" s="3"/>
      <c r="M30" s="3"/>
    </row>
    <row r="31" spans="1:13" ht="27.6">
      <c r="A31" s="322">
        <v>23</v>
      </c>
      <c r="B31" s="326" t="s">
        <v>449</v>
      </c>
      <c r="C31" s="324">
        <v>0</v>
      </c>
      <c r="D31" s="324">
        <v>4255296.3600000003</v>
      </c>
      <c r="E31" s="324">
        <v>0</v>
      </c>
      <c r="F31" s="324"/>
      <c r="G31" s="325">
        <f>D31*50%</f>
        <v>2127648.1800000002</v>
      </c>
      <c r="I31" s="841"/>
      <c r="J31" s="841"/>
      <c r="K31" s="841"/>
      <c r="L31" s="841"/>
      <c r="M31" s="3"/>
    </row>
    <row r="32" spans="1:13">
      <c r="A32" s="322">
        <v>24</v>
      </c>
      <c r="B32" s="323" t="s">
        <v>450</v>
      </c>
      <c r="C32" s="324"/>
      <c r="D32" s="328"/>
      <c r="E32" s="324"/>
      <c r="F32" s="324"/>
      <c r="G32" s="325"/>
      <c r="I32" s="3"/>
      <c r="J32" s="3"/>
      <c r="K32" s="3"/>
      <c r="L32" s="3"/>
      <c r="M32" s="3"/>
    </row>
    <row r="33" spans="1:13">
      <c r="A33" s="322">
        <v>25</v>
      </c>
      <c r="B33" s="323" t="s">
        <v>88</v>
      </c>
      <c r="C33" s="324">
        <f>SUM(C34:C35)</f>
        <v>9072023.889000006</v>
      </c>
      <c r="D33" s="324">
        <f>SUM(D34:D35)</f>
        <v>0</v>
      </c>
      <c r="E33" s="324">
        <f>SUM(E34:E35)</f>
        <v>0</v>
      </c>
      <c r="F33" s="324">
        <f>SUM(F34:F35)</f>
        <v>0</v>
      </c>
      <c r="G33" s="325">
        <f>SUM(G34:G35)</f>
        <v>9072023.5391000025</v>
      </c>
      <c r="I33" s="3"/>
      <c r="J33" s="3"/>
      <c r="K33" s="3"/>
      <c r="L33" s="3"/>
      <c r="M33" s="3"/>
    </row>
    <row r="34" spans="1:13">
      <c r="A34" s="322">
        <v>26</v>
      </c>
      <c r="B34" s="326" t="s">
        <v>451</v>
      </c>
      <c r="C34" s="327"/>
      <c r="D34" s="328"/>
      <c r="E34" s="324"/>
      <c r="F34" s="324"/>
      <c r="G34" s="325"/>
      <c r="I34" s="3"/>
      <c r="J34" s="3"/>
      <c r="K34" s="3"/>
      <c r="L34" s="3"/>
      <c r="M34" s="3"/>
    </row>
    <row r="35" spans="1:13">
      <c r="A35" s="322">
        <v>27</v>
      </c>
      <c r="B35" s="326" t="s">
        <v>452</v>
      </c>
      <c r="C35" s="324">
        <v>9072023.889000006</v>
      </c>
      <c r="D35" s="328"/>
      <c r="E35" s="324"/>
      <c r="F35" s="324"/>
      <c r="G35" s="325">
        <v>9072023.5391000025</v>
      </c>
      <c r="I35" s="839"/>
      <c r="J35" s="3"/>
      <c r="K35" s="839"/>
      <c r="L35" s="3"/>
      <c r="M35" s="3"/>
    </row>
    <row r="36" spans="1:13">
      <c r="A36" s="322">
        <v>28</v>
      </c>
      <c r="B36" s="323" t="s">
        <v>453</v>
      </c>
      <c r="C36" s="324"/>
      <c r="D36" s="328"/>
      <c r="E36" s="324"/>
      <c r="F36" s="324"/>
      <c r="G36" s="325"/>
      <c r="I36" s="3"/>
      <c r="J36" s="3"/>
      <c r="K36" s="3"/>
      <c r="L36" s="3"/>
      <c r="M36" s="3"/>
    </row>
    <row r="37" spans="1:13">
      <c r="A37" s="329">
        <v>29</v>
      </c>
      <c r="B37" s="330" t="s">
        <v>454</v>
      </c>
      <c r="C37" s="327"/>
      <c r="D37" s="327"/>
      <c r="E37" s="327"/>
      <c r="F37" s="327"/>
      <c r="G37" s="331">
        <f>SUM(G23:G24,G32:G33,G36)</f>
        <v>18304082.108605005</v>
      </c>
      <c r="H37" s="811">
        <v>0</v>
      </c>
      <c r="I37" s="3"/>
      <c r="J37" s="3"/>
      <c r="K37" s="3"/>
      <c r="L37" s="3"/>
      <c r="M37" s="3"/>
    </row>
    <row r="38" spans="1:13">
      <c r="A38" s="318"/>
      <c r="B38" s="339"/>
      <c r="C38" s="340"/>
      <c r="D38" s="340"/>
      <c r="E38" s="340"/>
      <c r="F38" s="340"/>
      <c r="G38" s="341"/>
      <c r="H38" s="811"/>
      <c r="I38" s="3"/>
      <c r="J38" s="3"/>
      <c r="K38" s="3"/>
      <c r="L38" s="3"/>
      <c r="M38" s="3"/>
    </row>
    <row r="39" spans="1:13" ht="15" thickBot="1">
      <c r="A39" s="342">
        <v>30</v>
      </c>
      <c r="B39" s="343" t="s">
        <v>422</v>
      </c>
      <c r="C39" s="221"/>
      <c r="D39" s="203"/>
      <c r="E39" s="203"/>
      <c r="F39" s="344"/>
      <c r="G39" s="345">
        <f>IFERROR(G21/G37,0)</f>
        <v>3.1064020617143902</v>
      </c>
      <c r="H39" s="812">
        <v>0</v>
      </c>
      <c r="I39" s="3"/>
      <c r="J39" s="3"/>
      <c r="K39" s="3"/>
      <c r="L39" s="3"/>
      <c r="M39" s="3"/>
    </row>
    <row r="40" spans="1:13">
      <c r="I40" s="3"/>
      <c r="J40" s="3"/>
      <c r="K40" s="3"/>
      <c r="L40" s="3"/>
      <c r="M40" s="3"/>
    </row>
    <row r="41" spans="1:13">
      <c r="G41" s="813">
        <v>18304082.108605005</v>
      </c>
      <c r="I41" s="3"/>
      <c r="J41" s="843"/>
      <c r="K41" s="3"/>
      <c r="L41" s="3"/>
      <c r="M41" s="3"/>
    </row>
    <row r="42" spans="1:13" ht="41.4">
      <c r="B42" s="23" t="s">
        <v>455</v>
      </c>
      <c r="G42" s="814">
        <f>G41-G37</f>
        <v>0</v>
      </c>
    </row>
    <row r="43" spans="1:13">
      <c r="G43" s="813"/>
    </row>
  </sheetData>
  <mergeCells count="2">
    <mergeCell ref="C5:F5"/>
    <mergeCell ref="G5:G6"/>
  </mergeCell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theme="2" tint="-9.9978637043366805E-2"/>
  </sheetPr>
  <dimension ref="A1:H26"/>
  <sheetViews>
    <sheetView showGridLines="0" zoomScale="115" zoomScaleNormal="115" workbookViewId="0"/>
  </sheetViews>
  <sheetFormatPr defaultColWidth="9.109375" defaultRowHeight="12"/>
  <cols>
    <col min="1" max="1" width="11.88671875" style="354" bestFit="1" customWidth="1"/>
    <col min="2" max="2" width="105.109375" style="354" bestFit="1" customWidth="1"/>
    <col min="3" max="3" width="13.88671875" style="354" bestFit="1" customWidth="1"/>
    <col min="4" max="4" width="15.6640625" style="354" bestFit="1" customWidth="1"/>
    <col min="5" max="5" width="17.5546875" style="354" bestFit="1" customWidth="1"/>
    <col min="6" max="6" width="9" style="354" bestFit="1" customWidth="1"/>
    <col min="7" max="7" width="30.44140625" style="354" customWidth="1"/>
    <col min="8" max="8" width="15.6640625" style="354" bestFit="1" customWidth="1"/>
    <col min="9" max="16384" width="9.109375" style="354"/>
  </cols>
  <sheetData>
    <row r="1" spans="1:8" ht="13.8">
      <c r="A1" s="353" t="s">
        <v>97</v>
      </c>
      <c r="B1" s="272" t="str">
        <f>Info!C2</f>
        <v>სს "ჰეშ ბანკი"</v>
      </c>
    </row>
    <row r="2" spans="1:8">
      <c r="A2" s="355" t="s">
        <v>98</v>
      </c>
      <c r="B2" s="719">
        <f>'1. key ratios'!B2</f>
        <v>46112</v>
      </c>
    </row>
    <row r="3" spans="1:8">
      <c r="A3" s="356" t="s">
        <v>462</v>
      </c>
    </row>
    <row r="5" spans="1:8">
      <c r="A5" s="915" t="s">
        <v>463</v>
      </c>
      <c r="B5" s="916"/>
      <c r="C5" s="921" t="s">
        <v>464</v>
      </c>
      <c r="D5" s="922"/>
      <c r="E5" s="922"/>
      <c r="F5" s="922"/>
      <c r="G5" s="922"/>
      <c r="H5" s="923"/>
    </row>
    <row r="6" spans="1:8">
      <c r="A6" s="917"/>
      <c r="B6" s="918"/>
      <c r="C6" s="924"/>
      <c r="D6" s="925"/>
      <c r="E6" s="925"/>
      <c r="F6" s="925"/>
      <c r="G6" s="925"/>
      <c r="H6" s="926"/>
    </row>
    <row r="7" spans="1:8" ht="24">
      <c r="A7" s="919"/>
      <c r="B7" s="920"/>
      <c r="C7" s="459" t="s">
        <v>465</v>
      </c>
      <c r="D7" s="459" t="s">
        <v>466</v>
      </c>
      <c r="E7" s="459" t="s">
        <v>467</v>
      </c>
      <c r="F7" s="459" t="s">
        <v>468</v>
      </c>
      <c r="G7" s="460" t="s">
        <v>648</v>
      </c>
      <c r="H7" s="459" t="s">
        <v>66</v>
      </c>
    </row>
    <row r="8" spans="1:8">
      <c r="A8" s="455">
        <v>1</v>
      </c>
      <c r="B8" s="454" t="s">
        <v>123</v>
      </c>
      <c r="C8" s="452"/>
      <c r="D8" s="748">
        <f>'13. CRME'!C8</f>
        <v>688998.41150000005</v>
      </c>
      <c r="E8" s="748"/>
      <c r="F8" s="748"/>
      <c r="G8" s="748"/>
      <c r="H8" s="748">
        <f t="shared" ref="H8:H20" si="0">SUM(C8:G8)</f>
        <v>688998.41150000005</v>
      </c>
    </row>
    <row r="9" spans="1:8">
      <c r="A9" s="455">
        <v>2</v>
      </c>
      <c r="B9" s="454" t="s">
        <v>124</v>
      </c>
      <c r="C9" s="452"/>
      <c r="D9" s="748">
        <v>0</v>
      </c>
      <c r="E9" s="748"/>
      <c r="F9" s="748"/>
      <c r="G9" s="748"/>
      <c r="H9" s="748">
        <f t="shared" si="0"/>
        <v>0</v>
      </c>
    </row>
    <row r="10" spans="1:8">
      <c r="A10" s="455">
        <v>3</v>
      </c>
      <c r="B10" s="454" t="s">
        <v>125</v>
      </c>
      <c r="C10" s="452"/>
      <c r="D10" s="748">
        <v>0</v>
      </c>
      <c r="E10" s="748"/>
      <c r="F10" s="748"/>
      <c r="G10" s="748"/>
      <c r="H10" s="748">
        <f t="shared" si="0"/>
        <v>0</v>
      </c>
    </row>
    <row r="11" spans="1:8">
      <c r="A11" s="455">
        <v>4</v>
      </c>
      <c r="B11" s="454" t="s">
        <v>126</v>
      </c>
      <c r="C11" s="452"/>
      <c r="D11" s="748">
        <v>0</v>
      </c>
      <c r="E11" s="748"/>
      <c r="F11" s="748"/>
      <c r="G11" s="748"/>
      <c r="H11" s="748">
        <f t="shared" si="0"/>
        <v>0</v>
      </c>
    </row>
    <row r="12" spans="1:8">
      <c r="A12" s="455">
        <v>5</v>
      </c>
      <c r="B12" s="454" t="s">
        <v>912</v>
      </c>
      <c r="C12" s="452"/>
      <c r="D12" s="748">
        <v>0</v>
      </c>
      <c r="E12" s="748"/>
      <c r="F12" s="748"/>
      <c r="G12" s="748"/>
      <c r="H12" s="748">
        <f t="shared" si="0"/>
        <v>0</v>
      </c>
    </row>
    <row r="13" spans="1:8">
      <c r="A13" s="455">
        <v>6</v>
      </c>
      <c r="B13" s="454" t="s">
        <v>127</v>
      </c>
      <c r="C13" s="452"/>
      <c r="D13" s="748">
        <f>'13. CRME'!C13</f>
        <v>52114188.15330001</v>
      </c>
      <c r="E13" s="748"/>
      <c r="F13" s="748"/>
      <c r="G13" s="748"/>
      <c r="H13" s="748">
        <f t="shared" si="0"/>
        <v>52114188.15330001</v>
      </c>
    </row>
    <row r="14" spans="1:8">
      <c r="A14" s="455">
        <v>7</v>
      </c>
      <c r="B14" s="454" t="s">
        <v>71</v>
      </c>
      <c r="C14" s="452"/>
      <c r="D14" s="748">
        <f>'13. CRME'!C14</f>
        <v>0</v>
      </c>
      <c r="E14" s="748"/>
      <c r="F14" s="748"/>
      <c r="G14" s="748"/>
      <c r="H14" s="748">
        <f t="shared" si="0"/>
        <v>0</v>
      </c>
    </row>
    <row r="15" spans="1:8">
      <c r="A15" s="455">
        <v>8</v>
      </c>
      <c r="B15" s="456" t="s">
        <v>72</v>
      </c>
      <c r="C15" s="452"/>
      <c r="D15" s="748">
        <f>'13. CRME'!C15-E15</f>
        <v>48014.339999999618</v>
      </c>
      <c r="E15" s="748">
        <f>'16. NSFR'!F27</f>
        <v>1071996.1399999999</v>
      </c>
      <c r="F15" s="748"/>
      <c r="G15" s="748"/>
      <c r="H15" s="748">
        <f t="shared" si="0"/>
        <v>1120010.4799999995</v>
      </c>
    </row>
    <row r="16" spans="1:8">
      <c r="A16" s="455">
        <v>9</v>
      </c>
      <c r="B16" s="454" t="s">
        <v>913</v>
      </c>
      <c r="C16" s="452"/>
      <c r="D16" s="748"/>
      <c r="E16" s="748"/>
      <c r="F16" s="748"/>
      <c r="G16" s="748"/>
      <c r="H16" s="748">
        <f t="shared" si="0"/>
        <v>0</v>
      </c>
    </row>
    <row r="17" spans="1:8">
      <c r="A17" s="455">
        <v>10</v>
      </c>
      <c r="B17" s="458" t="s">
        <v>483</v>
      </c>
      <c r="C17" s="452"/>
      <c r="D17" s="748"/>
      <c r="E17" s="748"/>
      <c r="F17" s="748"/>
      <c r="G17" s="748"/>
      <c r="H17" s="748">
        <f t="shared" si="0"/>
        <v>0</v>
      </c>
    </row>
    <row r="18" spans="1:8">
      <c r="A18" s="455">
        <v>11</v>
      </c>
      <c r="B18" s="454" t="s">
        <v>68</v>
      </c>
      <c r="C18" s="452"/>
      <c r="D18" s="748"/>
      <c r="E18" s="748"/>
      <c r="F18" s="748"/>
      <c r="G18" s="748"/>
      <c r="H18" s="748">
        <f t="shared" si="0"/>
        <v>0</v>
      </c>
    </row>
    <row r="19" spans="1:8">
      <c r="A19" s="455">
        <v>12</v>
      </c>
      <c r="B19" s="454" t="s">
        <v>69</v>
      </c>
      <c r="C19" s="452"/>
      <c r="D19" s="748"/>
      <c r="E19" s="748"/>
      <c r="F19" s="748"/>
      <c r="G19" s="748"/>
      <c r="H19" s="748">
        <f t="shared" si="0"/>
        <v>0</v>
      </c>
    </row>
    <row r="20" spans="1:8">
      <c r="A20" s="457">
        <v>13</v>
      </c>
      <c r="B20" s="456" t="s">
        <v>70</v>
      </c>
      <c r="C20" s="452"/>
      <c r="D20" s="748"/>
      <c r="E20" s="748"/>
      <c r="F20" s="748"/>
      <c r="G20" s="748"/>
      <c r="H20" s="748">
        <f t="shared" si="0"/>
        <v>0</v>
      </c>
    </row>
    <row r="21" spans="1:8">
      <c r="A21" s="455">
        <v>14</v>
      </c>
      <c r="B21" s="454" t="s">
        <v>469</v>
      </c>
      <c r="C21" s="452"/>
      <c r="D21" s="748"/>
      <c r="E21" s="748"/>
      <c r="F21" s="748"/>
      <c r="G21" s="748">
        <f>'13. CRME'!C21</f>
        <v>10130945.286800001</v>
      </c>
      <c r="H21" s="748">
        <f>SUM(C21:G21)</f>
        <v>10130945.286800001</v>
      </c>
    </row>
    <row r="22" spans="1:8">
      <c r="A22" s="453">
        <v>15</v>
      </c>
      <c r="B22" s="452" t="s">
        <v>66</v>
      </c>
      <c r="C22" s="452">
        <f>SUM(C18:C21)+SUM(C8:C16)</f>
        <v>0</v>
      </c>
      <c r="D22" s="748">
        <f t="shared" ref="D22:H22" si="1">SUM(D18:D21)+SUM(D8:D16)</f>
        <v>52851200.904800005</v>
      </c>
      <c r="E22" s="748">
        <f t="shared" si="1"/>
        <v>1071996.1399999999</v>
      </c>
      <c r="F22" s="748">
        <f t="shared" si="1"/>
        <v>0</v>
      </c>
      <c r="G22" s="748">
        <f t="shared" si="1"/>
        <v>10130945.286800001</v>
      </c>
      <c r="H22" s="748">
        <f t="shared" si="1"/>
        <v>64054142.33160001</v>
      </c>
    </row>
    <row r="23" spans="1:8">
      <c r="H23" s="785">
        <f>H22-'13. CRME'!C22</f>
        <v>0</v>
      </c>
    </row>
    <row r="26" spans="1:8" ht="36">
      <c r="B26" s="373" t="s">
        <v>647</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theme="2" tint="-9.9978637043366805E-2"/>
  </sheetPr>
  <dimension ref="A1:I26"/>
  <sheetViews>
    <sheetView showGridLines="0" topLeftCell="B1" zoomScale="110" zoomScaleNormal="110" workbookViewId="0">
      <selection activeCell="C22" sqref="C22:G23"/>
    </sheetView>
  </sheetViews>
  <sheetFormatPr defaultColWidth="9.109375" defaultRowHeight="12"/>
  <cols>
    <col min="1" max="1" width="11.88671875" style="357" bestFit="1" customWidth="1"/>
    <col min="2" max="2" width="86.88671875" style="354" customWidth="1"/>
    <col min="3" max="3" width="31.5546875" style="354" customWidth="1"/>
    <col min="4" max="4" width="32.109375" style="354" customWidth="1"/>
    <col min="5" max="5" width="17.6640625" style="359" bestFit="1" customWidth="1"/>
    <col min="6" max="6" width="8.44140625" style="359" bestFit="1" customWidth="1"/>
    <col min="7" max="7" width="21.5546875" style="354" bestFit="1" customWidth="1"/>
    <col min="8" max="8" width="15.5546875" style="354" bestFit="1" customWidth="1"/>
    <col min="9" max="9" width="4.88671875" style="354" bestFit="1" customWidth="1"/>
    <col min="10" max="16384" width="9.109375" style="354"/>
  </cols>
  <sheetData>
    <row r="1" spans="1:9" ht="13.8">
      <c r="A1" s="353" t="s">
        <v>97</v>
      </c>
      <c r="B1" s="272" t="str">
        <f>Info!C2</f>
        <v>სს "ჰეშ ბანკი"</v>
      </c>
      <c r="C1" s="473"/>
      <c r="D1" s="473"/>
      <c r="E1" s="473"/>
      <c r="F1" s="473"/>
      <c r="G1" s="473"/>
      <c r="H1" s="473"/>
    </row>
    <row r="2" spans="1:9">
      <c r="A2" s="355" t="s">
        <v>98</v>
      </c>
      <c r="B2" s="719">
        <f>'1. key ratios'!B2</f>
        <v>46112</v>
      </c>
      <c r="C2" s="473"/>
      <c r="D2" s="473"/>
      <c r="E2" s="473"/>
      <c r="F2" s="473"/>
      <c r="G2" s="473"/>
      <c r="H2" s="473"/>
    </row>
    <row r="3" spans="1:9">
      <c r="A3" s="356" t="s">
        <v>470</v>
      </c>
      <c r="B3" s="473"/>
      <c r="C3" s="473"/>
      <c r="D3" s="473"/>
      <c r="E3" s="473"/>
      <c r="F3" s="473"/>
      <c r="G3" s="473"/>
      <c r="H3" s="473"/>
    </row>
    <row r="4" spans="1:9">
      <c r="A4" s="474"/>
      <c r="B4" s="473"/>
      <c r="C4" s="472" t="s">
        <v>471</v>
      </c>
      <c r="D4" s="472" t="s">
        <v>472</v>
      </c>
      <c r="E4" s="472" t="s">
        <v>473</v>
      </c>
      <c r="F4" s="472" t="s">
        <v>474</v>
      </c>
      <c r="G4" s="472" t="s">
        <v>475</v>
      </c>
      <c r="H4" s="472" t="s">
        <v>476</v>
      </c>
    </row>
    <row r="5" spans="1:9" ht="33.9" customHeight="1">
      <c r="A5" s="915" t="s">
        <v>835</v>
      </c>
      <c r="B5" s="916"/>
      <c r="C5" s="929" t="s">
        <v>565</v>
      </c>
      <c r="D5" s="929"/>
      <c r="E5" s="929" t="s">
        <v>834</v>
      </c>
      <c r="F5" s="927" t="s">
        <v>833</v>
      </c>
      <c r="G5" s="927" t="s">
        <v>480</v>
      </c>
      <c r="H5" s="470" t="s">
        <v>832</v>
      </c>
    </row>
    <row r="6" spans="1:9" ht="24">
      <c r="A6" s="919"/>
      <c r="B6" s="920"/>
      <c r="C6" s="471" t="s">
        <v>481</v>
      </c>
      <c r="D6" s="471" t="s">
        <v>482</v>
      </c>
      <c r="E6" s="929"/>
      <c r="F6" s="928"/>
      <c r="G6" s="928"/>
      <c r="H6" s="470" t="s">
        <v>831</v>
      </c>
    </row>
    <row r="7" spans="1:9">
      <c r="A7" s="468">
        <v>1</v>
      </c>
      <c r="B7" s="454" t="s">
        <v>123</v>
      </c>
      <c r="C7" s="462"/>
      <c r="D7" s="786">
        <f>'13. CRME'!C8</f>
        <v>688998.41150000005</v>
      </c>
      <c r="E7" s="787"/>
      <c r="F7" s="787"/>
      <c r="G7" s="786"/>
      <c r="H7" s="461">
        <f t="shared" ref="H7:H20" si="0">C7+D7-E7-F7</f>
        <v>688998.41150000005</v>
      </c>
    </row>
    <row r="8" spans="1:9" ht="14.4" customHeight="1">
      <c r="A8" s="468">
        <v>2</v>
      </c>
      <c r="B8" s="454" t="s">
        <v>124</v>
      </c>
      <c r="C8" s="462"/>
      <c r="D8" s="786">
        <v>0</v>
      </c>
      <c r="E8" s="787"/>
      <c r="F8" s="787"/>
      <c r="G8" s="786"/>
      <c r="H8" s="461">
        <f t="shared" si="0"/>
        <v>0</v>
      </c>
    </row>
    <row r="9" spans="1:9">
      <c r="A9" s="468">
        <v>3</v>
      </c>
      <c r="B9" s="454" t="s">
        <v>125</v>
      </c>
      <c r="C9" s="462"/>
      <c r="D9" s="786">
        <v>0</v>
      </c>
      <c r="E9" s="787"/>
      <c r="F9" s="787"/>
      <c r="G9" s="786"/>
      <c r="H9" s="461">
        <f t="shared" si="0"/>
        <v>0</v>
      </c>
    </row>
    <row r="10" spans="1:9">
      <c r="A10" s="468">
        <v>4</v>
      </c>
      <c r="B10" s="454" t="s">
        <v>126</v>
      </c>
      <c r="C10" s="462"/>
      <c r="D10" s="786">
        <v>0</v>
      </c>
      <c r="E10" s="787"/>
      <c r="F10" s="787"/>
      <c r="G10" s="786"/>
      <c r="H10" s="461">
        <f t="shared" si="0"/>
        <v>0</v>
      </c>
    </row>
    <row r="11" spans="1:9">
      <c r="A11" s="468">
        <v>5</v>
      </c>
      <c r="B11" s="454" t="s">
        <v>912</v>
      </c>
      <c r="C11" s="462"/>
      <c r="D11" s="786">
        <v>0</v>
      </c>
      <c r="E11" s="787"/>
      <c r="F11" s="787"/>
      <c r="G11" s="786"/>
      <c r="H11" s="461">
        <f t="shared" si="0"/>
        <v>0</v>
      </c>
    </row>
    <row r="12" spans="1:9">
      <c r="A12" s="468">
        <v>6</v>
      </c>
      <c r="B12" s="454" t="s">
        <v>127</v>
      </c>
      <c r="C12" s="462"/>
      <c r="D12" s="786">
        <f>'13. CRME'!C13+E12</f>
        <v>52300710.683300011</v>
      </c>
      <c r="E12" s="787">
        <v>186522.53</v>
      </c>
      <c r="F12" s="787"/>
      <c r="G12" s="786"/>
      <c r="H12" s="461">
        <f t="shared" si="0"/>
        <v>52114188.15330001</v>
      </c>
      <c r="I12" s="746">
        <f>H12-' 17. Residual Maturity'!H13</f>
        <v>0</v>
      </c>
    </row>
    <row r="13" spans="1:9">
      <c r="A13" s="468">
        <v>7</v>
      </c>
      <c r="B13" s="454" t="s">
        <v>71</v>
      </c>
      <c r="C13" s="462"/>
      <c r="D13" s="786">
        <f>'13. CRME'!C14+E13</f>
        <v>0</v>
      </c>
      <c r="E13" s="787"/>
      <c r="F13" s="787"/>
      <c r="G13" s="786"/>
      <c r="H13" s="461">
        <f t="shared" si="0"/>
        <v>0</v>
      </c>
      <c r="I13" s="746">
        <f>H13-' 17. Residual Maturity'!H14</f>
        <v>0</v>
      </c>
    </row>
    <row r="14" spans="1:9">
      <c r="A14" s="468">
        <v>8</v>
      </c>
      <c r="B14" s="456" t="s">
        <v>72</v>
      </c>
      <c r="C14" s="462"/>
      <c r="D14" s="786">
        <f>'13. CRME'!C15+E14</f>
        <v>1148674.8799999994</v>
      </c>
      <c r="E14" s="787">
        <v>28664.400000000009</v>
      </c>
      <c r="F14" s="787"/>
      <c r="G14" s="786"/>
      <c r="H14" s="461">
        <f t="shared" si="0"/>
        <v>1120010.4799999995</v>
      </c>
      <c r="I14" s="746">
        <f>H14-' 17. Residual Maturity'!H15</f>
        <v>0</v>
      </c>
    </row>
    <row r="15" spans="1:9">
      <c r="A15" s="468">
        <v>9</v>
      </c>
      <c r="B15" s="454" t="s">
        <v>913</v>
      </c>
      <c r="C15" s="462"/>
      <c r="D15" s="786"/>
      <c r="E15" s="787"/>
      <c r="F15" s="787"/>
      <c r="G15" s="786"/>
      <c r="H15" s="461">
        <f t="shared" si="0"/>
        <v>0</v>
      </c>
      <c r="I15" s="746">
        <f>H15-' 17. Residual Maturity'!H16</f>
        <v>0</v>
      </c>
    </row>
    <row r="16" spans="1:9">
      <c r="A16" s="468">
        <v>10</v>
      </c>
      <c r="B16" s="458" t="s">
        <v>483</v>
      </c>
      <c r="C16" s="462"/>
      <c r="D16" s="786"/>
      <c r="E16" s="787"/>
      <c r="F16" s="787"/>
      <c r="G16" s="786"/>
      <c r="H16" s="461">
        <f t="shared" si="0"/>
        <v>0</v>
      </c>
      <c r="I16" s="746">
        <f>H16-' 17. Residual Maturity'!H17</f>
        <v>0</v>
      </c>
    </row>
    <row r="17" spans="1:9">
      <c r="A17" s="468">
        <v>11</v>
      </c>
      <c r="B17" s="454" t="s">
        <v>68</v>
      </c>
      <c r="C17" s="462"/>
      <c r="D17" s="786"/>
      <c r="E17" s="787"/>
      <c r="F17" s="787"/>
      <c r="G17" s="786"/>
      <c r="H17" s="461">
        <f t="shared" si="0"/>
        <v>0</v>
      </c>
    </row>
    <row r="18" spans="1:9">
      <c r="A18" s="468">
        <v>12</v>
      </c>
      <c r="B18" s="454" t="s">
        <v>69</v>
      </c>
      <c r="C18" s="462"/>
      <c r="D18" s="786"/>
      <c r="E18" s="787"/>
      <c r="F18" s="787"/>
      <c r="G18" s="786"/>
      <c r="H18" s="461">
        <f t="shared" si="0"/>
        <v>0</v>
      </c>
    </row>
    <row r="19" spans="1:9">
      <c r="A19" s="469">
        <v>13</v>
      </c>
      <c r="B19" s="456" t="s">
        <v>70</v>
      </c>
      <c r="C19" s="462"/>
      <c r="D19" s="786"/>
      <c r="E19" s="787"/>
      <c r="F19" s="787"/>
      <c r="G19" s="786"/>
      <c r="H19" s="461">
        <f t="shared" si="0"/>
        <v>0</v>
      </c>
    </row>
    <row r="20" spans="1:9">
      <c r="A20" s="468">
        <v>14</v>
      </c>
      <c r="B20" s="454" t="s">
        <v>469</v>
      </c>
      <c r="C20" s="462"/>
      <c r="D20" s="786">
        <v>19357917.284699999</v>
      </c>
      <c r="E20" s="787">
        <v>5534.5578999999998</v>
      </c>
      <c r="F20" s="787"/>
      <c r="G20" s="786"/>
      <c r="H20" s="461">
        <f t="shared" si="0"/>
        <v>19352382.726799998</v>
      </c>
    </row>
    <row r="21" spans="1:9" s="358" customFormat="1">
      <c r="A21" s="467">
        <v>15</v>
      </c>
      <c r="B21" s="466" t="s">
        <v>66</v>
      </c>
      <c r="C21" s="466">
        <f t="shared" ref="C21:H21" si="1">SUM(C7:C15)+SUM(C17:C20)</f>
        <v>0</v>
      </c>
      <c r="D21" s="788">
        <f t="shared" si="1"/>
        <v>73496301.259500012</v>
      </c>
      <c r="E21" s="788">
        <f t="shared" si="1"/>
        <v>220721.48790000001</v>
      </c>
      <c r="F21" s="788">
        <f t="shared" si="1"/>
        <v>0</v>
      </c>
      <c r="G21" s="788">
        <f t="shared" si="1"/>
        <v>0</v>
      </c>
      <c r="H21" s="461">
        <f t="shared" si="1"/>
        <v>73275579.771600008</v>
      </c>
    </row>
    <row r="22" spans="1:9">
      <c r="A22" s="465">
        <v>16</v>
      </c>
      <c r="B22" s="464" t="s">
        <v>484</v>
      </c>
      <c r="C22" s="462"/>
      <c r="D22" s="786">
        <f>D14</f>
        <v>1148674.8799999994</v>
      </c>
      <c r="E22" s="786">
        <f>E14</f>
        <v>28664.400000000009</v>
      </c>
      <c r="F22" s="787"/>
      <c r="G22" s="786"/>
      <c r="H22" s="461">
        <f>C22+D22-E22-F22</f>
        <v>1120010.4799999995</v>
      </c>
    </row>
    <row r="23" spans="1:9">
      <c r="A23" s="465">
        <v>17</v>
      </c>
      <c r="B23" s="464" t="s">
        <v>485</v>
      </c>
      <c r="C23" s="462"/>
      <c r="D23" s="786">
        <f>'2. SOFP'!C20+E23</f>
        <v>4270242.2</v>
      </c>
      <c r="E23" s="787">
        <f>'20. Reserves'!D15</f>
        <v>14945.84</v>
      </c>
      <c r="F23" s="463"/>
      <c r="G23" s="462"/>
      <c r="H23" s="461">
        <f>C23+D23-E23-F23</f>
        <v>4255296.3600000003</v>
      </c>
      <c r="I23" s="826">
        <f>'2. SOFP'!C20-H23</f>
        <v>0</v>
      </c>
    </row>
    <row r="24" spans="1:9">
      <c r="H24" s="746">
        <f>H21-'7. LI1'!C37</f>
        <v>0</v>
      </c>
    </row>
    <row r="25" spans="1:9">
      <c r="E25" s="354"/>
      <c r="F25" s="354"/>
      <c r="H25" s="746">
        <f>'2. SOFP'!E36-H21</f>
        <v>0</v>
      </c>
    </row>
    <row r="26" spans="1:9" ht="42.6" customHeight="1">
      <c r="B26" s="373" t="s">
        <v>647</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headerFooter>
    <oddHeader>&amp;Lშიდა მოხმარების</oddHeader>
    <oddFooter>&amp;Lშიდა მოხმარების</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2" tint="-9.9978637043366805E-2"/>
  </sheetPr>
  <dimension ref="A1:I36"/>
  <sheetViews>
    <sheetView showGridLines="0" zoomScale="90" zoomScaleNormal="90" workbookViewId="0"/>
  </sheetViews>
  <sheetFormatPr defaultColWidth="9.109375" defaultRowHeight="12"/>
  <cols>
    <col min="1" max="1" width="11" style="354" bestFit="1" customWidth="1"/>
    <col min="2" max="2" width="93.44140625" style="354" customWidth="1"/>
    <col min="3" max="4" width="35" style="354" customWidth="1"/>
    <col min="5" max="7" width="22" style="354" customWidth="1"/>
    <col min="8" max="8" width="42.109375" style="354" bestFit="1" customWidth="1"/>
    <col min="9" max="16384" width="9.109375" style="354"/>
  </cols>
  <sheetData>
    <row r="1" spans="1:8" ht="13.8">
      <c r="A1" s="353" t="s">
        <v>97</v>
      </c>
      <c r="B1" s="272" t="str">
        <f>Info!C2</f>
        <v>სს "ჰეშ ბანკი"</v>
      </c>
      <c r="C1" s="473"/>
      <c r="D1" s="473"/>
      <c r="E1" s="473"/>
      <c r="F1" s="473"/>
      <c r="G1" s="473"/>
      <c r="H1" s="473"/>
    </row>
    <row r="2" spans="1:8">
      <c r="A2" s="355" t="s">
        <v>98</v>
      </c>
      <c r="B2" s="719">
        <f>'1. key ratios'!B2</f>
        <v>46112</v>
      </c>
      <c r="C2" s="473"/>
      <c r="D2" s="473"/>
      <c r="E2" s="473"/>
      <c r="F2" s="473"/>
      <c r="G2" s="473"/>
      <c r="H2" s="473"/>
    </row>
    <row r="3" spans="1:8">
      <c r="A3" s="356" t="s">
        <v>486</v>
      </c>
      <c r="B3" s="473"/>
      <c r="C3" s="473"/>
      <c r="D3" s="473"/>
      <c r="E3" s="473"/>
      <c r="F3" s="473"/>
      <c r="G3" s="473"/>
      <c r="H3" s="473"/>
    </row>
    <row r="4" spans="1:8">
      <c r="A4" s="473"/>
      <c r="B4" s="473"/>
      <c r="C4" s="472" t="s">
        <v>471</v>
      </c>
      <c r="D4" s="472" t="s">
        <v>472</v>
      </c>
      <c r="E4" s="472" t="s">
        <v>473</v>
      </c>
      <c r="F4" s="472" t="s">
        <v>474</v>
      </c>
      <c r="G4" s="472" t="s">
        <v>475</v>
      </c>
      <c r="H4" s="472" t="s">
        <v>476</v>
      </c>
    </row>
    <row r="5" spans="1:8" ht="41.4" customHeight="1">
      <c r="A5" s="915" t="s">
        <v>837</v>
      </c>
      <c r="B5" s="916"/>
      <c r="C5" s="930" t="s">
        <v>565</v>
      </c>
      <c r="D5" s="931"/>
      <c r="E5" s="927" t="s">
        <v>834</v>
      </c>
      <c r="F5" s="927" t="s">
        <v>833</v>
      </c>
      <c r="G5" s="927" t="s">
        <v>480</v>
      </c>
      <c r="H5" s="470" t="s">
        <v>832</v>
      </c>
    </row>
    <row r="6" spans="1:8" ht="24">
      <c r="A6" s="919"/>
      <c r="B6" s="920"/>
      <c r="C6" s="471" t="s">
        <v>481</v>
      </c>
      <c r="D6" s="471" t="s">
        <v>482</v>
      </c>
      <c r="E6" s="928"/>
      <c r="F6" s="928"/>
      <c r="G6" s="928"/>
      <c r="H6" s="470" t="s">
        <v>831</v>
      </c>
    </row>
    <row r="7" spans="1:8">
      <c r="A7" s="462">
        <v>1</v>
      </c>
      <c r="B7" s="477" t="s">
        <v>487</v>
      </c>
      <c r="C7" s="786"/>
      <c r="D7" s="786">
        <f>'2. SOFP'!E9</f>
        <v>688998.41150000005</v>
      </c>
      <c r="E7" s="786">
        <v>0</v>
      </c>
      <c r="F7" s="786"/>
      <c r="G7" s="786"/>
      <c r="H7" s="461">
        <f t="shared" ref="H7:H34" si="0">C7+D7-E7-F7</f>
        <v>688998.41150000005</v>
      </c>
    </row>
    <row r="8" spans="1:8">
      <c r="A8" s="462">
        <v>2</v>
      </c>
      <c r="B8" s="477" t="s">
        <v>488</v>
      </c>
      <c r="C8" s="786"/>
      <c r="D8" s="786">
        <f>'2. SOFP'!E10+'2. SOFP'!E19+E8</f>
        <v>53449385.563300006</v>
      </c>
      <c r="E8" s="786">
        <f>'18. Assets by Exposure classes'!E12+'18. Assets by Exposure classes'!E14</f>
        <v>215186.93</v>
      </c>
      <c r="F8" s="786"/>
      <c r="G8" s="786"/>
      <c r="H8" s="461">
        <f t="shared" si="0"/>
        <v>53234198.633300006</v>
      </c>
    </row>
    <row r="9" spans="1:8">
      <c r="A9" s="462">
        <v>3</v>
      </c>
      <c r="B9" s="477" t="s">
        <v>836</v>
      </c>
      <c r="C9" s="786"/>
      <c r="D9" s="786"/>
      <c r="E9" s="786"/>
      <c r="F9" s="786"/>
      <c r="G9" s="786"/>
      <c r="H9" s="461">
        <f t="shared" si="0"/>
        <v>0</v>
      </c>
    </row>
    <row r="10" spans="1:8">
      <c r="A10" s="462">
        <v>4</v>
      </c>
      <c r="B10" s="477" t="s">
        <v>489</v>
      </c>
      <c r="C10" s="786"/>
      <c r="D10" s="786"/>
      <c r="E10" s="786"/>
      <c r="F10" s="786"/>
      <c r="G10" s="786"/>
      <c r="H10" s="461">
        <f t="shared" si="0"/>
        <v>0</v>
      </c>
    </row>
    <row r="11" spans="1:8">
      <c r="A11" s="462">
        <v>5</v>
      </c>
      <c r="B11" s="477" t="s">
        <v>490</v>
      </c>
      <c r="C11" s="786"/>
      <c r="D11" s="786"/>
      <c r="E11" s="786"/>
      <c r="F11" s="786"/>
      <c r="G11" s="786"/>
      <c r="H11" s="461">
        <f t="shared" si="0"/>
        <v>0</v>
      </c>
    </row>
    <row r="12" spans="1:8">
      <c r="A12" s="462">
        <v>6</v>
      </c>
      <c r="B12" s="477" t="s">
        <v>491</v>
      </c>
      <c r="C12" s="786"/>
      <c r="D12" s="786"/>
      <c r="E12" s="786"/>
      <c r="F12" s="786"/>
      <c r="G12" s="786"/>
      <c r="H12" s="461">
        <f t="shared" si="0"/>
        <v>0</v>
      </c>
    </row>
    <row r="13" spans="1:8">
      <c r="A13" s="462">
        <v>7</v>
      </c>
      <c r="B13" s="477" t="s">
        <v>492</v>
      </c>
      <c r="C13" s="786"/>
      <c r="D13" s="786"/>
      <c r="E13" s="786"/>
      <c r="F13" s="786"/>
      <c r="G13" s="786"/>
      <c r="H13" s="461">
        <f t="shared" si="0"/>
        <v>0</v>
      </c>
    </row>
    <row r="14" spans="1:8">
      <c r="A14" s="462">
        <v>8</v>
      </c>
      <c r="B14" s="477" t="s">
        <v>493</v>
      </c>
      <c r="C14" s="786"/>
      <c r="D14" s="786"/>
      <c r="E14" s="786"/>
      <c r="F14" s="786"/>
      <c r="G14" s="786"/>
      <c r="H14" s="461">
        <f t="shared" si="0"/>
        <v>0</v>
      </c>
    </row>
    <row r="15" spans="1:8">
      <c r="A15" s="462">
        <v>9</v>
      </c>
      <c r="B15" s="477" t="s">
        <v>494</v>
      </c>
      <c r="C15" s="786"/>
      <c r="D15" s="786"/>
      <c r="E15" s="786"/>
      <c r="F15" s="786"/>
      <c r="G15" s="786"/>
      <c r="H15" s="461">
        <f t="shared" si="0"/>
        <v>0</v>
      </c>
    </row>
    <row r="16" spans="1:8">
      <c r="A16" s="462">
        <v>10</v>
      </c>
      <c r="B16" s="477" t="s">
        <v>495</v>
      </c>
      <c r="C16" s="786"/>
      <c r="D16" s="786"/>
      <c r="E16" s="786"/>
      <c r="F16" s="786"/>
      <c r="G16" s="786"/>
      <c r="H16" s="461">
        <f t="shared" si="0"/>
        <v>0</v>
      </c>
    </row>
    <row r="17" spans="1:9">
      <c r="A17" s="462">
        <v>11</v>
      </c>
      <c r="B17" s="477" t="s">
        <v>496</v>
      </c>
      <c r="C17" s="786"/>
      <c r="D17" s="786"/>
      <c r="E17" s="786"/>
      <c r="F17" s="786"/>
      <c r="G17" s="786"/>
      <c r="H17" s="461">
        <f t="shared" si="0"/>
        <v>0</v>
      </c>
    </row>
    <row r="18" spans="1:9">
      <c r="A18" s="462">
        <v>12</v>
      </c>
      <c r="B18" s="477" t="s">
        <v>497</v>
      </c>
      <c r="C18" s="786"/>
      <c r="D18" s="786"/>
      <c r="E18" s="786"/>
      <c r="F18" s="786"/>
      <c r="G18" s="786"/>
      <c r="H18" s="461">
        <f t="shared" si="0"/>
        <v>0</v>
      </c>
    </row>
    <row r="19" spans="1:9">
      <c r="A19" s="462">
        <v>13</v>
      </c>
      <c r="B19" s="477" t="s">
        <v>498</v>
      </c>
      <c r="C19" s="786"/>
      <c r="D19" s="786"/>
      <c r="E19" s="786"/>
      <c r="F19" s="786"/>
      <c r="G19" s="786"/>
      <c r="H19" s="461">
        <f t="shared" si="0"/>
        <v>0</v>
      </c>
    </row>
    <row r="20" spans="1:9">
      <c r="A20" s="462">
        <v>14</v>
      </c>
      <c r="B20" s="477" t="s">
        <v>499</v>
      </c>
      <c r="C20" s="786"/>
      <c r="D20" s="786"/>
      <c r="E20" s="786"/>
      <c r="F20" s="786"/>
      <c r="G20" s="786"/>
      <c r="H20" s="461">
        <f t="shared" si="0"/>
        <v>0</v>
      </c>
    </row>
    <row r="21" spans="1:9">
      <c r="A21" s="462">
        <v>15</v>
      </c>
      <c r="B21" s="477" t="s">
        <v>500</v>
      </c>
      <c r="C21" s="786"/>
      <c r="D21" s="786"/>
      <c r="E21" s="786"/>
      <c r="F21" s="786"/>
      <c r="G21" s="786"/>
      <c r="H21" s="461">
        <f t="shared" si="0"/>
        <v>0</v>
      </c>
    </row>
    <row r="22" spans="1:9">
      <c r="A22" s="462">
        <v>16</v>
      </c>
      <c r="B22" s="477" t="s">
        <v>501</v>
      </c>
      <c r="C22" s="786"/>
      <c r="D22" s="786"/>
      <c r="E22" s="786"/>
      <c r="F22" s="786"/>
      <c r="G22" s="786"/>
      <c r="H22" s="461">
        <f t="shared" si="0"/>
        <v>0</v>
      </c>
    </row>
    <row r="23" spans="1:9">
      <c r="A23" s="462">
        <v>17</v>
      </c>
      <c r="B23" s="477" t="s">
        <v>502</v>
      </c>
      <c r="C23" s="786"/>
      <c r="D23" s="786"/>
      <c r="E23" s="786"/>
      <c r="F23" s="786"/>
      <c r="G23" s="786"/>
      <c r="H23" s="461">
        <f t="shared" si="0"/>
        <v>0</v>
      </c>
    </row>
    <row r="24" spans="1:9">
      <c r="A24" s="462">
        <v>18</v>
      </c>
      <c r="B24" s="477" t="s">
        <v>503</v>
      </c>
      <c r="C24" s="786"/>
      <c r="D24" s="786"/>
      <c r="E24" s="786"/>
      <c r="F24" s="786"/>
      <c r="G24" s="786"/>
      <c r="H24" s="461">
        <f t="shared" si="0"/>
        <v>0</v>
      </c>
    </row>
    <row r="25" spans="1:9">
      <c r="A25" s="462">
        <v>19</v>
      </c>
      <c r="B25" s="477" t="s">
        <v>504</v>
      </c>
      <c r="C25" s="786"/>
      <c r="D25" s="786"/>
      <c r="E25" s="786"/>
      <c r="F25" s="786"/>
      <c r="G25" s="786"/>
      <c r="H25" s="461">
        <f t="shared" si="0"/>
        <v>0</v>
      </c>
    </row>
    <row r="26" spans="1:9">
      <c r="A26" s="462">
        <v>20</v>
      </c>
      <c r="B26" s="477" t="s">
        <v>505</v>
      </c>
      <c r="C26" s="786"/>
      <c r="D26" s="786"/>
      <c r="E26" s="786"/>
      <c r="F26" s="786"/>
      <c r="G26" s="786"/>
      <c r="H26" s="461">
        <f t="shared" si="0"/>
        <v>0</v>
      </c>
      <c r="I26" s="360"/>
    </row>
    <row r="27" spans="1:9">
      <c r="A27" s="462">
        <v>21</v>
      </c>
      <c r="B27" s="477" t="s">
        <v>506</v>
      </c>
      <c r="C27" s="786"/>
      <c r="D27" s="786"/>
      <c r="E27" s="786"/>
      <c r="F27" s="786"/>
      <c r="G27" s="786"/>
      <c r="H27" s="461">
        <f t="shared" si="0"/>
        <v>0</v>
      </c>
      <c r="I27" s="360"/>
    </row>
    <row r="28" spans="1:9">
      <c r="A28" s="462">
        <v>22</v>
      </c>
      <c r="B28" s="477" t="s">
        <v>507</v>
      </c>
      <c r="C28" s="786"/>
      <c r="D28" s="786"/>
      <c r="E28" s="786"/>
      <c r="F28" s="786"/>
      <c r="G28" s="786"/>
      <c r="H28" s="461">
        <f t="shared" si="0"/>
        <v>0</v>
      </c>
      <c r="I28" s="360"/>
    </row>
    <row r="29" spans="1:9">
      <c r="A29" s="462">
        <v>23</v>
      </c>
      <c r="B29" s="477" t="s">
        <v>508</v>
      </c>
      <c r="C29" s="786"/>
      <c r="D29" s="786"/>
      <c r="E29" s="786"/>
      <c r="F29" s="786"/>
      <c r="G29" s="786"/>
      <c r="H29" s="461">
        <f t="shared" si="0"/>
        <v>0</v>
      </c>
      <c r="I29" s="360"/>
    </row>
    <row r="30" spans="1:9">
      <c r="A30" s="462">
        <v>24</v>
      </c>
      <c r="B30" s="477" t="s">
        <v>509</v>
      </c>
      <c r="C30" s="786"/>
      <c r="D30" s="786"/>
      <c r="E30" s="786"/>
      <c r="F30" s="786"/>
      <c r="G30" s="786"/>
      <c r="H30" s="461">
        <f t="shared" si="0"/>
        <v>0</v>
      </c>
      <c r="I30" s="360"/>
    </row>
    <row r="31" spans="1:9">
      <c r="A31" s="462">
        <v>25</v>
      </c>
      <c r="B31" s="477" t="s">
        <v>510</v>
      </c>
      <c r="C31" s="786"/>
      <c r="D31" s="786"/>
      <c r="E31" s="786"/>
      <c r="F31" s="786"/>
      <c r="G31" s="786"/>
      <c r="H31" s="461">
        <f t="shared" si="0"/>
        <v>0</v>
      </c>
      <c r="I31" s="360"/>
    </row>
    <row r="32" spans="1:9">
      <c r="A32" s="462">
        <v>26</v>
      </c>
      <c r="B32" s="477" t="s">
        <v>511</v>
      </c>
      <c r="C32" s="786"/>
      <c r="D32" s="786"/>
      <c r="E32" s="786"/>
      <c r="F32" s="786"/>
      <c r="G32" s="786"/>
      <c r="H32" s="461">
        <f t="shared" si="0"/>
        <v>0</v>
      </c>
      <c r="I32" s="360"/>
    </row>
    <row r="33" spans="1:9">
      <c r="A33" s="462">
        <v>27</v>
      </c>
      <c r="B33" s="463" t="s">
        <v>88</v>
      </c>
      <c r="C33" s="786"/>
      <c r="D33" s="786">
        <f>'18. Assets by Exposure classes'!D20</f>
        <v>19357917.284699999</v>
      </c>
      <c r="E33" s="786">
        <f>'18. Assets by Exposure classes'!E20</f>
        <v>5534.5578999999998</v>
      </c>
      <c r="F33" s="786"/>
      <c r="G33" s="786"/>
      <c r="H33" s="461">
        <f t="shared" si="0"/>
        <v>19352382.726799998</v>
      </c>
      <c r="I33" s="360"/>
    </row>
    <row r="34" spans="1:9">
      <c r="A34" s="462">
        <v>28</v>
      </c>
      <c r="B34" s="476" t="s">
        <v>66</v>
      </c>
      <c r="C34" s="788">
        <f>SUM(C7:C33)</f>
        <v>0</v>
      </c>
      <c r="D34" s="788">
        <f>SUM(D7:D33)</f>
        <v>73496301.259499997</v>
      </c>
      <c r="E34" s="788">
        <f>SUM(E7:E33)</f>
        <v>220721.48790000001</v>
      </c>
      <c r="F34" s="788">
        <f>SUM(F7:F33)</f>
        <v>0</v>
      </c>
      <c r="G34" s="788">
        <f>SUM(G7:G33)</f>
        <v>0</v>
      </c>
      <c r="H34" s="461">
        <f t="shared" si="0"/>
        <v>73275579.771599993</v>
      </c>
      <c r="I34" s="360"/>
    </row>
    <row r="35" spans="1:9">
      <c r="A35" s="360"/>
      <c r="B35" s="360"/>
      <c r="C35" s="789">
        <f>C34-'18. Assets by Exposure classes'!C21</f>
        <v>0</v>
      </c>
      <c r="D35" s="789">
        <f>D34-'18. Assets by Exposure classes'!D21</f>
        <v>0</v>
      </c>
      <c r="E35" s="789">
        <f>SUM(E7:E33)-'18. Assets by Exposure classes'!E21</f>
        <v>0</v>
      </c>
      <c r="F35" s="789">
        <f>SUM(F7:F31)-'18. Assets by Exposure classes'!F22</f>
        <v>0</v>
      </c>
      <c r="G35" s="789"/>
      <c r="H35" s="747">
        <f>H34-'18. Assets by Exposure classes'!H21</f>
        <v>0</v>
      </c>
      <c r="I35" s="360"/>
    </row>
    <row r="36" spans="1:9">
      <c r="A36" s="360"/>
      <c r="B36" s="361"/>
      <c r="C36" s="360"/>
      <c r="D36" s="360"/>
      <c r="E36" s="360"/>
      <c r="F36" s="360"/>
      <c r="G36" s="360"/>
      <c r="H36" s="360"/>
      <c r="I36" s="360"/>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theme="2" tint="-9.9978637043366805E-2"/>
  </sheetPr>
  <dimension ref="A1:D20"/>
  <sheetViews>
    <sheetView showGridLines="0" zoomScale="120" zoomScaleNormal="120" workbookViewId="0">
      <selection activeCell="C6" sqref="C6:D14"/>
    </sheetView>
  </sheetViews>
  <sheetFormatPr defaultColWidth="9.109375" defaultRowHeight="12"/>
  <cols>
    <col min="1" max="1" width="11.88671875" style="354" bestFit="1" customWidth="1"/>
    <col min="2" max="2" width="108" style="354" bestFit="1" customWidth="1"/>
    <col min="3" max="3" width="35.5546875" style="354" customWidth="1"/>
    <col min="4" max="4" width="38.44140625" style="359" customWidth="1"/>
    <col min="5" max="16384" width="9.109375" style="354"/>
  </cols>
  <sheetData>
    <row r="1" spans="1:4" ht="13.8">
      <c r="A1" s="353" t="s">
        <v>97</v>
      </c>
      <c r="B1" s="272" t="str">
        <f>Info!C2</f>
        <v>სს "ჰეშ ბანკი"</v>
      </c>
      <c r="D1" s="354"/>
    </row>
    <row r="2" spans="1:4">
      <c r="A2" s="355" t="s">
        <v>98</v>
      </c>
      <c r="B2" s="719">
        <f>'1. key ratios'!B2</f>
        <v>46112</v>
      </c>
      <c r="D2" s="354"/>
    </row>
    <row r="3" spans="1:4">
      <c r="A3" s="356" t="s">
        <v>512</v>
      </c>
      <c r="D3" s="354"/>
    </row>
    <row r="5" spans="1:4">
      <c r="A5" s="932" t="s">
        <v>848</v>
      </c>
      <c r="B5" s="932"/>
      <c r="C5" s="485" t="s">
        <v>531</v>
      </c>
      <c r="D5" s="485" t="s">
        <v>847</v>
      </c>
    </row>
    <row r="6" spans="1:4">
      <c r="A6" s="484">
        <v>1</v>
      </c>
      <c r="B6" s="478" t="s">
        <v>846</v>
      </c>
      <c r="C6" s="790">
        <v>201.28</v>
      </c>
      <c r="D6" s="790">
        <v>32465.61</v>
      </c>
    </row>
    <row r="7" spans="1:4">
      <c r="A7" s="481">
        <v>2</v>
      </c>
      <c r="B7" s="478" t="s">
        <v>845</v>
      </c>
      <c r="C7" s="790">
        <f>SUM(C8:C9)</f>
        <v>30864.94</v>
      </c>
      <c r="D7" s="790">
        <f>SUM(D8:D9)</f>
        <v>412.92</v>
      </c>
    </row>
    <row r="8" spans="1:4">
      <c r="A8" s="483">
        <v>2.1</v>
      </c>
      <c r="B8" s="482" t="s">
        <v>844</v>
      </c>
      <c r="C8" s="790">
        <v>30864.94</v>
      </c>
      <c r="D8" s="790">
        <v>412.92</v>
      </c>
    </row>
    <row r="9" spans="1:4">
      <c r="A9" s="483">
        <v>2.2000000000000002</v>
      </c>
      <c r="B9" s="482" t="s">
        <v>843</v>
      </c>
      <c r="C9" s="790"/>
      <c r="D9" s="790"/>
    </row>
    <row r="10" spans="1:4">
      <c r="A10" s="484">
        <v>3</v>
      </c>
      <c r="B10" s="478" t="s">
        <v>842</v>
      </c>
      <c r="C10" s="790">
        <f>SUM(C11:C13)</f>
        <v>2401.8200000000002</v>
      </c>
      <c r="D10" s="790">
        <f>SUM(D11:D13)</f>
        <v>17932.689999999999</v>
      </c>
    </row>
    <row r="11" spans="1:4">
      <c r="A11" s="483">
        <v>3.1</v>
      </c>
      <c r="B11" s="482" t="s">
        <v>513</v>
      </c>
      <c r="C11" s="790"/>
      <c r="D11" s="790"/>
    </row>
    <row r="12" spans="1:4">
      <c r="A12" s="483">
        <v>3.2</v>
      </c>
      <c r="B12" s="482" t="s">
        <v>841</v>
      </c>
      <c r="C12" s="790">
        <v>2401.8200000000002</v>
      </c>
      <c r="D12" s="790">
        <v>17932.689999999999</v>
      </c>
    </row>
    <row r="13" spans="1:4">
      <c r="A13" s="483">
        <v>3.3</v>
      </c>
      <c r="B13" s="482" t="s">
        <v>840</v>
      </c>
      <c r="C13" s="790"/>
      <c r="D13" s="790"/>
    </row>
    <row r="14" spans="1:4">
      <c r="A14" s="481">
        <v>4</v>
      </c>
      <c r="B14" s="480" t="s">
        <v>839</v>
      </c>
      <c r="C14" s="790"/>
      <c r="D14" s="790"/>
    </row>
    <row r="15" spans="1:4">
      <c r="A15" s="479">
        <v>5</v>
      </c>
      <c r="B15" s="478" t="s">
        <v>838</v>
      </c>
      <c r="C15" s="791">
        <f>C6+C7-C10+C14</f>
        <v>28664.399999999998</v>
      </c>
      <c r="D15" s="791">
        <f>D6+D7-D10+D14</f>
        <v>14945.84</v>
      </c>
    </row>
    <row r="16" spans="1:4">
      <c r="C16" s="792"/>
    </row>
    <row r="17" spans="3:4">
      <c r="C17" s="834">
        <f>'18. Assets by Exposure classes'!E14-C15</f>
        <v>0</v>
      </c>
      <c r="D17" s="834"/>
    </row>
    <row r="18" spans="3:4">
      <c r="C18" s="792"/>
    </row>
    <row r="19" spans="3:4">
      <c r="C19" s="792"/>
    </row>
    <row r="20" spans="3:4">
      <c r="C20" s="792"/>
    </row>
  </sheetData>
  <mergeCells count="1">
    <mergeCell ref="A5:B5"/>
  </mergeCells>
  <pageMargins left="0.7" right="0.7" top="0.75" bottom="0.75" header="0.3" footer="0.3"/>
  <pageSetup orientation="portrait" horizontalDpi="4294967292" verticalDpi="0" r:id="rId1"/>
  <headerFooter>
    <oddHeader>&amp;Lშიდა მოხმარების</oddHeader>
    <oddFooter>&amp;Lშიდა მოხმარების</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theme="2" tint="-9.9978637043366805E-2"/>
  </sheetPr>
  <dimension ref="A1:D23"/>
  <sheetViews>
    <sheetView showGridLines="0" zoomScale="80" zoomScaleNormal="80" workbookViewId="0">
      <selection activeCell="B2" sqref="B2"/>
    </sheetView>
  </sheetViews>
  <sheetFormatPr defaultColWidth="9.109375" defaultRowHeight="12"/>
  <cols>
    <col min="1" max="1" width="11.88671875" style="473" bestFit="1" customWidth="1"/>
    <col min="2" max="2" width="128.88671875" style="473" bestFit="1" customWidth="1"/>
    <col min="3" max="3" width="37" style="473" customWidth="1"/>
    <col min="4" max="4" width="50.5546875" style="473" customWidth="1"/>
    <col min="5" max="16384" width="9.109375" style="473"/>
  </cols>
  <sheetData>
    <row r="1" spans="1:4" ht="13.8">
      <c r="A1" s="353" t="s">
        <v>97</v>
      </c>
      <c r="B1" s="272" t="str">
        <f>Info!C2</f>
        <v>სს "ჰეშ ბანკი"</v>
      </c>
    </row>
    <row r="2" spans="1:4">
      <c r="A2" s="355" t="s">
        <v>98</v>
      </c>
      <c r="B2" s="719">
        <f>'1. key ratios'!B2</f>
        <v>46112</v>
      </c>
    </row>
    <row r="3" spans="1:4">
      <c r="A3" s="356" t="s">
        <v>514</v>
      </c>
    </row>
    <row r="4" spans="1:4">
      <c r="A4" s="356"/>
    </row>
    <row r="5" spans="1:4" ht="15" customHeight="1">
      <c r="A5" s="933" t="s">
        <v>515</v>
      </c>
      <c r="B5" s="934"/>
      <c r="C5" s="937" t="s">
        <v>516</v>
      </c>
      <c r="D5" s="937" t="s">
        <v>517</v>
      </c>
    </row>
    <row r="6" spans="1:4">
      <c r="A6" s="935"/>
      <c r="B6" s="936"/>
      <c r="C6" s="937"/>
      <c r="D6" s="937"/>
    </row>
    <row r="7" spans="1:4">
      <c r="A7" s="476">
        <v>1</v>
      </c>
      <c r="B7" s="466" t="s">
        <v>518</v>
      </c>
      <c r="C7" s="462"/>
      <c r="D7" s="486"/>
    </row>
    <row r="8" spans="1:4">
      <c r="A8" s="463">
        <v>2</v>
      </c>
      <c r="B8" s="463" t="s">
        <v>519</v>
      </c>
      <c r="C8" s="462"/>
      <c r="D8" s="486"/>
    </row>
    <row r="9" spans="1:4">
      <c r="A9" s="463">
        <v>3</v>
      </c>
      <c r="B9" s="489" t="s">
        <v>520</v>
      </c>
      <c r="C9" s="462"/>
      <c r="D9" s="486"/>
    </row>
    <row r="10" spans="1:4">
      <c r="A10" s="463">
        <v>4</v>
      </c>
      <c r="B10" s="463" t="s">
        <v>521</v>
      </c>
      <c r="C10" s="462">
        <f>SUM(C11:C17)</f>
        <v>0</v>
      </c>
      <c r="D10" s="486"/>
    </row>
    <row r="11" spans="1:4">
      <c r="A11" s="463">
        <v>5</v>
      </c>
      <c r="B11" s="488" t="s">
        <v>849</v>
      </c>
      <c r="C11" s="462"/>
      <c r="D11" s="486"/>
    </row>
    <row r="12" spans="1:4">
      <c r="A12" s="463">
        <v>6</v>
      </c>
      <c r="B12" s="488" t="s">
        <v>522</v>
      </c>
      <c r="C12" s="462"/>
      <c r="D12" s="486"/>
    </row>
    <row r="13" spans="1:4">
      <c r="A13" s="463">
        <v>7</v>
      </c>
      <c r="B13" s="488" t="s">
        <v>525</v>
      </c>
      <c r="C13" s="462"/>
      <c r="D13" s="486"/>
    </row>
    <row r="14" spans="1:4">
      <c r="A14" s="463">
        <v>8</v>
      </c>
      <c r="B14" s="488" t="s">
        <v>523</v>
      </c>
      <c r="C14" s="462"/>
      <c r="D14" s="463"/>
    </row>
    <row r="15" spans="1:4">
      <c r="A15" s="463">
        <v>9</v>
      </c>
      <c r="B15" s="488" t="s">
        <v>524</v>
      </c>
      <c r="C15" s="462"/>
      <c r="D15" s="463"/>
    </row>
    <row r="16" spans="1:4">
      <c r="A16" s="463">
        <v>10</v>
      </c>
      <c r="B16" s="488" t="s">
        <v>526</v>
      </c>
      <c r="C16" s="462"/>
      <c r="D16" s="463"/>
    </row>
    <row r="17" spans="1:4">
      <c r="A17" s="463">
        <v>11</v>
      </c>
      <c r="B17" s="488" t="s">
        <v>527</v>
      </c>
      <c r="C17" s="462"/>
      <c r="D17" s="486"/>
    </row>
    <row r="18" spans="1:4">
      <c r="A18" s="476">
        <v>12</v>
      </c>
      <c r="B18" s="487" t="s">
        <v>528</v>
      </c>
      <c r="C18" s="466">
        <f>C7+C8+C9-C10</f>
        <v>0</v>
      </c>
      <c r="D18" s="486"/>
    </row>
    <row r="21" spans="1:4">
      <c r="B21" s="353"/>
    </row>
    <row r="22" spans="1:4">
      <c r="B22" s="355"/>
    </row>
    <row r="23" spans="1:4">
      <c r="B23" s="356"/>
    </row>
  </sheetData>
  <mergeCells count="3">
    <mergeCell ref="A5:B6"/>
    <mergeCell ref="C5:C6"/>
    <mergeCell ref="D5:D6"/>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theme="2" tint="-9.9978637043366805E-2"/>
  </sheetPr>
  <dimension ref="A1:AB28"/>
  <sheetViews>
    <sheetView showGridLines="0" zoomScale="110" zoomScaleNormal="110" workbookViewId="0"/>
  </sheetViews>
  <sheetFormatPr defaultColWidth="9.109375" defaultRowHeight="12"/>
  <cols>
    <col min="1" max="1" width="11.88671875" style="473" bestFit="1" customWidth="1"/>
    <col min="2" max="2" width="63.88671875" style="473" customWidth="1"/>
    <col min="3" max="3" width="15.5546875" style="473" customWidth="1"/>
    <col min="4" max="18" width="22.109375" style="473" customWidth="1"/>
    <col min="19" max="19" width="23.109375" style="473" bestFit="1" customWidth="1"/>
    <col min="20" max="26" width="22.109375" style="473" customWidth="1"/>
    <col min="27" max="27" width="23.109375" style="473" bestFit="1" customWidth="1"/>
    <col min="28" max="28" width="20" style="473" customWidth="1"/>
    <col min="29" max="16384" width="9.109375" style="473"/>
  </cols>
  <sheetData>
    <row r="1" spans="1:28" ht="13.8">
      <c r="A1" s="353" t="s">
        <v>97</v>
      </c>
      <c r="B1" s="272" t="str">
        <f>Info!C2</f>
        <v>სს "ჰეშ ბანკი"</v>
      </c>
    </row>
    <row r="2" spans="1:28">
      <c r="A2" s="355" t="s">
        <v>98</v>
      </c>
      <c r="B2" s="719">
        <f>'1. key ratios'!B2</f>
        <v>46112</v>
      </c>
      <c r="C2" s="474"/>
    </row>
    <row r="3" spans="1:28">
      <c r="A3" s="356" t="s">
        <v>529</v>
      </c>
    </row>
    <row r="5" spans="1:28" ht="15" customHeight="1">
      <c r="A5" s="938" t="s">
        <v>862</v>
      </c>
      <c r="B5" s="939"/>
      <c r="C5" s="944" t="s">
        <v>861</v>
      </c>
      <c r="D5" s="945"/>
      <c r="E5" s="945"/>
      <c r="F5" s="945"/>
      <c r="G5" s="945"/>
      <c r="H5" s="945"/>
      <c r="I5" s="945"/>
      <c r="J5" s="945"/>
      <c r="K5" s="945"/>
      <c r="L5" s="945"/>
      <c r="M5" s="945"/>
      <c r="N5" s="945"/>
      <c r="O5" s="945"/>
      <c r="P5" s="945"/>
      <c r="Q5" s="945"/>
      <c r="R5" s="945"/>
      <c r="S5" s="945"/>
      <c r="T5" s="504"/>
      <c r="U5" s="504"/>
      <c r="V5" s="504"/>
      <c r="W5" s="504"/>
      <c r="X5" s="504"/>
      <c r="Y5" s="504"/>
      <c r="Z5" s="504"/>
      <c r="AA5" s="503"/>
      <c r="AB5" s="494"/>
    </row>
    <row r="6" spans="1:28">
      <c r="A6" s="940"/>
      <c r="B6" s="941"/>
      <c r="C6" s="946" t="s">
        <v>66</v>
      </c>
      <c r="D6" s="948" t="s">
        <v>860</v>
      </c>
      <c r="E6" s="948"/>
      <c r="F6" s="948"/>
      <c r="G6" s="948"/>
      <c r="H6" s="949" t="s">
        <v>859</v>
      </c>
      <c r="I6" s="950"/>
      <c r="J6" s="950"/>
      <c r="K6" s="951"/>
      <c r="L6" s="502"/>
      <c r="M6" s="952" t="s">
        <v>858</v>
      </c>
      <c r="N6" s="952"/>
      <c r="O6" s="952"/>
      <c r="P6" s="952"/>
      <c r="Q6" s="952"/>
      <c r="R6" s="952"/>
      <c r="S6" s="928"/>
      <c r="T6" s="501"/>
      <c r="U6" s="931" t="s">
        <v>857</v>
      </c>
      <c r="V6" s="931"/>
      <c r="W6" s="931"/>
      <c r="X6" s="931"/>
      <c r="Y6" s="931"/>
      <c r="Z6" s="931"/>
      <c r="AA6" s="929"/>
      <c r="AB6" s="500"/>
    </row>
    <row r="7" spans="1:28" ht="24">
      <c r="A7" s="942"/>
      <c r="B7" s="943"/>
      <c r="C7" s="947"/>
      <c r="D7" s="499"/>
      <c r="E7" s="495" t="s">
        <v>530</v>
      </c>
      <c r="F7" s="470" t="s">
        <v>855</v>
      </c>
      <c r="G7" s="470" t="s">
        <v>856</v>
      </c>
      <c r="H7" s="498"/>
      <c r="I7" s="495" t="s">
        <v>530</v>
      </c>
      <c r="J7" s="470" t="s">
        <v>855</v>
      </c>
      <c r="K7" s="470" t="s">
        <v>856</v>
      </c>
      <c r="L7" s="497"/>
      <c r="M7" s="495" t="s">
        <v>530</v>
      </c>
      <c r="N7" s="470" t="s">
        <v>855</v>
      </c>
      <c r="O7" s="470" t="s">
        <v>854</v>
      </c>
      <c r="P7" s="470" t="s">
        <v>853</v>
      </c>
      <c r="Q7" s="470" t="s">
        <v>852</v>
      </c>
      <c r="R7" s="470" t="s">
        <v>851</v>
      </c>
      <c r="S7" s="470" t="s">
        <v>850</v>
      </c>
      <c r="T7" s="496"/>
      <c r="U7" s="495" t="s">
        <v>530</v>
      </c>
      <c r="V7" s="470" t="s">
        <v>855</v>
      </c>
      <c r="W7" s="470" t="s">
        <v>854</v>
      </c>
      <c r="X7" s="470" t="s">
        <v>853</v>
      </c>
      <c r="Y7" s="470" t="s">
        <v>852</v>
      </c>
      <c r="Z7" s="470" t="s">
        <v>851</v>
      </c>
      <c r="AA7" s="470" t="s">
        <v>850</v>
      </c>
      <c r="AB7" s="494"/>
    </row>
    <row r="8" spans="1:28">
      <c r="A8" s="493">
        <v>1</v>
      </c>
      <c r="B8" s="466" t="s">
        <v>531</v>
      </c>
      <c r="C8" s="830">
        <f>SUM(C9:C14)</f>
        <v>1148674.8799999994</v>
      </c>
      <c r="D8" s="830">
        <f>SUM(D9:D14)</f>
        <v>1148674.8799999994</v>
      </c>
      <c r="E8" s="462"/>
      <c r="F8" s="462"/>
      <c r="G8" s="462"/>
      <c r="H8" s="462"/>
      <c r="I8" s="462"/>
      <c r="J8" s="462"/>
      <c r="K8" s="462"/>
      <c r="L8" s="462"/>
      <c r="M8" s="462"/>
      <c r="N8" s="462"/>
      <c r="O8" s="462"/>
      <c r="P8" s="462"/>
      <c r="Q8" s="462"/>
      <c r="R8" s="462"/>
      <c r="S8" s="462"/>
      <c r="T8" s="462"/>
      <c r="U8" s="462"/>
      <c r="V8" s="462"/>
      <c r="W8" s="462"/>
      <c r="X8" s="462"/>
      <c r="Y8" s="462"/>
      <c r="Z8" s="462"/>
      <c r="AA8" s="462"/>
      <c r="AB8" s="490"/>
    </row>
    <row r="9" spans="1:28">
      <c r="A9" s="462">
        <v>1.1000000000000001</v>
      </c>
      <c r="B9" s="492" t="s">
        <v>532</v>
      </c>
      <c r="C9" s="793"/>
      <c r="D9" s="794"/>
      <c r="E9" s="462"/>
      <c r="F9" s="462"/>
      <c r="G9" s="462"/>
      <c r="H9" s="462"/>
      <c r="I9" s="462"/>
      <c r="J9" s="462"/>
      <c r="K9" s="462"/>
      <c r="L9" s="462"/>
      <c r="M9" s="462"/>
      <c r="N9" s="462"/>
      <c r="O9" s="462"/>
      <c r="P9" s="462"/>
      <c r="Q9" s="462"/>
      <c r="R9" s="462"/>
      <c r="S9" s="462"/>
      <c r="T9" s="462"/>
      <c r="U9" s="462"/>
      <c r="V9" s="462"/>
      <c r="W9" s="462"/>
      <c r="X9" s="462"/>
      <c r="Y9" s="462"/>
      <c r="Z9" s="462"/>
      <c r="AA9" s="462"/>
      <c r="AB9" s="490"/>
    </row>
    <row r="10" spans="1:28">
      <c r="A10" s="462">
        <v>1.2</v>
      </c>
      <c r="B10" s="492" t="s">
        <v>533</v>
      </c>
      <c r="C10" s="793"/>
      <c r="D10" s="794"/>
      <c r="E10" s="462"/>
      <c r="F10" s="462"/>
      <c r="G10" s="462"/>
      <c r="H10" s="462"/>
      <c r="I10" s="462"/>
      <c r="J10" s="462"/>
      <c r="K10" s="462"/>
      <c r="L10" s="462"/>
      <c r="M10" s="462"/>
      <c r="N10" s="462"/>
      <c r="O10" s="462"/>
      <c r="P10" s="462"/>
      <c r="Q10" s="462"/>
      <c r="R10" s="462"/>
      <c r="S10" s="462"/>
      <c r="T10" s="462"/>
      <c r="U10" s="462"/>
      <c r="V10" s="462"/>
      <c r="W10" s="462"/>
      <c r="X10" s="462"/>
      <c r="Y10" s="462"/>
      <c r="Z10" s="462"/>
      <c r="AA10" s="462"/>
      <c r="AB10" s="490"/>
    </row>
    <row r="11" spans="1:28">
      <c r="A11" s="462">
        <v>1.3</v>
      </c>
      <c r="B11" s="492" t="s">
        <v>534</v>
      </c>
      <c r="C11" s="793"/>
      <c r="D11" s="794"/>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B11" s="490"/>
    </row>
    <row r="12" spans="1:28">
      <c r="A12" s="462">
        <v>1.4</v>
      </c>
      <c r="B12" s="492" t="s">
        <v>535</v>
      </c>
      <c r="C12" s="793"/>
      <c r="D12" s="794"/>
      <c r="E12" s="462"/>
      <c r="F12" s="462"/>
      <c r="G12" s="462"/>
      <c r="H12" s="462"/>
      <c r="I12" s="462"/>
      <c r="J12" s="462"/>
      <c r="K12" s="462"/>
      <c r="L12" s="462"/>
      <c r="M12" s="462"/>
      <c r="N12" s="462"/>
      <c r="O12" s="462"/>
      <c r="P12" s="462"/>
      <c r="Q12" s="462"/>
      <c r="R12" s="462"/>
      <c r="S12" s="462"/>
      <c r="T12" s="462"/>
      <c r="U12" s="462"/>
      <c r="V12" s="462"/>
      <c r="W12" s="462"/>
      <c r="X12" s="462"/>
      <c r="Y12" s="462"/>
      <c r="Z12" s="462"/>
      <c r="AA12" s="462"/>
      <c r="AB12" s="490"/>
    </row>
    <row r="13" spans="1:28">
      <c r="A13" s="462">
        <v>1.5</v>
      </c>
      <c r="B13" s="492" t="s">
        <v>536</v>
      </c>
      <c r="C13" s="793"/>
      <c r="D13" s="794"/>
      <c r="E13" s="462"/>
      <c r="F13" s="462"/>
      <c r="G13" s="462"/>
      <c r="H13" s="462"/>
      <c r="I13" s="462"/>
      <c r="J13" s="462"/>
      <c r="K13" s="462"/>
      <c r="L13" s="462"/>
      <c r="M13" s="462"/>
      <c r="N13" s="462"/>
      <c r="O13" s="462"/>
      <c r="P13" s="462"/>
      <c r="Q13" s="462"/>
      <c r="R13" s="462"/>
      <c r="S13" s="462"/>
      <c r="T13" s="462"/>
      <c r="U13" s="462"/>
      <c r="V13" s="462"/>
      <c r="W13" s="462"/>
      <c r="X13" s="462"/>
      <c r="Y13" s="462"/>
      <c r="Z13" s="462"/>
      <c r="AA13" s="462"/>
      <c r="AB13" s="490"/>
    </row>
    <row r="14" spans="1:28">
      <c r="A14" s="462">
        <v>1.6</v>
      </c>
      <c r="B14" s="492" t="s">
        <v>537</v>
      </c>
      <c r="C14" s="793">
        <f>'18. Assets by Exposure classes'!D14</f>
        <v>1148674.8799999994</v>
      </c>
      <c r="D14" s="794">
        <f>C14</f>
        <v>1148674.8799999994</v>
      </c>
      <c r="E14" s="835">
        <v>6894.8</v>
      </c>
      <c r="F14" s="462"/>
      <c r="G14" s="462"/>
      <c r="H14" s="462"/>
      <c r="I14" s="462"/>
      <c r="J14" s="462"/>
      <c r="K14" s="462"/>
      <c r="L14" s="462"/>
      <c r="M14" s="462"/>
      <c r="N14" s="462"/>
      <c r="O14" s="462"/>
      <c r="P14" s="462"/>
      <c r="Q14" s="462"/>
      <c r="R14" s="462"/>
      <c r="S14" s="462"/>
      <c r="T14" s="462"/>
      <c r="U14" s="462"/>
      <c r="V14" s="462"/>
      <c r="W14" s="462"/>
      <c r="X14" s="462"/>
      <c r="Y14" s="462"/>
      <c r="Z14" s="462"/>
      <c r="AA14" s="462"/>
      <c r="AB14" s="490"/>
    </row>
    <row r="15" spans="1:28">
      <c r="A15" s="493">
        <v>2</v>
      </c>
      <c r="B15" s="476" t="s">
        <v>538</v>
      </c>
      <c r="C15" s="830">
        <f>C18</f>
        <v>4270242.2</v>
      </c>
      <c r="D15" s="830">
        <f>D18</f>
        <v>4270242.2</v>
      </c>
      <c r="E15" s="462"/>
      <c r="F15" s="462"/>
      <c r="G15" s="462"/>
      <c r="H15" s="462"/>
      <c r="I15" s="462"/>
      <c r="J15" s="462"/>
      <c r="K15" s="462"/>
      <c r="L15" s="462"/>
      <c r="M15" s="462"/>
      <c r="N15" s="462"/>
      <c r="O15" s="462"/>
      <c r="P15" s="462"/>
      <c r="Q15" s="462"/>
      <c r="R15" s="462"/>
      <c r="S15" s="462"/>
      <c r="T15" s="462"/>
      <c r="U15" s="462"/>
      <c r="V15" s="462"/>
      <c r="W15" s="462"/>
      <c r="X15" s="462"/>
      <c r="Y15" s="462"/>
      <c r="Z15" s="462"/>
      <c r="AA15" s="462"/>
      <c r="AB15" s="490"/>
    </row>
    <row r="16" spans="1:28">
      <c r="A16" s="462">
        <v>2.1</v>
      </c>
      <c r="B16" s="492" t="s">
        <v>532</v>
      </c>
      <c r="C16" s="793"/>
      <c r="D16" s="794"/>
      <c r="E16" s="462"/>
      <c r="F16" s="462"/>
      <c r="G16" s="462"/>
      <c r="H16" s="462"/>
      <c r="I16" s="462"/>
      <c r="J16" s="462"/>
      <c r="K16" s="462"/>
      <c r="L16" s="462"/>
      <c r="M16" s="462"/>
      <c r="N16" s="462"/>
      <c r="O16" s="462"/>
      <c r="P16" s="462"/>
      <c r="Q16" s="462"/>
      <c r="R16" s="462"/>
      <c r="S16" s="462"/>
      <c r="T16" s="462"/>
      <c r="U16" s="462"/>
      <c r="V16" s="462"/>
      <c r="W16" s="462"/>
      <c r="X16" s="462"/>
      <c r="Y16" s="462"/>
      <c r="Z16" s="462"/>
      <c r="AA16" s="462"/>
      <c r="AB16" s="490"/>
    </row>
    <row r="17" spans="1:28">
      <c r="A17" s="462">
        <v>2.2000000000000002</v>
      </c>
      <c r="B17" s="492" t="s">
        <v>533</v>
      </c>
      <c r="C17" s="793"/>
      <c r="D17" s="794"/>
      <c r="E17" s="462"/>
      <c r="F17" s="462"/>
      <c r="G17" s="462"/>
      <c r="H17" s="462"/>
      <c r="I17" s="462"/>
      <c r="J17" s="462"/>
      <c r="K17" s="462"/>
      <c r="L17" s="462"/>
      <c r="M17" s="462"/>
      <c r="N17" s="462"/>
      <c r="O17" s="462"/>
      <c r="P17" s="462"/>
      <c r="Q17" s="462"/>
      <c r="R17" s="462"/>
      <c r="S17" s="462"/>
      <c r="T17" s="462"/>
      <c r="U17" s="462"/>
      <c r="V17" s="462"/>
      <c r="W17" s="462"/>
      <c r="X17" s="462"/>
      <c r="Y17" s="462"/>
      <c r="Z17" s="462"/>
      <c r="AA17" s="462"/>
      <c r="AB17" s="490"/>
    </row>
    <row r="18" spans="1:28">
      <c r="A18" s="462">
        <v>2.2999999999999998</v>
      </c>
      <c r="B18" s="492" t="s">
        <v>534</v>
      </c>
      <c r="C18" s="793">
        <f>'2. SOFP'!E20+'20. Reserves'!D15</f>
        <v>4270242.2</v>
      </c>
      <c r="D18" s="794">
        <f>'2. SOFP'!E20+'20. Reserves'!D15</f>
        <v>4270242.2</v>
      </c>
      <c r="E18" s="462"/>
      <c r="F18" s="462"/>
      <c r="G18" s="462"/>
      <c r="H18" s="462"/>
      <c r="I18" s="462"/>
      <c r="J18" s="462"/>
      <c r="K18" s="462"/>
      <c r="L18" s="462"/>
      <c r="M18" s="462"/>
      <c r="N18" s="462"/>
      <c r="O18" s="462"/>
      <c r="P18" s="462"/>
      <c r="Q18" s="462"/>
      <c r="R18" s="462"/>
      <c r="S18" s="462"/>
      <c r="T18" s="462"/>
      <c r="U18" s="462"/>
      <c r="V18" s="462"/>
      <c r="W18" s="462"/>
      <c r="X18" s="462"/>
      <c r="Y18" s="462"/>
      <c r="Z18" s="462"/>
      <c r="AA18" s="462"/>
      <c r="AB18" s="490"/>
    </row>
    <row r="19" spans="1:28">
      <c r="A19" s="462">
        <v>2.4</v>
      </c>
      <c r="B19" s="492" t="s">
        <v>535</v>
      </c>
      <c r="C19" s="793"/>
      <c r="D19" s="794"/>
      <c r="E19" s="462"/>
      <c r="F19" s="462"/>
      <c r="G19" s="462"/>
      <c r="H19" s="462"/>
      <c r="I19" s="462"/>
      <c r="J19" s="462"/>
      <c r="K19" s="462"/>
      <c r="L19" s="462"/>
      <c r="M19" s="462"/>
      <c r="N19" s="462"/>
      <c r="O19" s="462"/>
      <c r="P19" s="462"/>
      <c r="Q19" s="462"/>
      <c r="R19" s="462"/>
      <c r="S19" s="462"/>
      <c r="T19" s="462"/>
      <c r="U19" s="462"/>
      <c r="V19" s="462"/>
      <c r="W19" s="462"/>
      <c r="X19" s="462"/>
      <c r="Y19" s="462"/>
      <c r="Z19" s="462"/>
      <c r="AA19" s="462"/>
      <c r="AB19" s="490"/>
    </row>
    <row r="20" spans="1:28">
      <c r="A20" s="462">
        <v>2.5</v>
      </c>
      <c r="B20" s="492" t="s">
        <v>536</v>
      </c>
      <c r="C20" s="492"/>
      <c r="D20" s="462"/>
      <c r="E20" s="462"/>
      <c r="F20" s="462"/>
      <c r="G20" s="462"/>
      <c r="H20" s="462"/>
      <c r="I20" s="462"/>
      <c r="J20" s="462"/>
      <c r="K20" s="462"/>
      <c r="L20" s="462"/>
      <c r="M20" s="462"/>
      <c r="N20" s="462"/>
      <c r="O20" s="462"/>
      <c r="P20" s="462"/>
      <c r="Q20" s="462"/>
      <c r="R20" s="462"/>
      <c r="S20" s="462"/>
      <c r="T20" s="462"/>
      <c r="U20" s="462"/>
      <c r="V20" s="462"/>
      <c r="W20" s="462"/>
      <c r="X20" s="462"/>
      <c r="Y20" s="462"/>
      <c r="Z20" s="462"/>
      <c r="AA20" s="462"/>
      <c r="AB20" s="490"/>
    </row>
    <row r="21" spans="1:28">
      <c r="A21" s="462">
        <v>2.6</v>
      </c>
      <c r="B21" s="492" t="s">
        <v>537</v>
      </c>
      <c r="C21" s="492"/>
      <c r="D21" s="462"/>
      <c r="E21" s="462"/>
      <c r="F21" s="462"/>
      <c r="G21" s="462"/>
      <c r="H21" s="462"/>
      <c r="I21" s="462"/>
      <c r="J21" s="462"/>
      <c r="K21" s="462"/>
      <c r="L21" s="462"/>
      <c r="M21" s="462"/>
      <c r="N21" s="462"/>
      <c r="O21" s="462"/>
      <c r="P21" s="462"/>
      <c r="Q21" s="462"/>
      <c r="R21" s="462"/>
      <c r="S21" s="462"/>
      <c r="T21" s="462"/>
      <c r="U21" s="462"/>
      <c r="V21" s="462"/>
      <c r="W21" s="462"/>
      <c r="X21" s="462"/>
      <c r="Y21" s="462"/>
      <c r="Z21" s="462"/>
      <c r="AA21" s="462"/>
      <c r="AB21" s="490"/>
    </row>
    <row r="22" spans="1:28">
      <c r="A22" s="493">
        <v>3</v>
      </c>
      <c r="B22" s="466" t="s">
        <v>539</v>
      </c>
      <c r="C22" s="466"/>
      <c r="D22" s="466"/>
      <c r="E22" s="491"/>
      <c r="F22" s="491"/>
      <c r="G22" s="491"/>
      <c r="H22" s="466"/>
      <c r="I22" s="491"/>
      <c r="J22" s="491"/>
      <c r="K22" s="491"/>
      <c r="L22" s="466"/>
      <c r="M22" s="491"/>
      <c r="N22" s="491"/>
      <c r="O22" s="491"/>
      <c r="P22" s="491"/>
      <c r="Q22" s="491"/>
      <c r="R22" s="491"/>
      <c r="S22" s="491"/>
      <c r="T22" s="466"/>
      <c r="U22" s="491"/>
      <c r="V22" s="491"/>
      <c r="W22" s="491"/>
      <c r="X22" s="491"/>
      <c r="Y22" s="491"/>
      <c r="Z22" s="491"/>
      <c r="AA22" s="491"/>
      <c r="AB22" s="490"/>
    </row>
    <row r="23" spans="1:28">
      <c r="A23" s="462">
        <v>3.1</v>
      </c>
      <c r="B23" s="492" t="s">
        <v>532</v>
      </c>
      <c r="C23" s="492"/>
      <c r="D23" s="466"/>
      <c r="E23" s="491"/>
      <c r="F23" s="491"/>
      <c r="G23" s="491"/>
      <c r="H23" s="466"/>
      <c r="I23" s="491"/>
      <c r="J23" s="491"/>
      <c r="K23" s="491"/>
      <c r="L23" s="466"/>
      <c r="M23" s="491"/>
      <c r="N23" s="491"/>
      <c r="O23" s="491"/>
      <c r="P23" s="491"/>
      <c r="Q23" s="491"/>
      <c r="R23" s="491"/>
      <c r="S23" s="491"/>
      <c r="T23" s="466"/>
      <c r="U23" s="491"/>
      <c r="V23" s="491"/>
      <c r="W23" s="491"/>
      <c r="X23" s="491"/>
      <c r="Y23" s="491"/>
      <c r="Z23" s="491"/>
      <c r="AA23" s="491"/>
      <c r="AB23" s="490"/>
    </row>
    <row r="24" spans="1:28">
      <c r="A24" s="462">
        <v>3.2</v>
      </c>
      <c r="B24" s="492" t="s">
        <v>533</v>
      </c>
      <c r="C24" s="492"/>
      <c r="D24" s="466"/>
      <c r="E24" s="491"/>
      <c r="F24" s="491"/>
      <c r="G24" s="491"/>
      <c r="H24" s="466"/>
      <c r="I24" s="491"/>
      <c r="J24" s="491"/>
      <c r="K24" s="491"/>
      <c r="L24" s="466"/>
      <c r="M24" s="491"/>
      <c r="N24" s="491"/>
      <c r="O24" s="491"/>
      <c r="P24" s="491"/>
      <c r="Q24" s="491"/>
      <c r="R24" s="491"/>
      <c r="S24" s="491"/>
      <c r="T24" s="466"/>
      <c r="U24" s="491"/>
      <c r="V24" s="491"/>
      <c r="W24" s="491"/>
      <c r="X24" s="491"/>
      <c r="Y24" s="491"/>
      <c r="Z24" s="491"/>
      <c r="AA24" s="491"/>
      <c r="AB24" s="490"/>
    </row>
    <row r="25" spans="1:28">
      <c r="A25" s="462">
        <v>3.3</v>
      </c>
      <c r="B25" s="492" t="s">
        <v>534</v>
      </c>
      <c r="C25" s="492"/>
      <c r="D25" s="466"/>
      <c r="E25" s="491"/>
      <c r="F25" s="491"/>
      <c r="G25" s="491"/>
      <c r="H25" s="466"/>
      <c r="I25" s="491"/>
      <c r="J25" s="491"/>
      <c r="K25" s="491"/>
      <c r="L25" s="466"/>
      <c r="M25" s="491"/>
      <c r="N25" s="491"/>
      <c r="O25" s="491"/>
      <c r="P25" s="491"/>
      <c r="Q25" s="491"/>
      <c r="R25" s="491"/>
      <c r="S25" s="491"/>
      <c r="T25" s="466"/>
      <c r="U25" s="491"/>
      <c r="V25" s="491"/>
      <c r="W25" s="491"/>
      <c r="X25" s="491"/>
      <c r="Y25" s="491"/>
      <c r="Z25" s="491"/>
      <c r="AA25" s="491"/>
      <c r="AB25" s="490"/>
    </row>
    <row r="26" spans="1:28">
      <c r="A26" s="462">
        <v>3.4</v>
      </c>
      <c r="B26" s="492" t="s">
        <v>535</v>
      </c>
      <c r="C26" s="492"/>
      <c r="D26" s="466"/>
      <c r="E26" s="491"/>
      <c r="F26" s="491"/>
      <c r="G26" s="491"/>
      <c r="H26" s="466"/>
      <c r="I26" s="491"/>
      <c r="J26" s="491"/>
      <c r="K26" s="491"/>
      <c r="L26" s="466"/>
      <c r="M26" s="491"/>
      <c r="N26" s="491"/>
      <c r="O26" s="491"/>
      <c r="P26" s="491"/>
      <c r="Q26" s="491"/>
      <c r="R26" s="491"/>
      <c r="S26" s="491"/>
      <c r="T26" s="466"/>
      <c r="U26" s="491"/>
      <c r="V26" s="491"/>
      <c r="W26" s="491"/>
      <c r="X26" s="491"/>
      <c r="Y26" s="491"/>
      <c r="Z26" s="491"/>
      <c r="AA26" s="491"/>
      <c r="AB26" s="490"/>
    </row>
    <row r="27" spans="1:28">
      <c r="A27" s="462">
        <v>3.5</v>
      </c>
      <c r="B27" s="492" t="s">
        <v>536</v>
      </c>
      <c r="C27" s="492"/>
      <c r="D27" s="466"/>
      <c r="E27" s="491"/>
      <c r="F27" s="491"/>
      <c r="G27" s="491"/>
      <c r="H27" s="466"/>
      <c r="I27" s="491"/>
      <c r="J27" s="491"/>
      <c r="K27" s="491"/>
      <c r="L27" s="466"/>
      <c r="M27" s="491"/>
      <c r="N27" s="491"/>
      <c r="O27" s="491"/>
      <c r="P27" s="491"/>
      <c r="Q27" s="491"/>
      <c r="R27" s="491"/>
      <c r="S27" s="491"/>
      <c r="T27" s="466"/>
      <c r="U27" s="491"/>
      <c r="V27" s="491"/>
      <c r="W27" s="491"/>
      <c r="X27" s="491"/>
      <c r="Y27" s="491"/>
      <c r="Z27" s="491"/>
      <c r="AA27" s="491"/>
      <c r="AB27" s="490"/>
    </row>
    <row r="28" spans="1:28">
      <c r="A28" s="462">
        <v>3.6</v>
      </c>
      <c r="B28" s="492" t="s">
        <v>537</v>
      </c>
      <c r="C28" s="492"/>
      <c r="D28" s="466"/>
      <c r="E28" s="491"/>
      <c r="F28" s="491"/>
      <c r="G28" s="491"/>
      <c r="H28" s="466"/>
      <c r="I28" s="491"/>
      <c r="J28" s="491"/>
      <c r="K28" s="491"/>
      <c r="L28" s="466"/>
      <c r="M28" s="491"/>
      <c r="N28" s="491"/>
      <c r="O28" s="491"/>
      <c r="P28" s="491"/>
      <c r="Q28" s="491"/>
      <c r="R28" s="491"/>
      <c r="S28" s="491"/>
      <c r="T28" s="466"/>
      <c r="U28" s="491"/>
      <c r="V28" s="491"/>
      <c r="W28" s="491"/>
      <c r="X28" s="491"/>
      <c r="Y28" s="491"/>
      <c r="Z28" s="491"/>
      <c r="AA28" s="491"/>
      <c r="AB28" s="490"/>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theme="2" tint="-9.9978637043366805E-2"/>
  </sheetPr>
  <dimension ref="A1:AA22"/>
  <sheetViews>
    <sheetView showGridLines="0" zoomScale="120" zoomScaleNormal="120" workbookViewId="0">
      <selection activeCell="B2" sqref="B2"/>
    </sheetView>
  </sheetViews>
  <sheetFormatPr defaultColWidth="9.109375" defaultRowHeight="12"/>
  <cols>
    <col min="1" max="1" width="11.88671875" style="473" bestFit="1" customWidth="1"/>
    <col min="2" max="2" width="90.109375" style="473" bestFit="1" customWidth="1"/>
    <col min="3" max="3" width="20.109375" style="473" customWidth="1"/>
    <col min="4" max="4" width="22.109375" style="473" customWidth="1"/>
    <col min="5" max="7" width="17.109375" style="473" customWidth="1"/>
    <col min="8" max="8" width="22.109375" style="473" customWidth="1"/>
    <col min="9" max="10" width="17.109375" style="473" customWidth="1"/>
    <col min="11" max="27" width="22.109375" style="473" customWidth="1"/>
    <col min="28" max="16384" width="9.109375" style="473"/>
  </cols>
  <sheetData>
    <row r="1" spans="1:27" ht="13.8">
      <c r="A1" s="353" t="s">
        <v>97</v>
      </c>
      <c r="B1" s="272" t="str">
        <f>Info!C2</f>
        <v>სს "ჰეშ ბანკი"</v>
      </c>
    </row>
    <row r="2" spans="1:27">
      <c r="A2" s="355" t="s">
        <v>98</v>
      </c>
      <c r="B2" s="719">
        <f>'1. key ratios'!B2</f>
        <v>46112</v>
      </c>
    </row>
    <row r="3" spans="1:27">
      <c r="A3" s="356" t="s">
        <v>540</v>
      </c>
      <c r="C3" s="475"/>
    </row>
    <row r="4" spans="1:27" ht="12.6" thickBot="1">
      <c r="A4" s="356"/>
      <c r="B4" s="475"/>
      <c r="C4" s="475"/>
    </row>
    <row r="5" spans="1:27" s="505" customFormat="1" ht="13.5" customHeight="1">
      <c r="A5" s="957" t="s">
        <v>869</v>
      </c>
      <c r="B5" s="958"/>
      <c r="C5" s="954" t="s">
        <v>541</v>
      </c>
      <c r="D5" s="955"/>
      <c r="E5" s="955"/>
      <c r="F5" s="955"/>
      <c r="G5" s="955"/>
      <c r="H5" s="955"/>
      <c r="I5" s="955"/>
      <c r="J5" s="955"/>
      <c r="K5" s="955"/>
      <c r="L5" s="955"/>
      <c r="M5" s="955"/>
      <c r="N5" s="955"/>
      <c r="O5" s="955"/>
      <c r="P5" s="955"/>
      <c r="Q5" s="955"/>
      <c r="R5" s="955"/>
      <c r="S5" s="955"/>
      <c r="T5" s="955"/>
      <c r="U5" s="955"/>
      <c r="V5" s="955"/>
      <c r="W5" s="955"/>
      <c r="X5" s="955"/>
      <c r="Y5" s="955"/>
      <c r="Z5" s="955"/>
      <c r="AA5" s="956"/>
    </row>
    <row r="6" spans="1:27" s="505" customFormat="1" ht="12" customHeight="1">
      <c r="A6" s="959"/>
      <c r="B6" s="960"/>
      <c r="C6" s="964" t="s">
        <v>66</v>
      </c>
      <c r="D6" s="963" t="s">
        <v>860</v>
      </c>
      <c r="E6" s="963"/>
      <c r="F6" s="963"/>
      <c r="G6" s="963"/>
      <c r="H6" s="949" t="s">
        <v>859</v>
      </c>
      <c r="I6" s="950"/>
      <c r="J6" s="950"/>
      <c r="K6" s="950"/>
      <c r="L6" s="501"/>
      <c r="M6" s="931" t="s">
        <v>858</v>
      </c>
      <c r="N6" s="931"/>
      <c r="O6" s="931"/>
      <c r="P6" s="931"/>
      <c r="Q6" s="931"/>
      <c r="R6" s="931"/>
      <c r="S6" s="929"/>
      <c r="T6" s="501"/>
      <c r="U6" s="931" t="s">
        <v>857</v>
      </c>
      <c r="V6" s="931"/>
      <c r="W6" s="931"/>
      <c r="X6" s="931"/>
      <c r="Y6" s="931"/>
      <c r="Z6" s="931"/>
      <c r="AA6" s="953"/>
    </row>
    <row r="7" spans="1:27" s="505" customFormat="1" ht="36">
      <c r="A7" s="961"/>
      <c r="B7" s="962"/>
      <c r="C7" s="965"/>
      <c r="D7" s="499"/>
      <c r="E7" s="495" t="s">
        <v>530</v>
      </c>
      <c r="F7" s="470" t="s">
        <v>855</v>
      </c>
      <c r="G7" s="470" t="s">
        <v>856</v>
      </c>
      <c r="H7" s="540"/>
      <c r="I7" s="495" t="s">
        <v>530</v>
      </c>
      <c r="J7" s="470" t="s">
        <v>855</v>
      </c>
      <c r="K7" s="470" t="s">
        <v>856</v>
      </c>
      <c r="L7" s="496"/>
      <c r="M7" s="495" t="s">
        <v>530</v>
      </c>
      <c r="N7" s="470" t="s">
        <v>868</v>
      </c>
      <c r="O7" s="470" t="s">
        <v>867</v>
      </c>
      <c r="P7" s="470" t="s">
        <v>866</v>
      </c>
      <c r="Q7" s="470" t="s">
        <v>865</v>
      </c>
      <c r="R7" s="470" t="s">
        <v>864</v>
      </c>
      <c r="S7" s="470" t="s">
        <v>850</v>
      </c>
      <c r="T7" s="496"/>
      <c r="U7" s="495" t="s">
        <v>530</v>
      </c>
      <c r="V7" s="470" t="s">
        <v>868</v>
      </c>
      <c r="W7" s="470" t="s">
        <v>867</v>
      </c>
      <c r="X7" s="470" t="s">
        <v>866</v>
      </c>
      <c r="Y7" s="470" t="s">
        <v>865</v>
      </c>
      <c r="Z7" s="470" t="s">
        <v>864</v>
      </c>
      <c r="AA7" s="470" t="s">
        <v>850</v>
      </c>
    </row>
    <row r="8" spans="1:27">
      <c r="A8" s="539">
        <v>1</v>
      </c>
      <c r="B8" s="538" t="s">
        <v>531</v>
      </c>
      <c r="C8" s="537"/>
      <c r="D8" s="462"/>
      <c r="E8" s="462"/>
      <c r="F8" s="462"/>
      <c r="G8" s="462"/>
      <c r="H8" s="462"/>
      <c r="I8" s="462"/>
      <c r="J8" s="462"/>
      <c r="K8" s="462"/>
      <c r="L8" s="462"/>
      <c r="M8" s="462"/>
      <c r="N8" s="462"/>
      <c r="O8" s="462"/>
      <c r="P8" s="462"/>
      <c r="Q8" s="462"/>
      <c r="R8" s="462"/>
      <c r="S8" s="462"/>
      <c r="T8" s="462"/>
      <c r="U8" s="462"/>
      <c r="V8" s="462"/>
      <c r="W8" s="462"/>
      <c r="X8" s="462"/>
      <c r="Y8" s="462"/>
      <c r="Z8" s="462"/>
      <c r="AA8" s="527"/>
    </row>
    <row r="9" spans="1:27">
      <c r="A9" s="535">
        <v>1.1000000000000001</v>
      </c>
      <c r="B9" s="536" t="s">
        <v>542</v>
      </c>
      <c r="C9" s="535"/>
      <c r="D9" s="462"/>
      <c r="E9" s="462"/>
      <c r="F9" s="462"/>
      <c r="G9" s="462"/>
      <c r="H9" s="462"/>
      <c r="I9" s="462"/>
      <c r="J9" s="462"/>
      <c r="K9" s="462"/>
      <c r="L9" s="462"/>
      <c r="M9" s="462"/>
      <c r="N9" s="462"/>
      <c r="O9" s="462"/>
      <c r="P9" s="462"/>
      <c r="Q9" s="462"/>
      <c r="R9" s="462"/>
      <c r="S9" s="462"/>
      <c r="T9" s="462"/>
      <c r="U9" s="462"/>
      <c r="V9" s="462"/>
      <c r="W9" s="462"/>
      <c r="X9" s="462"/>
      <c r="Y9" s="462"/>
      <c r="Z9" s="462"/>
      <c r="AA9" s="527"/>
    </row>
    <row r="10" spans="1:27">
      <c r="A10" s="533" t="s">
        <v>146</v>
      </c>
      <c r="B10" s="534" t="s">
        <v>543</v>
      </c>
      <c r="C10" s="533"/>
      <c r="D10" s="462"/>
      <c r="E10" s="462"/>
      <c r="F10" s="462"/>
      <c r="G10" s="462"/>
      <c r="H10" s="462"/>
      <c r="I10" s="462"/>
      <c r="J10" s="462"/>
      <c r="K10" s="462"/>
      <c r="L10" s="462"/>
      <c r="M10" s="462"/>
      <c r="N10" s="462"/>
      <c r="O10" s="462"/>
      <c r="P10" s="462"/>
      <c r="Q10" s="462"/>
      <c r="R10" s="462"/>
      <c r="S10" s="462"/>
      <c r="T10" s="462"/>
      <c r="U10" s="462"/>
      <c r="V10" s="462"/>
      <c r="W10" s="462"/>
      <c r="X10" s="462"/>
      <c r="Y10" s="462"/>
      <c r="Z10" s="462"/>
      <c r="AA10" s="527"/>
    </row>
    <row r="11" spans="1:27">
      <c r="A11" s="532" t="s">
        <v>544</v>
      </c>
      <c r="B11" s="531" t="s">
        <v>545</v>
      </c>
      <c r="C11" s="530"/>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527"/>
    </row>
    <row r="12" spans="1:27">
      <c r="A12" s="532" t="s">
        <v>546</v>
      </c>
      <c r="B12" s="531" t="s">
        <v>547</v>
      </c>
      <c r="C12" s="530"/>
      <c r="D12" s="462"/>
      <c r="E12" s="462"/>
      <c r="F12" s="462"/>
      <c r="G12" s="462"/>
      <c r="H12" s="462"/>
      <c r="I12" s="462"/>
      <c r="J12" s="462"/>
      <c r="K12" s="462"/>
      <c r="L12" s="462"/>
      <c r="M12" s="462"/>
      <c r="N12" s="462"/>
      <c r="O12" s="462"/>
      <c r="P12" s="462"/>
      <c r="Q12" s="462"/>
      <c r="R12" s="462"/>
      <c r="S12" s="462"/>
      <c r="T12" s="462"/>
      <c r="U12" s="462"/>
      <c r="V12" s="462"/>
      <c r="W12" s="462"/>
      <c r="X12" s="462"/>
      <c r="Y12" s="462"/>
      <c r="Z12" s="462"/>
      <c r="AA12" s="527"/>
    </row>
    <row r="13" spans="1:27">
      <c r="A13" s="532" t="s">
        <v>548</v>
      </c>
      <c r="B13" s="531" t="s">
        <v>549</v>
      </c>
      <c r="C13" s="530"/>
      <c r="D13" s="462"/>
      <c r="E13" s="462"/>
      <c r="F13" s="462"/>
      <c r="G13" s="462"/>
      <c r="H13" s="462"/>
      <c r="I13" s="462"/>
      <c r="J13" s="462"/>
      <c r="K13" s="462"/>
      <c r="L13" s="462"/>
      <c r="M13" s="462"/>
      <c r="N13" s="462"/>
      <c r="O13" s="462"/>
      <c r="P13" s="462"/>
      <c r="Q13" s="462"/>
      <c r="R13" s="462"/>
      <c r="S13" s="462"/>
      <c r="T13" s="462"/>
      <c r="U13" s="462"/>
      <c r="V13" s="462"/>
      <c r="W13" s="462"/>
      <c r="X13" s="462"/>
      <c r="Y13" s="462"/>
      <c r="Z13" s="462"/>
      <c r="AA13" s="527"/>
    </row>
    <row r="14" spans="1:27">
      <c r="A14" s="532" t="s">
        <v>550</v>
      </c>
      <c r="B14" s="531" t="s">
        <v>551</v>
      </c>
      <c r="C14" s="530"/>
      <c r="D14" s="462"/>
      <c r="E14" s="462"/>
      <c r="F14" s="462"/>
      <c r="G14" s="462"/>
      <c r="H14" s="462"/>
      <c r="I14" s="462"/>
      <c r="J14" s="462"/>
      <c r="K14" s="462"/>
      <c r="L14" s="462"/>
      <c r="M14" s="462"/>
      <c r="N14" s="462"/>
      <c r="O14" s="462"/>
      <c r="P14" s="462"/>
      <c r="Q14" s="462"/>
      <c r="R14" s="462"/>
      <c r="S14" s="462"/>
      <c r="T14" s="462"/>
      <c r="U14" s="462"/>
      <c r="V14" s="462"/>
      <c r="W14" s="462"/>
      <c r="X14" s="462"/>
      <c r="Y14" s="462"/>
      <c r="Z14" s="462"/>
      <c r="AA14" s="527"/>
    </row>
    <row r="15" spans="1:27">
      <c r="A15" s="529">
        <v>1.2</v>
      </c>
      <c r="B15" s="525" t="s">
        <v>863</v>
      </c>
      <c r="C15" s="528"/>
      <c r="D15" s="462"/>
      <c r="E15" s="462"/>
      <c r="F15" s="462"/>
      <c r="G15" s="462"/>
      <c r="H15" s="462"/>
      <c r="I15" s="462"/>
      <c r="J15" s="462"/>
      <c r="K15" s="462"/>
      <c r="L15" s="462"/>
      <c r="M15" s="462"/>
      <c r="N15" s="462"/>
      <c r="O15" s="462"/>
      <c r="P15" s="462"/>
      <c r="Q15" s="462"/>
      <c r="R15" s="462"/>
      <c r="S15" s="462"/>
      <c r="T15" s="462"/>
      <c r="U15" s="462"/>
      <c r="V15" s="462"/>
      <c r="W15" s="462"/>
      <c r="X15" s="462"/>
      <c r="Y15" s="462"/>
      <c r="Z15" s="462"/>
      <c r="AA15" s="527"/>
    </row>
    <row r="16" spans="1:27">
      <c r="A16" s="526">
        <v>1.3</v>
      </c>
      <c r="B16" s="525" t="s">
        <v>552</v>
      </c>
      <c r="C16" s="524"/>
      <c r="D16" s="523"/>
      <c r="E16" s="523"/>
      <c r="F16" s="523"/>
      <c r="G16" s="523"/>
      <c r="H16" s="523"/>
      <c r="I16" s="523"/>
      <c r="J16" s="523"/>
      <c r="K16" s="523"/>
      <c r="L16" s="523"/>
      <c r="M16" s="523"/>
      <c r="N16" s="523"/>
      <c r="O16" s="523"/>
      <c r="P16" s="523"/>
      <c r="Q16" s="523"/>
      <c r="R16" s="523"/>
      <c r="S16" s="523"/>
      <c r="T16" s="523"/>
      <c r="U16" s="523"/>
      <c r="V16" s="523"/>
      <c r="W16" s="523"/>
      <c r="X16" s="523"/>
      <c r="Y16" s="523"/>
      <c r="Z16" s="523"/>
      <c r="AA16" s="522"/>
    </row>
    <row r="17" spans="1:27" s="505" customFormat="1" ht="24">
      <c r="A17" s="519" t="s">
        <v>553</v>
      </c>
      <c r="B17" s="521" t="s">
        <v>554</v>
      </c>
      <c r="C17" s="520"/>
      <c r="D17" s="463"/>
      <c r="E17" s="463"/>
      <c r="F17" s="463"/>
      <c r="G17" s="463"/>
      <c r="H17" s="463"/>
      <c r="I17" s="463"/>
      <c r="J17" s="463"/>
      <c r="K17" s="463"/>
      <c r="L17" s="463"/>
      <c r="M17" s="463"/>
      <c r="N17" s="463"/>
      <c r="O17" s="463"/>
      <c r="P17" s="463"/>
      <c r="Q17" s="463"/>
      <c r="R17" s="463"/>
      <c r="S17" s="463"/>
      <c r="T17" s="463"/>
      <c r="U17" s="463"/>
      <c r="V17" s="463"/>
      <c r="W17" s="463"/>
      <c r="X17" s="463"/>
      <c r="Y17" s="463"/>
      <c r="Z17" s="463"/>
      <c r="AA17" s="511"/>
    </row>
    <row r="18" spans="1:27" s="505" customFormat="1" ht="24">
      <c r="A18" s="515" t="s">
        <v>555</v>
      </c>
      <c r="B18" s="516" t="s">
        <v>556</v>
      </c>
      <c r="C18" s="515"/>
      <c r="D18" s="463"/>
      <c r="E18" s="463"/>
      <c r="F18" s="463"/>
      <c r="G18" s="463"/>
      <c r="H18" s="463"/>
      <c r="I18" s="463"/>
      <c r="J18" s="463"/>
      <c r="K18" s="463"/>
      <c r="L18" s="463"/>
      <c r="M18" s="463"/>
      <c r="N18" s="463"/>
      <c r="O18" s="463"/>
      <c r="P18" s="463"/>
      <c r="Q18" s="463"/>
      <c r="R18" s="463"/>
      <c r="S18" s="463"/>
      <c r="T18" s="463"/>
      <c r="U18" s="463"/>
      <c r="V18" s="463"/>
      <c r="W18" s="463"/>
      <c r="X18" s="463"/>
      <c r="Y18" s="463"/>
      <c r="Z18" s="463"/>
      <c r="AA18" s="511"/>
    </row>
    <row r="19" spans="1:27" s="505" customFormat="1">
      <c r="A19" s="519" t="s">
        <v>557</v>
      </c>
      <c r="B19" s="518" t="s">
        <v>558</v>
      </c>
      <c r="C19" s="517"/>
      <c r="D19" s="463"/>
      <c r="E19" s="463"/>
      <c r="F19" s="463"/>
      <c r="G19" s="463"/>
      <c r="H19" s="463"/>
      <c r="I19" s="463"/>
      <c r="J19" s="463"/>
      <c r="K19" s="463"/>
      <c r="L19" s="463"/>
      <c r="M19" s="463"/>
      <c r="N19" s="463"/>
      <c r="O19" s="463"/>
      <c r="P19" s="463"/>
      <c r="Q19" s="463"/>
      <c r="R19" s="463"/>
      <c r="S19" s="463"/>
      <c r="T19" s="463"/>
      <c r="U19" s="463"/>
      <c r="V19" s="463"/>
      <c r="W19" s="463"/>
      <c r="X19" s="463"/>
      <c r="Y19" s="463"/>
      <c r="Z19" s="463"/>
      <c r="AA19" s="511"/>
    </row>
    <row r="20" spans="1:27" s="505" customFormat="1">
      <c r="A20" s="515" t="s">
        <v>559</v>
      </c>
      <c r="B20" s="516" t="s">
        <v>560</v>
      </c>
      <c r="C20" s="515"/>
      <c r="D20" s="463"/>
      <c r="E20" s="463"/>
      <c r="F20" s="463"/>
      <c r="G20" s="463"/>
      <c r="H20" s="463"/>
      <c r="I20" s="463"/>
      <c r="J20" s="463"/>
      <c r="K20" s="463"/>
      <c r="L20" s="463"/>
      <c r="M20" s="463"/>
      <c r="N20" s="463"/>
      <c r="O20" s="463"/>
      <c r="P20" s="463"/>
      <c r="Q20" s="463"/>
      <c r="R20" s="463"/>
      <c r="S20" s="463"/>
      <c r="T20" s="463"/>
      <c r="U20" s="463"/>
      <c r="V20" s="463"/>
      <c r="W20" s="463"/>
      <c r="X20" s="463"/>
      <c r="Y20" s="463"/>
      <c r="Z20" s="463"/>
      <c r="AA20" s="511"/>
    </row>
    <row r="21" spans="1:27" s="505" customFormat="1">
      <c r="A21" s="514">
        <v>1.4</v>
      </c>
      <c r="B21" s="513" t="s">
        <v>649</v>
      </c>
      <c r="C21" s="512"/>
      <c r="D21" s="463"/>
      <c r="E21" s="463"/>
      <c r="F21" s="463"/>
      <c r="G21" s="463"/>
      <c r="H21" s="463"/>
      <c r="I21" s="463"/>
      <c r="J21" s="463"/>
      <c r="K21" s="463"/>
      <c r="L21" s="463"/>
      <c r="M21" s="463"/>
      <c r="N21" s="463"/>
      <c r="O21" s="463"/>
      <c r="P21" s="463"/>
      <c r="Q21" s="463"/>
      <c r="R21" s="463"/>
      <c r="S21" s="463"/>
      <c r="T21" s="463"/>
      <c r="U21" s="463"/>
      <c r="V21" s="463"/>
      <c r="W21" s="463"/>
      <c r="X21" s="463"/>
      <c r="Y21" s="463"/>
      <c r="Z21" s="463"/>
      <c r="AA21" s="511"/>
    </row>
    <row r="22" spans="1:27" s="505" customFormat="1" ht="12.6" thickBot="1">
      <c r="A22" s="510">
        <v>1.5</v>
      </c>
      <c r="B22" s="509" t="s">
        <v>650</v>
      </c>
      <c r="C22" s="508"/>
      <c r="D22" s="507"/>
      <c r="E22" s="507"/>
      <c r="F22" s="507"/>
      <c r="G22" s="507"/>
      <c r="H22" s="507"/>
      <c r="I22" s="507"/>
      <c r="J22" s="507"/>
      <c r="K22" s="507"/>
      <c r="L22" s="507"/>
      <c r="M22" s="507"/>
      <c r="N22" s="507"/>
      <c r="O22" s="507"/>
      <c r="P22" s="507"/>
      <c r="Q22" s="507"/>
      <c r="R22" s="507"/>
      <c r="S22" s="507"/>
      <c r="T22" s="507"/>
      <c r="U22" s="507"/>
      <c r="V22" s="507"/>
      <c r="W22" s="507"/>
      <c r="X22" s="507"/>
      <c r="Y22" s="507"/>
      <c r="Z22" s="507"/>
      <c r="AA22" s="506"/>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2" tint="-9.9978637043366805E-2"/>
  </sheetPr>
  <dimension ref="A1:M70"/>
  <sheetViews>
    <sheetView zoomScaleNormal="100" workbookViewId="0"/>
  </sheetViews>
  <sheetFormatPr defaultRowHeight="14.4"/>
  <cols>
    <col min="1" max="1" width="8.88671875" style="432"/>
    <col min="2" max="2" width="69.109375" style="404" customWidth="1"/>
    <col min="3" max="3" width="13.5546875" customWidth="1"/>
    <col min="4" max="4" width="14.44140625" customWidth="1"/>
    <col min="5" max="8" width="13.109375" customWidth="1"/>
    <col min="10" max="10" width="12" bestFit="1" customWidth="1"/>
    <col min="11" max="11" width="11.109375" customWidth="1"/>
    <col min="12" max="13" width="5.109375" bestFit="1" customWidth="1"/>
  </cols>
  <sheetData>
    <row r="1" spans="1:13">
      <c r="A1" s="17" t="s">
        <v>97</v>
      </c>
      <c r="B1" s="272" t="str">
        <f>Info!C2</f>
        <v>სს "ჰეშ ბანკი"</v>
      </c>
      <c r="C1" s="16"/>
      <c r="D1" s="212"/>
      <c r="E1" s="212"/>
      <c r="F1" s="212"/>
      <c r="G1" s="212"/>
    </row>
    <row r="2" spans="1:13">
      <c r="A2" s="17" t="s">
        <v>98</v>
      </c>
      <c r="B2" s="709">
        <f>'1. key ratios'!B2</f>
        <v>46112</v>
      </c>
      <c r="C2" s="28"/>
      <c r="D2" s="18"/>
      <c r="E2" s="18"/>
      <c r="F2" s="18"/>
      <c r="G2" s="18"/>
      <c r="H2" s="1"/>
    </row>
    <row r="3" spans="1:13">
      <c r="A3" s="17"/>
      <c r="B3" s="16"/>
      <c r="C3" s="28"/>
      <c r="D3" s="18"/>
      <c r="E3" s="18"/>
      <c r="F3" s="18"/>
      <c r="G3" s="18"/>
      <c r="H3" s="1"/>
    </row>
    <row r="4" spans="1:13" ht="21" customHeight="1">
      <c r="A4" s="857" t="s">
        <v>25</v>
      </c>
      <c r="B4" s="858" t="s">
        <v>697</v>
      </c>
      <c r="C4" s="860" t="s">
        <v>103</v>
      </c>
      <c r="D4" s="860"/>
      <c r="E4" s="860"/>
      <c r="F4" s="860" t="s">
        <v>104</v>
      </c>
      <c r="G4" s="860"/>
      <c r="H4" s="861"/>
    </row>
    <row r="5" spans="1:13" ht="21" customHeight="1">
      <c r="A5" s="857"/>
      <c r="B5" s="859"/>
      <c r="C5" s="375" t="s">
        <v>26</v>
      </c>
      <c r="D5" s="375" t="s">
        <v>77</v>
      </c>
      <c r="E5" s="375" t="s">
        <v>66</v>
      </c>
      <c r="F5" s="375" t="s">
        <v>26</v>
      </c>
      <c r="G5" s="375" t="s">
        <v>77</v>
      </c>
      <c r="H5" s="375" t="s">
        <v>66</v>
      </c>
    </row>
    <row r="6" spans="1:13" ht="26.4" customHeight="1">
      <c r="A6" s="857"/>
      <c r="B6" s="376" t="s">
        <v>84</v>
      </c>
      <c r="C6" s="862"/>
      <c r="D6" s="863"/>
      <c r="E6" s="863"/>
      <c r="F6" s="863"/>
      <c r="G6" s="863"/>
      <c r="H6" s="864"/>
    </row>
    <row r="7" spans="1:13" ht="23.1" customHeight="1">
      <c r="A7" s="420">
        <v>1</v>
      </c>
      <c r="B7" s="377" t="s">
        <v>811</v>
      </c>
      <c r="C7" s="721">
        <f>SUM(C8:C10)</f>
        <v>43944676.570000008</v>
      </c>
      <c r="D7" s="721">
        <f>SUM(D8:D10)</f>
        <v>6266673.3997999988</v>
      </c>
      <c r="E7" s="722">
        <f>C7+D7</f>
        <v>50211349.96980001</v>
      </c>
      <c r="F7" s="720">
        <v>13832862</v>
      </c>
      <c r="G7" s="720">
        <v>472953</v>
      </c>
      <c r="H7" s="722">
        <f>F7+G7</f>
        <v>14305815</v>
      </c>
    </row>
    <row r="8" spans="1:13">
      <c r="A8" s="420">
        <v>1.1000000000000001</v>
      </c>
      <c r="B8" s="378" t="s">
        <v>85</v>
      </c>
      <c r="C8" s="721">
        <v>74155</v>
      </c>
      <c r="D8" s="721">
        <v>1589304.7649999999</v>
      </c>
      <c r="E8" s="722">
        <f t="shared" ref="E8:E36" si="0">C8+D8</f>
        <v>1663459.7649999999</v>
      </c>
      <c r="F8" s="720"/>
      <c r="G8" s="720"/>
      <c r="H8" s="722">
        <f t="shared" ref="H8:H36" si="1">F8+G8</f>
        <v>0</v>
      </c>
      <c r="J8" s="781"/>
      <c r="K8" s="781"/>
      <c r="L8" s="782"/>
      <c r="M8" s="782"/>
    </row>
    <row r="9" spans="1:13">
      <c r="A9" s="420">
        <v>1.2</v>
      </c>
      <c r="B9" s="378" t="s">
        <v>86</v>
      </c>
      <c r="C9" s="721">
        <v>112384.41</v>
      </c>
      <c r="D9" s="721">
        <v>576614.00150000001</v>
      </c>
      <c r="E9" s="722">
        <f t="shared" si="0"/>
        <v>688998.41150000005</v>
      </c>
      <c r="F9" s="720">
        <v>53687</v>
      </c>
      <c r="G9" s="720">
        <v>227</v>
      </c>
      <c r="H9" s="722">
        <f t="shared" si="1"/>
        <v>53914</v>
      </c>
      <c r="J9" s="781"/>
      <c r="K9" s="781"/>
      <c r="L9" s="782"/>
      <c r="M9" s="782"/>
    </row>
    <row r="10" spans="1:13">
      <c r="A10" s="420">
        <v>1.3</v>
      </c>
      <c r="B10" s="378" t="s">
        <v>87</v>
      </c>
      <c r="C10" s="721">
        <v>43758137.160000011</v>
      </c>
      <c r="D10" s="721">
        <v>4100754.6332999989</v>
      </c>
      <c r="E10" s="722">
        <f t="shared" si="0"/>
        <v>47858891.79330001</v>
      </c>
      <c r="F10" s="720">
        <v>13779175</v>
      </c>
      <c r="G10" s="720">
        <v>472726</v>
      </c>
      <c r="H10" s="722">
        <f t="shared" si="1"/>
        <v>14251901</v>
      </c>
      <c r="J10" s="781"/>
      <c r="K10" s="781"/>
      <c r="L10" s="782"/>
      <c r="M10" s="782"/>
    </row>
    <row r="11" spans="1:13">
      <c r="A11" s="420">
        <v>2</v>
      </c>
      <c r="B11" s="379" t="s">
        <v>698</v>
      </c>
      <c r="C11" s="721"/>
      <c r="D11" s="721"/>
      <c r="E11" s="722">
        <f t="shared" si="0"/>
        <v>0</v>
      </c>
      <c r="F11" s="720"/>
      <c r="G11" s="720"/>
      <c r="H11" s="722">
        <f t="shared" si="1"/>
        <v>0</v>
      </c>
      <c r="J11" s="781"/>
      <c r="K11" s="781"/>
      <c r="L11" s="782"/>
      <c r="M11" s="782"/>
    </row>
    <row r="12" spans="1:13">
      <c r="A12" s="420">
        <v>2.1</v>
      </c>
      <c r="B12" s="380" t="s">
        <v>699</v>
      </c>
      <c r="C12" s="721"/>
      <c r="D12" s="721"/>
      <c r="E12" s="722">
        <f t="shared" si="0"/>
        <v>0</v>
      </c>
      <c r="F12" s="720"/>
      <c r="G12" s="720"/>
      <c r="H12" s="722">
        <f t="shared" si="1"/>
        <v>0</v>
      </c>
      <c r="J12" s="781"/>
      <c r="K12" s="781"/>
      <c r="L12" s="782"/>
      <c r="M12" s="782"/>
    </row>
    <row r="13" spans="1:13" ht="26.4" customHeight="1">
      <c r="A13" s="420">
        <v>3</v>
      </c>
      <c r="B13" s="381" t="s">
        <v>700</v>
      </c>
      <c r="C13" s="721"/>
      <c r="D13" s="721"/>
      <c r="E13" s="722">
        <f t="shared" si="0"/>
        <v>0</v>
      </c>
      <c r="F13" s="720"/>
      <c r="G13" s="720"/>
      <c r="H13" s="722">
        <f t="shared" si="1"/>
        <v>0</v>
      </c>
      <c r="J13" s="781"/>
      <c r="K13" s="781"/>
      <c r="L13" s="782"/>
      <c r="M13" s="782"/>
    </row>
    <row r="14" spans="1:13" ht="26.4" customHeight="1">
      <c r="A14" s="420">
        <v>4</v>
      </c>
      <c r="B14" s="382" t="s">
        <v>701</v>
      </c>
      <c r="C14" s="721"/>
      <c r="D14" s="721"/>
      <c r="E14" s="722">
        <f t="shared" si="0"/>
        <v>0</v>
      </c>
      <c r="F14" s="720"/>
      <c r="G14" s="720"/>
      <c r="H14" s="722">
        <f t="shared" si="1"/>
        <v>0</v>
      </c>
      <c r="J14" s="781"/>
      <c r="K14" s="781"/>
      <c r="L14" s="782"/>
      <c r="M14" s="782"/>
    </row>
    <row r="15" spans="1:13" ht="24.6" customHeight="1">
      <c r="A15" s="420">
        <v>5</v>
      </c>
      <c r="B15" s="382" t="s">
        <v>702</v>
      </c>
      <c r="C15" s="723">
        <f>SUM(C16:C18)</f>
        <v>0</v>
      </c>
      <c r="D15" s="723">
        <f>SUM(D16:D18)</f>
        <v>0</v>
      </c>
      <c r="E15" s="724">
        <f t="shared" si="0"/>
        <v>0</v>
      </c>
      <c r="F15" s="795">
        <v>0</v>
      </c>
      <c r="G15" s="795">
        <v>0</v>
      </c>
      <c r="H15" s="724">
        <f t="shared" si="1"/>
        <v>0</v>
      </c>
      <c r="J15" s="781"/>
      <c r="K15" s="781"/>
      <c r="L15" s="782"/>
      <c r="M15" s="782"/>
    </row>
    <row r="16" spans="1:13">
      <c r="A16" s="420">
        <v>5.0999999999999996</v>
      </c>
      <c r="B16" s="383" t="s">
        <v>703</v>
      </c>
      <c r="C16" s="721"/>
      <c r="D16" s="721"/>
      <c r="E16" s="722">
        <f t="shared" si="0"/>
        <v>0</v>
      </c>
      <c r="F16" s="720"/>
      <c r="G16" s="720"/>
      <c r="H16" s="722">
        <f t="shared" si="1"/>
        <v>0</v>
      </c>
      <c r="J16" s="781"/>
      <c r="K16" s="781"/>
      <c r="L16" s="782"/>
      <c r="M16" s="782"/>
    </row>
    <row r="17" spans="1:13">
      <c r="A17" s="420">
        <v>5.2</v>
      </c>
      <c r="B17" s="383" t="s">
        <v>538</v>
      </c>
      <c r="C17" s="720"/>
      <c r="D17" s="721"/>
      <c r="E17" s="722">
        <f t="shared" si="0"/>
        <v>0</v>
      </c>
      <c r="F17" s="720"/>
      <c r="G17" s="720"/>
      <c r="H17" s="722">
        <f t="shared" si="1"/>
        <v>0</v>
      </c>
      <c r="J17" s="781"/>
      <c r="K17" s="781"/>
      <c r="L17" s="782"/>
      <c r="M17" s="782"/>
    </row>
    <row r="18" spans="1:13">
      <c r="A18" s="420">
        <v>5.3</v>
      </c>
      <c r="B18" s="383" t="s">
        <v>704</v>
      </c>
      <c r="C18" s="721"/>
      <c r="D18" s="721"/>
      <c r="E18" s="722">
        <f t="shared" si="0"/>
        <v>0</v>
      </c>
      <c r="F18" s="720"/>
      <c r="G18" s="720"/>
      <c r="H18" s="722">
        <f t="shared" si="1"/>
        <v>0</v>
      </c>
      <c r="J18" s="781"/>
      <c r="K18" s="781"/>
      <c r="L18" s="782"/>
      <c r="M18" s="782"/>
    </row>
    <row r="19" spans="1:13">
      <c r="A19" s="420">
        <v>6</v>
      </c>
      <c r="B19" s="381" t="s">
        <v>705</v>
      </c>
      <c r="C19" s="721">
        <f>SUM(C20:C21)</f>
        <v>5375306.8399999999</v>
      </c>
      <c r="D19" s="721">
        <f>SUM(D20:D21)</f>
        <v>0</v>
      </c>
      <c r="E19" s="722">
        <f t="shared" si="0"/>
        <v>5375306.8399999999</v>
      </c>
      <c r="F19" s="720">
        <v>10503011</v>
      </c>
      <c r="G19" s="720">
        <v>0</v>
      </c>
      <c r="H19" s="722">
        <f t="shared" si="1"/>
        <v>10503011</v>
      </c>
      <c r="J19" s="781"/>
      <c r="K19" s="781"/>
      <c r="L19" s="782"/>
      <c r="M19" s="782"/>
    </row>
    <row r="20" spans="1:13">
      <c r="A20" s="420">
        <v>6.1</v>
      </c>
      <c r="B20" s="383" t="s">
        <v>538</v>
      </c>
      <c r="C20" s="720">
        <v>4255296.3600000003</v>
      </c>
      <c r="D20" s="721">
        <v>0</v>
      </c>
      <c r="E20" s="722">
        <f t="shared" si="0"/>
        <v>4255296.3600000003</v>
      </c>
      <c r="F20" s="720">
        <v>10503011</v>
      </c>
      <c r="G20" s="720"/>
      <c r="H20" s="722">
        <f t="shared" si="1"/>
        <v>10503011</v>
      </c>
      <c r="J20" s="781"/>
      <c r="K20" s="781"/>
      <c r="L20" s="782"/>
      <c r="M20" s="782"/>
    </row>
    <row r="21" spans="1:13">
      <c r="A21" s="420">
        <v>6.2</v>
      </c>
      <c r="B21" s="383" t="s">
        <v>704</v>
      </c>
      <c r="C21" s="721">
        <v>1120010.4799999995</v>
      </c>
      <c r="D21" s="721">
        <v>0</v>
      </c>
      <c r="E21" s="722">
        <f t="shared" si="0"/>
        <v>1120010.4799999995</v>
      </c>
      <c r="F21" s="720"/>
      <c r="G21" s="720"/>
      <c r="H21" s="722">
        <f t="shared" si="1"/>
        <v>0</v>
      </c>
      <c r="J21" s="781"/>
      <c r="K21" s="781"/>
      <c r="L21" s="782"/>
      <c r="M21" s="782"/>
    </row>
    <row r="22" spans="1:13">
      <c r="A22" s="420">
        <v>7</v>
      </c>
      <c r="B22" s="384" t="s">
        <v>706</v>
      </c>
      <c r="C22" s="721"/>
      <c r="D22" s="721"/>
      <c r="E22" s="722">
        <f t="shared" si="0"/>
        <v>0</v>
      </c>
      <c r="F22" s="720"/>
      <c r="G22" s="720"/>
      <c r="H22" s="722">
        <f t="shared" si="1"/>
        <v>0</v>
      </c>
      <c r="J22" s="781"/>
      <c r="K22" s="781"/>
      <c r="L22" s="782"/>
      <c r="M22" s="782"/>
    </row>
    <row r="23" spans="1:13">
      <c r="A23" s="420">
        <v>8</v>
      </c>
      <c r="B23" s="385" t="s">
        <v>707</v>
      </c>
      <c r="C23" s="721"/>
      <c r="D23" s="721"/>
      <c r="E23" s="722">
        <f t="shared" si="0"/>
        <v>0</v>
      </c>
      <c r="F23" s="720"/>
      <c r="G23" s="720"/>
      <c r="H23" s="722">
        <f t="shared" si="1"/>
        <v>0</v>
      </c>
      <c r="J23" s="781"/>
      <c r="K23" s="781"/>
      <c r="L23" s="782"/>
      <c r="M23" s="782"/>
    </row>
    <row r="24" spans="1:13">
      <c r="A24" s="420">
        <v>9</v>
      </c>
      <c r="B24" s="382" t="s">
        <v>708</v>
      </c>
      <c r="C24" s="721">
        <f>SUM(C25:C26)</f>
        <v>4584581.0999999996</v>
      </c>
      <c r="D24" s="721">
        <f>SUM(D25:D26)</f>
        <v>0</v>
      </c>
      <c r="E24" s="722">
        <f t="shared" si="0"/>
        <v>4584581.0999999996</v>
      </c>
      <c r="F24" s="720">
        <v>1166823</v>
      </c>
      <c r="G24" s="720">
        <v>0</v>
      </c>
      <c r="H24" s="722">
        <f t="shared" si="1"/>
        <v>1166823</v>
      </c>
      <c r="J24" s="781"/>
      <c r="K24" s="781"/>
      <c r="L24" s="782"/>
      <c r="M24" s="782"/>
    </row>
    <row r="25" spans="1:13">
      <c r="A25" s="420">
        <v>9.1</v>
      </c>
      <c r="B25" s="386" t="s">
        <v>709</v>
      </c>
      <c r="C25" s="720">
        <v>4584581.0999999996</v>
      </c>
      <c r="D25" s="721">
        <v>0</v>
      </c>
      <c r="E25" s="722">
        <f t="shared" si="0"/>
        <v>4584581.0999999996</v>
      </c>
      <c r="F25" s="720">
        <v>1166823</v>
      </c>
      <c r="G25" s="720"/>
      <c r="H25" s="722">
        <f t="shared" si="1"/>
        <v>1166823</v>
      </c>
      <c r="J25" s="781"/>
      <c r="K25" s="781"/>
      <c r="L25" s="782"/>
      <c r="M25" s="782"/>
    </row>
    <row r="26" spans="1:13">
      <c r="A26" s="420">
        <v>9.1999999999999993</v>
      </c>
      <c r="B26" s="386" t="s">
        <v>710</v>
      </c>
      <c r="C26" s="721"/>
      <c r="D26" s="721">
        <v>0</v>
      </c>
      <c r="E26" s="722">
        <f t="shared" si="0"/>
        <v>0</v>
      </c>
      <c r="F26" s="720"/>
      <c r="G26" s="720"/>
      <c r="H26" s="722">
        <f t="shared" si="1"/>
        <v>0</v>
      </c>
      <c r="J26" s="781"/>
      <c r="K26" s="781"/>
      <c r="L26" s="782"/>
      <c r="M26" s="782"/>
    </row>
    <row r="27" spans="1:13">
      <c r="A27" s="420">
        <v>10</v>
      </c>
      <c r="B27" s="382" t="s">
        <v>36</v>
      </c>
      <c r="C27" s="721">
        <f>SUM(C28:C29)</f>
        <v>9221437.4399999995</v>
      </c>
      <c r="D27" s="721">
        <f>SUM(D28:D29)</f>
        <v>0</v>
      </c>
      <c r="E27" s="722">
        <f t="shared" si="0"/>
        <v>9221437.4399999995</v>
      </c>
      <c r="F27" s="720">
        <v>4522718</v>
      </c>
      <c r="G27" s="720">
        <v>0</v>
      </c>
      <c r="H27" s="722">
        <f t="shared" si="1"/>
        <v>4522718</v>
      </c>
      <c r="J27" s="781"/>
      <c r="K27" s="781"/>
      <c r="L27" s="782"/>
      <c r="M27" s="782"/>
    </row>
    <row r="28" spans="1:13">
      <c r="A28" s="420">
        <v>10.1</v>
      </c>
      <c r="B28" s="386" t="s">
        <v>711</v>
      </c>
      <c r="C28" s="721"/>
      <c r="D28" s="721"/>
      <c r="E28" s="722">
        <f t="shared" si="0"/>
        <v>0</v>
      </c>
      <c r="F28" s="720"/>
      <c r="G28" s="720"/>
      <c r="H28" s="722">
        <f t="shared" si="1"/>
        <v>0</v>
      </c>
      <c r="J28" s="781"/>
      <c r="K28" s="781"/>
      <c r="L28" s="782"/>
      <c r="M28" s="782"/>
    </row>
    <row r="29" spans="1:13">
      <c r="A29" s="420">
        <v>10.199999999999999</v>
      </c>
      <c r="B29" s="386" t="s">
        <v>712</v>
      </c>
      <c r="C29" s="720">
        <v>9221437.4399999995</v>
      </c>
      <c r="D29" s="721"/>
      <c r="E29" s="722">
        <f t="shared" si="0"/>
        <v>9221437.4399999995</v>
      </c>
      <c r="F29" s="720">
        <v>4522718</v>
      </c>
      <c r="G29" s="720"/>
      <c r="H29" s="722">
        <f t="shared" si="1"/>
        <v>4522718</v>
      </c>
      <c r="J29" s="781"/>
      <c r="K29" s="781"/>
      <c r="L29" s="782"/>
      <c r="M29" s="782"/>
    </row>
    <row r="30" spans="1:13">
      <c r="A30" s="420">
        <v>11</v>
      </c>
      <c r="B30" s="382" t="s">
        <v>713</v>
      </c>
      <c r="C30" s="721">
        <f>SUM(C31:C32)</f>
        <v>0</v>
      </c>
      <c r="D30" s="721">
        <f>SUM(D31:D32)</f>
        <v>0</v>
      </c>
      <c r="E30" s="722">
        <f t="shared" si="0"/>
        <v>0</v>
      </c>
      <c r="F30" s="720">
        <v>983953</v>
      </c>
      <c r="G30" s="720">
        <v>0</v>
      </c>
      <c r="H30" s="722">
        <f t="shared" si="1"/>
        <v>983953</v>
      </c>
      <c r="J30" s="781"/>
      <c r="K30" s="781"/>
      <c r="L30" s="782"/>
      <c r="M30" s="782"/>
    </row>
    <row r="31" spans="1:13">
      <c r="A31" s="420">
        <v>11.1</v>
      </c>
      <c r="B31" s="386" t="s">
        <v>714</v>
      </c>
      <c r="C31" s="720">
        <v>0</v>
      </c>
      <c r="D31" s="721"/>
      <c r="E31" s="722">
        <f t="shared" si="0"/>
        <v>0</v>
      </c>
      <c r="F31" s="720">
        <v>12765</v>
      </c>
      <c r="G31" s="720"/>
      <c r="H31" s="722">
        <f t="shared" si="1"/>
        <v>12765</v>
      </c>
      <c r="J31" s="781"/>
      <c r="K31" s="781"/>
      <c r="L31" s="782"/>
      <c r="M31" s="782"/>
    </row>
    <row r="32" spans="1:13">
      <c r="A32" s="420">
        <v>11.2</v>
      </c>
      <c r="B32" s="386" t="s">
        <v>715</v>
      </c>
      <c r="C32" s="720">
        <v>0</v>
      </c>
      <c r="D32" s="721"/>
      <c r="E32" s="722">
        <f t="shared" si="0"/>
        <v>0</v>
      </c>
      <c r="F32" s="720">
        <v>971188</v>
      </c>
      <c r="G32" s="720"/>
      <c r="H32" s="722">
        <f t="shared" si="1"/>
        <v>971188</v>
      </c>
      <c r="J32" s="781"/>
      <c r="K32" s="781"/>
      <c r="L32" s="782"/>
      <c r="M32" s="782"/>
    </row>
    <row r="33" spans="1:13">
      <c r="A33" s="420">
        <v>13</v>
      </c>
      <c r="B33" s="382" t="s">
        <v>88</v>
      </c>
      <c r="C33" s="721">
        <v>1792443.9500000007</v>
      </c>
      <c r="D33" s="721">
        <v>2090460.4718000002</v>
      </c>
      <c r="E33" s="722">
        <f t="shared" si="0"/>
        <v>3882904.4218000006</v>
      </c>
      <c r="F33" s="720">
        <v>993242</v>
      </c>
      <c r="G33" s="720">
        <v>0</v>
      </c>
      <c r="H33" s="722">
        <f t="shared" si="1"/>
        <v>993242</v>
      </c>
      <c r="J33" s="781"/>
      <c r="K33" s="781"/>
      <c r="L33" s="782"/>
      <c r="M33" s="782"/>
    </row>
    <row r="34" spans="1:13">
      <c r="A34" s="420">
        <v>13.1</v>
      </c>
      <c r="B34" s="387" t="s">
        <v>716</v>
      </c>
      <c r="C34" s="721"/>
      <c r="D34" s="721"/>
      <c r="E34" s="722">
        <f t="shared" si="0"/>
        <v>0</v>
      </c>
      <c r="F34" s="720"/>
      <c r="G34" s="720"/>
      <c r="H34" s="722">
        <f t="shared" si="1"/>
        <v>0</v>
      </c>
      <c r="J34" s="781"/>
      <c r="K34" s="781"/>
      <c r="L34" s="782"/>
      <c r="M34" s="782"/>
    </row>
    <row r="35" spans="1:13">
      <c r="A35" s="420">
        <v>13.2</v>
      </c>
      <c r="B35" s="387" t="s">
        <v>717</v>
      </c>
      <c r="C35" s="721"/>
      <c r="D35" s="721"/>
      <c r="E35" s="722">
        <f t="shared" si="0"/>
        <v>0</v>
      </c>
      <c r="F35" s="720"/>
      <c r="G35" s="720"/>
      <c r="H35" s="722">
        <f t="shared" si="1"/>
        <v>0</v>
      </c>
      <c r="J35" s="781"/>
      <c r="K35" s="781"/>
      <c r="L35" s="782"/>
      <c r="M35" s="782"/>
    </row>
    <row r="36" spans="1:13">
      <c r="A36" s="420">
        <v>14</v>
      </c>
      <c r="B36" s="388" t="s">
        <v>718</v>
      </c>
      <c r="C36" s="721">
        <f>SUM(C7,C11,C13,C14,C15,C19,C22,C23,C24,C27,C30,C33)</f>
        <v>64918445.900000013</v>
      </c>
      <c r="D36" s="721">
        <f>SUM(D7,D11,D13,D14,D15,D19,D22,D23,D24,D27,D30,D33)</f>
        <v>8357133.8715999993</v>
      </c>
      <c r="E36" s="722">
        <f t="shared" si="0"/>
        <v>73275579.771600008</v>
      </c>
      <c r="F36" s="720">
        <v>32002609</v>
      </c>
      <c r="G36" s="720">
        <v>472953</v>
      </c>
      <c r="H36" s="722">
        <f t="shared" si="1"/>
        <v>32475562</v>
      </c>
      <c r="J36" s="822"/>
      <c r="K36" s="781"/>
      <c r="L36" s="782"/>
      <c r="M36" s="782"/>
    </row>
    <row r="37" spans="1:13" ht="22.5" customHeight="1">
      <c r="A37" s="420"/>
      <c r="B37" s="389" t="s">
        <v>93</v>
      </c>
      <c r="C37" s="851"/>
      <c r="D37" s="852"/>
      <c r="E37" s="852"/>
      <c r="F37" s="852"/>
      <c r="G37" s="852"/>
      <c r="H37" s="853"/>
      <c r="J37" s="781"/>
      <c r="K37" s="781"/>
      <c r="L37" s="782"/>
      <c r="M37" s="782"/>
    </row>
    <row r="38" spans="1:13">
      <c r="A38" s="420">
        <v>15</v>
      </c>
      <c r="B38" s="390" t="s">
        <v>719</v>
      </c>
      <c r="C38" s="725"/>
      <c r="D38" s="725"/>
      <c r="E38" s="726">
        <f>C38+D38</f>
        <v>0</v>
      </c>
      <c r="F38" s="720"/>
      <c r="G38" s="720"/>
      <c r="H38" s="726">
        <f>F38+G38</f>
        <v>0</v>
      </c>
      <c r="J38" s="781"/>
      <c r="K38" s="781"/>
      <c r="L38" s="782"/>
      <c r="M38" s="782"/>
    </row>
    <row r="39" spans="1:13">
      <c r="A39" s="420">
        <v>15.1</v>
      </c>
      <c r="B39" s="391" t="s">
        <v>699</v>
      </c>
      <c r="C39" s="725"/>
      <c r="D39" s="725"/>
      <c r="E39" s="726">
        <f t="shared" ref="E39:E53" si="2">C39+D39</f>
        <v>0</v>
      </c>
      <c r="F39" s="720"/>
      <c r="G39" s="720"/>
      <c r="H39" s="726">
        <f t="shared" ref="H39:H53" si="3">F39+G39</f>
        <v>0</v>
      </c>
      <c r="J39" s="781"/>
      <c r="K39" s="781"/>
      <c r="L39" s="782"/>
      <c r="M39" s="782"/>
    </row>
    <row r="40" spans="1:13" ht="24" customHeight="1">
      <c r="A40" s="420">
        <v>16</v>
      </c>
      <c r="B40" s="384" t="s">
        <v>720</v>
      </c>
      <c r="C40" s="725"/>
      <c r="D40" s="725"/>
      <c r="E40" s="726">
        <f t="shared" si="2"/>
        <v>0</v>
      </c>
      <c r="F40" s="720"/>
      <c r="G40" s="720"/>
      <c r="H40" s="726">
        <f t="shared" si="3"/>
        <v>0</v>
      </c>
      <c r="J40" s="781"/>
      <c r="K40" s="781"/>
      <c r="L40" s="782"/>
      <c r="M40" s="782"/>
    </row>
    <row r="41" spans="1:13">
      <c r="A41" s="420">
        <v>17</v>
      </c>
      <c r="B41" s="384" t="s">
        <v>721</v>
      </c>
      <c r="C41" s="725">
        <f>SUM(C42:C45)</f>
        <v>1458344.510000004</v>
      </c>
      <c r="D41" s="725">
        <f>SUM(D42:D45)</f>
        <v>7737215.1958000083</v>
      </c>
      <c r="E41" s="726">
        <f t="shared" si="2"/>
        <v>9195559.7058000118</v>
      </c>
      <c r="F41" s="720">
        <v>239784</v>
      </c>
      <c r="G41" s="720">
        <v>1959</v>
      </c>
      <c r="H41" s="726">
        <f t="shared" si="3"/>
        <v>241743</v>
      </c>
      <c r="J41" s="781"/>
      <c r="K41" s="781"/>
      <c r="L41" s="782"/>
      <c r="M41" s="782"/>
    </row>
    <row r="42" spans="1:13">
      <c r="A42" s="420">
        <v>17.100000000000001</v>
      </c>
      <c r="B42" s="392" t="s">
        <v>722</v>
      </c>
      <c r="C42" s="720">
        <v>1458344.510000004</v>
      </c>
      <c r="D42" s="720">
        <v>4927135.1694000084</v>
      </c>
      <c r="E42" s="726">
        <f t="shared" si="2"/>
        <v>6385479.6794000119</v>
      </c>
      <c r="F42" s="720">
        <v>239784</v>
      </c>
      <c r="G42" s="720">
        <v>1959</v>
      </c>
      <c r="H42" s="726">
        <f t="shared" si="3"/>
        <v>241743</v>
      </c>
      <c r="J42" s="781"/>
      <c r="K42" s="781"/>
      <c r="L42" s="782"/>
      <c r="M42" s="782"/>
    </row>
    <row r="43" spans="1:13">
      <c r="A43" s="420">
        <v>17.2</v>
      </c>
      <c r="B43" s="393" t="s">
        <v>89</v>
      </c>
      <c r="C43" s="725">
        <v>0</v>
      </c>
      <c r="D43" s="725">
        <v>0</v>
      </c>
      <c r="E43" s="726">
        <f t="shared" si="2"/>
        <v>0</v>
      </c>
      <c r="F43" s="720"/>
      <c r="G43" s="720"/>
      <c r="H43" s="726">
        <f t="shared" si="3"/>
        <v>0</v>
      </c>
      <c r="J43" s="781"/>
      <c r="K43" s="781"/>
      <c r="L43" s="782"/>
      <c r="M43" s="782"/>
    </row>
    <row r="44" spans="1:13">
      <c r="A44" s="420">
        <v>17.3</v>
      </c>
      <c r="B44" s="392" t="s">
        <v>723</v>
      </c>
      <c r="C44" s="725">
        <v>0</v>
      </c>
      <c r="D44" s="725">
        <v>0</v>
      </c>
      <c r="E44" s="726">
        <f t="shared" si="2"/>
        <v>0</v>
      </c>
      <c r="F44" s="720"/>
      <c r="G44" s="720"/>
      <c r="H44" s="726">
        <f t="shared" si="3"/>
        <v>0</v>
      </c>
      <c r="J44" s="781"/>
      <c r="K44" s="781"/>
      <c r="L44" s="782"/>
      <c r="M44" s="782"/>
    </row>
    <row r="45" spans="1:13">
      <c r="A45" s="420">
        <v>17.399999999999999</v>
      </c>
      <c r="B45" s="392" t="s">
        <v>724</v>
      </c>
      <c r="C45" s="725">
        <v>0</v>
      </c>
      <c r="D45" s="725">
        <v>2810080.0264000003</v>
      </c>
      <c r="E45" s="726">
        <f t="shared" si="2"/>
        <v>2810080.0264000003</v>
      </c>
      <c r="F45" s="720"/>
      <c r="G45" s="720"/>
      <c r="H45" s="726">
        <f t="shared" si="3"/>
        <v>0</v>
      </c>
      <c r="J45" s="781"/>
      <c r="K45" s="781"/>
      <c r="L45" s="782"/>
      <c r="M45" s="782"/>
    </row>
    <row r="46" spans="1:13">
      <c r="A46" s="420">
        <v>18</v>
      </c>
      <c r="B46" s="394" t="s">
        <v>725</v>
      </c>
      <c r="C46" s="725"/>
      <c r="D46" s="725"/>
      <c r="E46" s="726">
        <f t="shared" si="2"/>
        <v>0</v>
      </c>
      <c r="F46" s="720"/>
      <c r="G46" s="720"/>
      <c r="H46" s="726">
        <f t="shared" si="3"/>
        <v>0</v>
      </c>
      <c r="J46" s="781"/>
      <c r="K46" s="781"/>
      <c r="L46" s="782"/>
      <c r="M46" s="782"/>
    </row>
    <row r="47" spans="1:13">
      <c r="A47" s="420">
        <v>19</v>
      </c>
      <c r="B47" s="394" t="s">
        <v>726</v>
      </c>
      <c r="C47" s="725">
        <f>SUM(C48:C49)</f>
        <v>195728.82</v>
      </c>
      <c r="D47" s="725">
        <f>SUM(D48:D49)</f>
        <v>0</v>
      </c>
      <c r="E47" s="726">
        <f t="shared" si="2"/>
        <v>195728.82</v>
      </c>
      <c r="F47" s="720">
        <v>8026</v>
      </c>
      <c r="G47" s="720">
        <v>0</v>
      </c>
      <c r="H47" s="726">
        <f t="shared" si="3"/>
        <v>8026</v>
      </c>
      <c r="J47" s="781"/>
      <c r="K47" s="781"/>
      <c r="L47" s="782"/>
      <c r="M47" s="782"/>
    </row>
    <row r="48" spans="1:13">
      <c r="A48" s="420">
        <v>19.100000000000001</v>
      </c>
      <c r="B48" s="395" t="s">
        <v>727</v>
      </c>
      <c r="C48" s="720">
        <v>0</v>
      </c>
      <c r="D48" s="725">
        <v>0</v>
      </c>
      <c r="E48" s="726">
        <f t="shared" si="2"/>
        <v>0</v>
      </c>
      <c r="F48" s="720">
        <v>8026</v>
      </c>
      <c r="G48" s="720"/>
      <c r="H48" s="726">
        <f t="shared" si="3"/>
        <v>8026</v>
      </c>
      <c r="J48" s="781"/>
      <c r="K48" s="781"/>
      <c r="L48" s="782"/>
      <c r="M48" s="782"/>
    </row>
    <row r="49" spans="1:13">
      <c r="A49" s="420">
        <v>19.2</v>
      </c>
      <c r="B49" s="396" t="s">
        <v>728</v>
      </c>
      <c r="C49" s="725">
        <v>195728.82</v>
      </c>
      <c r="D49" s="725">
        <v>0</v>
      </c>
      <c r="E49" s="726">
        <f t="shared" si="2"/>
        <v>195728.82</v>
      </c>
      <c r="F49" s="720"/>
      <c r="G49" s="720"/>
      <c r="H49" s="726">
        <f t="shared" si="3"/>
        <v>0</v>
      </c>
      <c r="J49" s="781"/>
      <c r="K49" s="781"/>
      <c r="L49" s="782"/>
      <c r="M49" s="782"/>
    </row>
    <row r="50" spans="1:13">
      <c r="A50" s="420">
        <v>20</v>
      </c>
      <c r="B50" s="397" t="s">
        <v>90</v>
      </c>
      <c r="C50" s="725"/>
      <c r="D50" s="725"/>
      <c r="E50" s="726">
        <f t="shared" si="2"/>
        <v>0</v>
      </c>
      <c r="F50" s="720"/>
      <c r="G50" s="720"/>
      <c r="H50" s="726">
        <f t="shared" si="3"/>
        <v>0</v>
      </c>
      <c r="J50" s="781"/>
      <c r="K50" s="781"/>
      <c r="L50" s="782"/>
      <c r="M50" s="782"/>
    </row>
    <row r="51" spans="1:13">
      <c r="A51" s="420">
        <v>21</v>
      </c>
      <c r="B51" s="398" t="s">
        <v>78</v>
      </c>
      <c r="C51" s="720">
        <v>315995.93999999994</v>
      </c>
      <c r="D51" s="720">
        <v>1164768.1226999999</v>
      </c>
      <c r="E51" s="726">
        <f t="shared" si="2"/>
        <v>1480764.0626999999</v>
      </c>
      <c r="F51" s="720">
        <v>319947</v>
      </c>
      <c r="G51" s="720">
        <v>241372</v>
      </c>
      <c r="H51" s="726">
        <f t="shared" si="3"/>
        <v>561319</v>
      </c>
      <c r="J51" s="781"/>
      <c r="K51" s="781"/>
      <c r="L51" s="782"/>
      <c r="M51" s="782"/>
    </row>
    <row r="52" spans="1:13">
      <c r="A52" s="420">
        <v>21.1</v>
      </c>
      <c r="B52" s="393" t="s">
        <v>729</v>
      </c>
      <c r="C52" s="725"/>
      <c r="D52" s="725"/>
      <c r="E52" s="726">
        <f t="shared" si="2"/>
        <v>0</v>
      </c>
      <c r="F52" s="720"/>
      <c r="G52" s="720"/>
      <c r="H52" s="726">
        <f t="shared" si="3"/>
        <v>0</v>
      </c>
      <c r="J52" s="781"/>
      <c r="K52" s="781"/>
      <c r="L52" s="782"/>
      <c r="M52" s="782"/>
    </row>
    <row r="53" spans="1:13">
      <c r="A53" s="420">
        <v>22</v>
      </c>
      <c r="B53" s="397" t="s">
        <v>730</v>
      </c>
      <c r="C53" s="725">
        <f>SUM(C38,C40,C41,C46,C47,C50,C51)</f>
        <v>1970069.270000004</v>
      </c>
      <c r="D53" s="725">
        <f>SUM(D38,D40,D41,D46,D47,D50,D51)</f>
        <v>8901983.3185000084</v>
      </c>
      <c r="E53" s="726">
        <f t="shared" si="2"/>
        <v>10872052.588500012</v>
      </c>
      <c r="F53" s="720">
        <v>567757</v>
      </c>
      <c r="G53" s="720">
        <v>243331</v>
      </c>
      <c r="H53" s="726">
        <f t="shared" si="3"/>
        <v>811088</v>
      </c>
      <c r="J53" s="781"/>
      <c r="K53" s="781"/>
      <c r="L53" s="782"/>
      <c r="M53" s="782"/>
    </row>
    <row r="54" spans="1:13" ht="24" customHeight="1">
      <c r="A54" s="420"/>
      <c r="B54" s="399" t="s">
        <v>731</v>
      </c>
      <c r="C54" s="854"/>
      <c r="D54" s="855"/>
      <c r="E54" s="855"/>
      <c r="F54" s="855"/>
      <c r="G54" s="855"/>
      <c r="H54" s="856"/>
      <c r="J54" s="781"/>
      <c r="K54" s="781"/>
      <c r="L54" s="782"/>
      <c r="M54" s="782"/>
    </row>
    <row r="55" spans="1:13">
      <c r="A55" s="420">
        <v>23</v>
      </c>
      <c r="B55" s="653" t="s">
        <v>960</v>
      </c>
      <c r="C55" s="720">
        <v>83160000</v>
      </c>
      <c r="D55" s="725"/>
      <c r="E55" s="726">
        <f>C55+D55</f>
        <v>83160000</v>
      </c>
      <c r="F55" s="720">
        <v>41223750</v>
      </c>
      <c r="G55" s="720"/>
      <c r="H55" s="726">
        <f>F55+G55</f>
        <v>41223750</v>
      </c>
      <c r="J55" s="781"/>
      <c r="K55" s="781"/>
      <c r="L55" s="782"/>
      <c r="M55" s="782"/>
    </row>
    <row r="56" spans="1:13">
      <c r="A56" s="420">
        <v>24</v>
      </c>
      <c r="B56" s="397" t="s">
        <v>732</v>
      </c>
      <c r="C56" s="720">
        <v>2100</v>
      </c>
      <c r="D56" s="725"/>
      <c r="E56" s="726">
        <f t="shared" ref="E56:E69" si="4">C56+D56</f>
        <v>2100</v>
      </c>
      <c r="F56" s="720">
        <v>2100</v>
      </c>
      <c r="G56" s="720"/>
      <c r="H56" s="726">
        <f t="shared" ref="H56:H68" si="5">F56+G56</f>
        <v>2100</v>
      </c>
      <c r="J56" s="781"/>
      <c r="K56" s="781"/>
      <c r="L56" s="782"/>
      <c r="M56" s="782"/>
    </row>
    <row r="57" spans="1:13">
      <c r="A57" s="420">
        <v>25</v>
      </c>
      <c r="B57" s="400" t="s">
        <v>91</v>
      </c>
      <c r="C57" s="725"/>
      <c r="D57" s="725"/>
      <c r="E57" s="726">
        <f t="shared" si="4"/>
        <v>0</v>
      </c>
      <c r="F57" s="720"/>
      <c r="G57" s="720"/>
      <c r="H57" s="726">
        <f t="shared" si="5"/>
        <v>0</v>
      </c>
      <c r="J57" s="781"/>
      <c r="K57" s="781"/>
      <c r="L57" s="782"/>
      <c r="M57" s="782"/>
    </row>
    <row r="58" spans="1:13">
      <c r="A58" s="420">
        <v>26</v>
      </c>
      <c r="B58" s="394" t="s">
        <v>733</v>
      </c>
      <c r="C58" s="725"/>
      <c r="D58" s="725"/>
      <c r="E58" s="726">
        <f t="shared" si="4"/>
        <v>0</v>
      </c>
      <c r="F58" s="720"/>
      <c r="G58" s="720"/>
      <c r="H58" s="726">
        <f t="shared" si="5"/>
        <v>0</v>
      </c>
      <c r="J58" s="781"/>
      <c r="K58" s="781"/>
      <c r="L58" s="782"/>
      <c r="M58" s="782"/>
    </row>
    <row r="59" spans="1:13">
      <c r="A59" s="420">
        <v>27</v>
      </c>
      <c r="B59" s="394" t="s">
        <v>734</v>
      </c>
      <c r="C59" s="725">
        <f>SUM(C60:C61)</f>
        <v>0</v>
      </c>
      <c r="D59" s="725">
        <f>SUM(D60:D61)</f>
        <v>0</v>
      </c>
      <c r="E59" s="726">
        <f t="shared" si="4"/>
        <v>0</v>
      </c>
      <c r="F59" s="720">
        <v>0</v>
      </c>
      <c r="G59" s="720">
        <v>0</v>
      </c>
      <c r="H59" s="726">
        <f t="shared" si="5"/>
        <v>0</v>
      </c>
      <c r="J59" s="781"/>
      <c r="K59" s="781"/>
      <c r="L59" s="782"/>
      <c r="M59" s="782"/>
    </row>
    <row r="60" spans="1:13">
      <c r="A60" s="420">
        <v>27.1</v>
      </c>
      <c r="B60" s="401" t="s">
        <v>735</v>
      </c>
      <c r="C60" s="725"/>
      <c r="D60" s="725"/>
      <c r="E60" s="726">
        <f t="shared" si="4"/>
        <v>0</v>
      </c>
      <c r="F60" s="720"/>
      <c r="G60" s="720"/>
      <c r="H60" s="726">
        <f t="shared" si="5"/>
        <v>0</v>
      </c>
      <c r="J60" s="781"/>
      <c r="K60" s="781"/>
      <c r="L60" s="782"/>
      <c r="M60" s="782"/>
    </row>
    <row r="61" spans="1:13">
      <c r="A61" s="420">
        <v>27.2</v>
      </c>
      <c r="B61" s="392" t="s">
        <v>736</v>
      </c>
      <c r="C61" s="725"/>
      <c r="D61" s="725"/>
      <c r="E61" s="726">
        <f t="shared" si="4"/>
        <v>0</v>
      </c>
      <c r="F61" s="720"/>
      <c r="G61" s="720"/>
      <c r="H61" s="726">
        <f t="shared" si="5"/>
        <v>0</v>
      </c>
      <c r="J61" s="781"/>
      <c r="K61" s="781"/>
      <c r="L61" s="782"/>
      <c r="M61" s="782"/>
    </row>
    <row r="62" spans="1:13">
      <c r="A62" s="420">
        <v>28</v>
      </c>
      <c r="B62" s="398" t="s">
        <v>737</v>
      </c>
      <c r="C62" s="725"/>
      <c r="D62" s="725"/>
      <c r="E62" s="726">
        <f t="shared" si="4"/>
        <v>0</v>
      </c>
      <c r="F62" s="720"/>
      <c r="G62" s="720"/>
      <c r="H62" s="726">
        <f t="shared" si="5"/>
        <v>0</v>
      </c>
      <c r="J62" s="781"/>
      <c r="K62" s="781"/>
      <c r="L62" s="782"/>
      <c r="M62" s="782"/>
    </row>
    <row r="63" spans="1:13">
      <c r="A63" s="420">
        <v>29</v>
      </c>
      <c r="B63" s="394" t="s">
        <v>738</v>
      </c>
      <c r="C63" s="725">
        <f>SUM(C64:C66)</f>
        <v>0</v>
      </c>
      <c r="D63" s="725">
        <f>SUM(D64:D66)</f>
        <v>0</v>
      </c>
      <c r="E63" s="726">
        <f t="shared" si="4"/>
        <v>0</v>
      </c>
      <c r="F63" s="720">
        <v>0</v>
      </c>
      <c r="G63" s="720">
        <v>0</v>
      </c>
      <c r="H63" s="726">
        <f t="shared" si="5"/>
        <v>0</v>
      </c>
      <c r="J63" s="781"/>
      <c r="K63" s="781"/>
      <c r="L63" s="782"/>
      <c r="M63" s="782"/>
    </row>
    <row r="64" spans="1:13">
      <c r="A64" s="420">
        <v>29.1</v>
      </c>
      <c r="B64" s="383" t="s">
        <v>739</v>
      </c>
      <c r="C64" s="725"/>
      <c r="D64" s="725"/>
      <c r="E64" s="726">
        <f t="shared" si="4"/>
        <v>0</v>
      </c>
      <c r="F64" s="720"/>
      <c r="G64" s="720"/>
      <c r="H64" s="726">
        <f t="shared" si="5"/>
        <v>0</v>
      </c>
      <c r="J64" s="781"/>
      <c r="K64" s="781"/>
      <c r="L64" s="782"/>
      <c r="M64" s="782"/>
    </row>
    <row r="65" spans="1:13" ht="24.9" customHeight="1">
      <c r="A65" s="420">
        <v>29.2</v>
      </c>
      <c r="B65" s="401" t="s">
        <v>740</v>
      </c>
      <c r="C65" s="725"/>
      <c r="D65" s="725"/>
      <c r="E65" s="726">
        <f t="shared" si="4"/>
        <v>0</v>
      </c>
      <c r="F65" s="720"/>
      <c r="G65" s="720"/>
      <c r="H65" s="726">
        <f t="shared" si="5"/>
        <v>0</v>
      </c>
      <c r="J65" s="781"/>
      <c r="K65" s="781"/>
      <c r="L65" s="782"/>
      <c r="M65" s="782"/>
    </row>
    <row r="66" spans="1:13" ht="22.5" customHeight="1">
      <c r="A66" s="420">
        <v>29.3</v>
      </c>
      <c r="B66" s="386" t="s">
        <v>741</v>
      </c>
      <c r="C66" s="725"/>
      <c r="D66" s="725"/>
      <c r="E66" s="726">
        <f t="shared" si="4"/>
        <v>0</v>
      </c>
      <c r="F66" s="720"/>
      <c r="G66" s="720"/>
      <c r="H66" s="726">
        <f t="shared" si="5"/>
        <v>0</v>
      </c>
      <c r="J66" s="781"/>
      <c r="K66" s="781"/>
      <c r="L66" s="782"/>
      <c r="M66" s="782"/>
    </row>
    <row r="67" spans="1:13">
      <c r="A67" s="420">
        <v>30</v>
      </c>
      <c r="B67" s="382" t="s">
        <v>92</v>
      </c>
      <c r="C67" s="725">
        <v>-20758572.809999943</v>
      </c>
      <c r="D67" s="725"/>
      <c r="E67" s="726">
        <f t="shared" si="4"/>
        <v>-20758572.809999943</v>
      </c>
      <c r="F67" s="720">
        <v>-9561376</v>
      </c>
      <c r="G67" s="720"/>
      <c r="H67" s="726">
        <f t="shared" si="5"/>
        <v>-9561376</v>
      </c>
      <c r="J67" s="781"/>
      <c r="K67" s="781"/>
      <c r="L67" s="782"/>
      <c r="M67" s="782"/>
    </row>
    <row r="68" spans="1:13">
      <c r="A68" s="420">
        <v>31</v>
      </c>
      <c r="B68" s="402" t="s">
        <v>742</v>
      </c>
      <c r="C68" s="725">
        <f>SUM(C55,C56,C57,C58,C59,C62,C63,C67)</f>
        <v>62403527.190000057</v>
      </c>
      <c r="D68" s="725">
        <f>SUM(D55,D56,D57,D58,D59,D62,D63,D67)</f>
        <v>0</v>
      </c>
      <c r="E68" s="726">
        <f t="shared" si="4"/>
        <v>62403527.190000057</v>
      </c>
      <c r="F68" s="720">
        <v>31664474</v>
      </c>
      <c r="G68" s="720">
        <v>0</v>
      </c>
      <c r="H68" s="726">
        <f t="shared" si="5"/>
        <v>31664474</v>
      </c>
      <c r="J68" s="781"/>
      <c r="K68" s="781"/>
      <c r="L68" s="782"/>
      <c r="M68" s="782"/>
    </row>
    <row r="69" spans="1:13">
      <c r="A69" s="420">
        <v>32</v>
      </c>
      <c r="B69" s="403" t="s">
        <v>743</v>
      </c>
      <c r="C69" s="725">
        <f>SUM(C53,C68)</f>
        <v>64373596.46000006</v>
      </c>
      <c r="D69" s="725">
        <f>SUM(D53,D68)</f>
        <v>8901983.3185000084</v>
      </c>
      <c r="E69" s="726">
        <f t="shared" si="4"/>
        <v>73275579.778500065</v>
      </c>
      <c r="F69" s="720">
        <v>32232231</v>
      </c>
      <c r="G69" s="720">
        <v>243331</v>
      </c>
      <c r="H69" s="726">
        <f>SUM(H53,H68)</f>
        <v>32475562</v>
      </c>
      <c r="J69" s="781"/>
      <c r="K69" s="781"/>
      <c r="L69" s="782"/>
      <c r="M69" s="782"/>
    </row>
    <row r="70" spans="1:13">
      <c r="C70" s="782">
        <f t="shared" ref="C70:H70" si="6">C69-C36</f>
        <v>-544849.43999995291</v>
      </c>
      <c r="D70" s="782">
        <f t="shared" si="6"/>
        <v>544849.44690000918</v>
      </c>
      <c r="E70" s="782">
        <f t="shared" si="6"/>
        <v>6.9000571966171265E-3</v>
      </c>
      <c r="F70" s="782">
        <f t="shared" si="6"/>
        <v>229622</v>
      </c>
      <c r="G70" s="782">
        <f t="shared" si="6"/>
        <v>-229622</v>
      </c>
      <c r="H70" s="782">
        <f t="shared" si="6"/>
        <v>0</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theme="2" tint="-9.9978637043366805E-2"/>
  </sheetPr>
  <dimension ref="A1:L35"/>
  <sheetViews>
    <sheetView showGridLines="0" zoomScale="110" zoomScaleNormal="110" workbookViewId="0">
      <selection activeCell="B2" sqref="B2"/>
    </sheetView>
  </sheetViews>
  <sheetFormatPr defaultColWidth="9.109375" defaultRowHeight="12"/>
  <cols>
    <col min="1" max="1" width="11.88671875" style="473" bestFit="1" customWidth="1"/>
    <col min="2" max="2" width="93.44140625" style="473" customWidth="1"/>
    <col min="3" max="3" width="14.5546875" style="473" customWidth="1"/>
    <col min="4" max="5" width="16.109375" style="473" customWidth="1"/>
    <col min="6" max="6" width="16.109375" style="541" customWidth="1"/>
    <col min="7" max="7" width="25.109375" style="541" customWidth="1"/>
    <col min="8" max="8" width="16.109375" style="473" customWidth="1"/>
    <col min="9" max="11" width="16.109375" style="541" customWidth="1"/>
    <col min="12" max="12" width="26.109375" style="541" customWidth="1"/>
    <col min="13" max="16384" width="9.109375" style="473"/>
  </cols>
  <sheetData>
    <row r="1" spans="1:12" ht="13.8">
      <c r="A1" s="353" t="s">
        <v>97</v>
      </c>
      <c r="B1" s="272" t="str">
        <f>Info!C2</f>
        <v>სს "ჰეშ ბანკი"</v>
      </c>
      <c r="F1" s="473"/>
      <c r="G1" s="473"/>
      <c r="I1" s="473"/>
      <c r="J1" s="473"/>
      <c r="K1" s="473"/>
      <c r="L1" s="473"/>
    </row>
    <row r="2" spans="1:12">
      <c r="A2" s="355" t="s">
        <v>98</v>
      </c>
      <c r="B2" s="719">
        <f>'1. key ratios'!B2</f>
        <v>46112</v>
      </c>
      <c r="F2" s="473"/>
      <c r="G2" s="473"/>
      <c r="I2" s="473"/>
      <c r="J2" s="473"/>
      <c r="K2" s="473"/>
      <c r="L2" s="473"/>
    </row>
    <row r="3" spans="1:12">
      <c r="A3" s="356" t="s">
        <v>563</v>
      </c>
      <c r="F3" s="473"/>
      <c r="G3" s="473"/>
      <c r="I3" s="473"/>
      <c r="J3" s="473"/>
      <c r="K3" s="473"/>
      <c r="L3" s="473"/>
    </row>
    <row r="4" spans="1:12">
      <c r="F4" s="473"/>
      <c r="G4" s="473"/>
      <c r="I4" s="473"/>
      <c r="J4" s="473"/>
      <c r="K4" s="473"/>
      <c r="L4" s="473"/>
    </row>
    <row r="5" spans="1:12" ht="37.5" customHeight="1">
      <c r="A5" s="915" t="s">
        <v>564</v>
      </c>
      <c r="B5" s="916"/>
      <c r="C5" s="966" t="s">
        <v>565</v>
      </c>
      <c r="D5" s="967"/>
      <c r="E5" s="967"/>
      <c r="F5" s="967"/>
      <c r="G5" s="967"/>
      <c r="H5" s="968" t="s">
        <v>875</v>
      </c>
      <c r="I5" s="969"/>
      <c r="J5" s="969"/>
      <c r="K5" s="969"/>
      <c r="L5" s="970"/>
    </row>
    <row r="6" spans="1:12" ht="39.6" customHeight="1">
      <c r="A6" s="919"/>
      <c r="B6" s="920"/>
      <c r="C6" s="362"/>
      <c r="D6" s="471" t="s">
        <v>860</v>
      </c>
      <c r="E6" s="471" t="s">
        <v>859</v>
      </c>
      <c r="F6" s="471" t="s">
        <v>858</v>
      </c>
      <c r="G6" s="471" t="s">
        <v>857</v>
      </c>
      <c r="H6" s="545"/>
      <c r="I6" s="471" t="s">
        <v>860</v>
      </c>
      <c r="J6" s="471" t="s">
        <v>859</v>
      </c>
      <c r="K6" s="471" t="s">
        <v>858</v>
      </c>
      <c r="L6" s="471" t="s">
        <v>857</v>
      </c>
    </row>
    <row r="7" spans="1:12">
      <c r="A7" s="462">
        <v>1</v>
      </c>
      <c r="B7" s="477" t="s">
        <v>487</v>
      </c>
      <c r="C7" s="836">
        <v>33500</v>
      </c>
      <c r="D7" s="794">
        <f>C7</f>
        <v>33500</v>
      </c>
      <c r="E7" s="462"/>
      <c r="F7" s="544"/>
      <c r="G7" s="544"/>
      <c r="H7" s="462"/>
      <c r="I7" s="544"/>
      <c r="J7" s="544"/>
      <c r="K7" s="544"/>
      <c r="L7" s="544"/>
    </row>
    <row r="8" spans="1:12">
      <c r="A8" s="462">
        <v>2</v>
      </c>
      <c r="B8" s="477" t="s">
        <v>488</v>
      </c>
      <c r="C8" s="836">
        <f>'18. Assets by Exposure classes'!D14-SUM(C9:C32,C7)</f>
        <v>568024.87999999942</v>
      </c>
      <c r="D8" s="794">
        <f>C8</f>
        <v>568024.87999999942</v>
      </c>
      <c r="E8" s="462"/>
      <c r="F8" s="470"/>
      <c r="G8" s="470"/>
      <c r="H8" s="823">
        <f>'18. Assets by Exposure classes'!E14</f>
        <v>28664.400000000009</v>
      </c>
      <c r="I8" s="824">
        <f>H8</f>
        <v>28664.400000000009</v>
      </c>
      <c r="J8" s="470"/>
      <c r="K8" s="470"/>
      <c r="L8" s="470"/>
    </row>
    <row r="9" spans="1:12">
      <c r="A9" s="462">
        <v>3</v>
      </c>
      <c r="B9" s="477" t="s">
        <v>836</v>
      </c>
      <c r="C9" s="836">
        <v>0</v>
      </c>
      <c r="D9" s="794">
        <f t="shared" ref="D9:D32" si="0">C9</f>
        <v>0</v>
      </c>
      <c r="E9" s="462"/>
      <c r="F9" s="472"/>
      <c r="G9" s="472"/>
      <c r="H9" s="462"/>
      <c r="I9" s="472"/>
      <c r="J9" s="472"/>
      <c r="K9" s="472"/>
      <c r="L9" s="472"/>
    </row>
    <row r="10" spans="1:12">
      <c r="A10" s="462">
        <v>4</v>
      </c>
      <c r="B10" s="477" t="s">
        <v>489</v>
      </c>
      <c r="C10" s="836">
        <v>500</v>
      </c>
      <c r="D10" s="794">
        <f t="shared" si="0"/>
        <v>500</v>
      </c>
      <c r="E10" s="462"/>
      <c r="F10" s="472"/>
      <c r="G10" s="472"/>
      <c r="H10" s="462"/>
      <c r="I10" s="472"/>
      <c r="J10" s="472"/>
      <c r="K10" s="472"/>
      <c r="L10" s="472"/>
    </row>
    <row r="11" spans="1:12">
      <c r="A11" s="462">
        <v>5</v>
      </c>
      <c r="B11" s="477" t="s">
        <v>490</v>
      </c>
      <c r="C11" s="836">
        <v>0</v>
      </c>
      <c r="D11" s="794">
        <f t="shared" si="0"/>
        <v>0</v>
      </c>
      <c r="E11" s="462"/>
      <c r="F11" s="472"/>
      <c r="G11" s="472"/>
      <c r="H11" s="462"/>
      <c r="I11" s="472"/>
      <c r="J11" s="472"/>
      <c r="K11" s="472"/>
      <c r="L11" s="472"/>
    </row>
    <row r="12" spans="1:12">
      <c r="A12" s="462">
        <v>6</v>
      </c>
      <c r="B12" s="477" t="s">
        <v>491</v>
      </c>
      <c r="C12" s="836">
        <v>0</v>
      </c>
      <c r="D12" s="794">
        <f t="shared" si="0"/>
        <v>0</v>
      </c>
      <c r="E12" s="462"/>
      <c r="F12" s="472"/>
      <c r="G12" s="472"/>
      <c r="H12" s="462"/>
      <c r="I12" s="472"/>
      <c r="J12" s="472"/>
      <c r="K12" s="472"/>
      <c r="L12" s="472"/>
    </row>
    <row r="13" spans="1:12">
      <c r="A13" s="462">
        <v>7</v>
      </c>
      <c r="B13" s="477" t="s">
        <v>492</v>
      </c>
      <c r="C13" s="836">
        <v>0</v>
      </c>
      <c r="D13" s="794">
        <f t="shared" si="0"/>
        <v>0</v>
      </c>
      <c r="E13" s="462"/>
      <c r="F13" s="472"/>
      <c r="G13" s="472"/>
      <c r="H13" s="462"/>
      <c r="I13" s="472"/>
      <c r="J13" s="472"/>
      <c r="K13" s="472"/>
      <c r="L13" s="472"/>
    </row>
    <row r="14" spans="1:12">
      <c r="A14" s="462">
        <v>8</v>
      </c>
      <c r="B14" s="477" t="s">
        <v>493</v>
      </c>
      <c r="C14" s="836">
        <v>0</v>
      </c>
      <c r="D14" s="794">
        <f t="shared" si="0"/>
        <v>0</v>
      </c>
      <c r="E14" s="462"/>
      <c r="F14" s="472"/>
      <c r="G14" s="472"/>
      <c r="H14" s="462"/>
      <c r="I14" s="472"/>
      <c r="J14" s="472"/>
      <c r="K14" s="472"/>
      <c r="L14" s="472"/>
    </row>
    <row r="15" spans="1:12">
      <c r="A15" s="462">
        <v>9</v>
      </c>
      <c r="B15" s="477" t="s">
        <v>494</v>
      </c>
      <c r="C15" s="836">
        <v>0</v>
      </c>
      <c r="D15" s="794">
        <f t="shared" si="0"/>
        <v>0</v>
      </c>
      <c r="E15" s="462"/>
      <c r="F15" s="472"/>
      <c r="G15" s="472"/>
      <c r="H15" s="462"/>
      <c r="I15" s="472"/>
      <c r="J15" s="472"/>
      <c r="K15" s="472"/>
      <c r="L15" s="472"/>
    </row>
    <row r="16" spans="1:12">
      <c r="A16" s="462">
        <v>10</v>
      </c>
      <c r="B16" s="477" t="s">
        <v>495</v>
      </c>
      <c r="C16" s="836">
        <v>0</v>
      </c>
      <c r="D16" s="794">
        <f t="shared" si="0"/>
        <v>0</v>
      </c>
      <c r="E16" s="462"/>
      <c r="F16" s="472"/>
      <c r="G16" s="472"/>
      <c r="H16" s="462"/>
      <c r="I16" s="472"/>
      <c r="J16" s="472"/>
      <c r="K16" s="472"/>
      <c r="L16" s="472"/>
    </row>
    <row r="17" spans="1:12">
      <c r="A17" s="462">
        <v>11</v>
      </c>
      <c r="B17" s="477" t="s">
        <v>496</v>
      </c>
      <c r="C17" s="836">
        <v>0</v>
      </c>
      <c r="D17" s="794">
        <f t="shared" si="0"/>
        <v>0</v>
      </c>
      <c r="E17" s="462"/>
      <c r="F17" s="472"/>
      <c r="G17" s="472"/>
      <c r="H17" s="462"/>
      <c r="I17" s="472"/>
      <c r="J17" s="472"/>
      <c r="K17" s="472"/>
      <c r="L17" s="472"/>
    </row>
    <row r="18" spans="1:12">
      <c r="A18" s="462">
        <v>12</v>
      </c>
      <c r="B18" s="477" t="s">
        <v>497</v>
      </c>
      <c r="C18" s="836">
        <v>172700</v>
      </c>
      <c r="D18" s="794">
        <f t="shared" si="0"/>
        <v>172700</v>
      </c>
      <c r="E18" s="462"/>
      <c r="F18" s="472"/>
      <c r="G18" s="472"/>
      <c r="H18" s="462"/>
      <c r="I18" s="472"/>
      <c r="J18" s="472"/>
      <c r="K18" s="472"/>
      <c r="L18" s="472"/>
    </row>
    <row r="19" spans="1:12">
      <c r="A19" s="462">
        <v>13</v>
      </c>
      <c r="B19" s="477" t="s">
        <v>498</v>
      </c>
      <c r="C19" s="836">
        <v>13000</v>
      </c>
      <c r="D19" s="794">
        <f t="shared" si="0"/>
        <v>13000</v>
      </c>
      <c r="E19" s="462"/>
      <c r="F19" s="472"/>
      <c r="G19" s="472"/>
      <c r="H19" s="462"/>
      <c r="I19" s="472"/>
      <c r="J19" s="472"/>
      <c r="K19" s="472"/>
      <c r="L19" s="472"/>
    </row>
    <row r="20" spans="1:12">
      <c r="A20" s="462">
        <v>14</v>
      </c>
      <c r="B20" s="477" t="s">
        <v>499</v>
      </c>
      <c r="C20" s="836">
        <v>0</v>
      </c>
      <c r="D20" s="794">
        <f t="shared" si="0"/>
        <v>0</v>
      </c>
      <c r="E20" s="462"/>
      <c r="F20" s="472"/>
      <c r="G20" s="472"/>
      <c r="H20" s="462"/>
      <c r="I20" s="472"/>
      <c r="J20" s="472"/>
      <c r="K20" s="472"/>
      <c r="L20" s="472"/>
    </row>
    <row r="21" spans="1:12">
      <c r="A21" s="462">
        <v>15</v>
      </c>
      <c r="B21" s="477" t="s">
        <v>500</v>
      </c>
      <c r="C21" s="836">
        <v>0</v>
      </c>
      <c r="D21" s="794">
        <f t="shared" si="0"/>
        <v>0</v>
      </c>
      <c r="E21" s="462"/>
      <c r="F21" s="472"/>
      <c r="G21" s="472"/>
      <c r="H21" s="462"/>
      <c r="I21" s="472"/>
      <c r="J21" s="472"/>
      <c r="K21" s="472"/>
      <c r="L21" s="472"/>
    </row>
    <row r="22" spans="1:12">
      <c r="A22" s="462">
        <v>16</v>
      </c>
      <c r="B22" s="477" t="s">
        <v>501</v>
      </c>
      <c r="C22" s="836">
        <v>0</v>
      </c>
      <c r="D22" s="794">
        <f t="shared" si="0"/>
        <v>0</v>
      </c>
      <c r="E22" s="462"/>
      <c r="F22" s="472"/>
      <c r="G22" s="472"/>
      <c r="H22" s="462"/>
      <c r="I22" s="472"/>
      <c r="J22" s="472"/>
      <c r="K22" s="472"/>
      <c r="L22" s="472"/>
    </row>
    <row r="23" spans="1:12">
      <c r="A23" s="462">
        <v>17</v>
      </c>
      <c r="B23" s="477" t="s">
        <v>502</v>
      </c>
      <c r="C23" s="836">
        <v>0</v>
      </c>
      <c r="D23" s="794">
        <f t="shared" si="0"/>
        <v>0</v>
      </c>
      <c r="E23" s="462"/>
      <c r="F23" s="472"/>
      <c r="G23" s="472"/>
      <c r="H23" s="462"/>
      <c r="I23" s="472"/>
      <c r="J23" s="472"/>
      <c r="K23" s="472"/>
      <c r="L23" s="472"/>
    </row>
    <row r="24" spans="1:12">
      <c r="A24" s="462">
        <v>18</v>
      </c>
      <c r="B24" s="477" t="s">
        <v>503</v>
      </c>
      <c r="C24" s="836">
        <v>0</v>
      </c>
      <c r="D24" s="794">
        <f t="shared" si="0"/>
        <v>0</v>
      </c>
      <c r="E24" s="462"/>
      <c r="F24" s="472"/>
      <c r="G24" s="472"/>
      <c r="H24" s="462"/>
      <c r="I24" s="472"/>
      <c r="J24" s="472"/>
      <c r="K24" s="472"/>
      <c r="L24" s="472"/>
    </row>
    <row r="25" spans="1:12">
      <c r="A25" s="462">
        <v>19</v>
      </c>
      <c r="B25" s="477" t="s">
        <v>504</v>
      </c>
      <c r="C25" s="836">
        <v>0</v>
      </c>
      <c r="D25" s="794">
        <f t="shared" si="0"/>
        <v>0</v>
      </c>
      <c r="E25" s="462"/>
      <c r="F25" s="472"/>
      <c r="G25" s="472"/>
      <c r="H25" s="462"/>
      <c r="I25" s="472"/>
      <c r="J25" s="472"/>
      <c r="K25" s="472"/>
      <c r="L25" s="472"/>
    </row>
    <row r="26" spans="1:12">
      <c r="A26" s="462">
        <v>20</v>
      </c>
      <c r="B26" s="477" t="s">
        <v>505</v>
      </c>
      <c r="C26" s="836">
        <v>9200</v>
      </c>
      <c r="D26" s="794">
        <f t="shared" si="0"/>
        <v>9200</v>
      </c>
      <c r="E26" s="462"/>
      <c r="F26" s="472"/>
      <c r="G26" s="472"/>
      <c r="H26" s="462"/>
      <c r="I26" s="472"/>
      <c r="J26" s="472"/>
      <c r="K26" s="472"/>
      <c r="L26" s="472"/>
    </row>
    <row r="27" spans="1:12">
      <c r="A27" s="462">
        <v>21</v>
      </c>
      <c r="B27" s="477" t="s">
        <v>506</v>
      </c>
      <c r="C27" s="836">
        <v>0</v>
      </c>
      <c r="D27" s="794">
        <f t="shared" si="0"/>
        <v>0</v>
      </c>
      <c r="E27" s="462"/>
      <c r="F27" s="472"/>
      <c r="G27" s="472"/>
      <c r="H27" s="462"/>
      <c r="I27" s="472"/>
      <c r="J27" s="472"/>
      <c r="K27" s="472"/>
      <c r="L27" s="472"/>
    </row>
    <row r="28" spans="1:12">
      <c r="A28" s="462">
        <v>22</v>
      </c>
      <c r="B28" s="477" t="s">
        <v>507</v>
      </c>
      <c r="C28" s="836">
        <v>0</v>
      </c>
      <c r="D28" s="794">
        <f t="shared" si="0"/>
        <v>0</v>
      </c>
      <c r="E28" s="462"/>
      <c r="F28" s="472"/>
      <c r="G28" s="472"/>
      <c r="H28" s="462"/>
      <c r="I28" s="472"/>
      <c r="J28" s="472"/>
      <c r="K28" s="472"/>
      <c r="L28" s="472"/>
    </row>
    <row r="29" spans="1:12">
      <c r="A29" s="462">
        <v>23</v>
      </c>
      <c r="B29" s="477" t="s">
        <v>508</v>
      </c>
      <c r="C29" s="836">
        <v>351750</v>
      </c>
      <c r="D29" s="794">
        <f t="shared" si="0"/>
        <v>351750</v>
      </c>
      <c r="E29" s="462"/>
      <c r="F29" s="472"/>
      <c r="G29" s="472"/>
      <c r="H29" s="462"/>
      <c r="I29" s="472"/>
      <c r="J29" s="472"/>
      <c r="K29" s="472"/>
      <c r="L29" s="472"/>
    </row>
    <row r="30" spans="1:12">
      <c r="A30" s="462">
        <v>24</v>
      </c>
      <c r="B30" s="477" t="s">
        <v>509</v>
      </c>
      <c r="C30" s="836">
        <v>0</v>
      </c>
      <c r="D30" s="794">
        <f t="shared" si="0"/>
        <v>0</v>
      </c>
      <c r="E30" s="462"/>
      <c r="F30" s="472"/>
      <c r="G30" s="472"/>
      <c r="H30" s="462"/>
      <c r="I30" s="472"/>
      <c r="J30" s="472"/>
      <c r="K30" s="472"/>
      <c r="L30" s="472"/>
    </row>
    <row r="31" spans="1:12">
      <c r="A31" s="462">
        <v>25</v>
      </c>
      <c r="B31" s="477" t="s">
        <v>510</v>
      </c>
      <c r="C31" s="836">
        <v>0</v>
      </c>
      <c r="D31" s="794">
        <f t="shared" si="0"/>
        <v>0</v>
      </c>
      <c r="E31" s="462"/>
      <c r="F31" s="472"/>
      <c r="G31" s="472"/>
      <c r="H31" s="462"/>
      <c r="I31" s="472"/>
      <c r="J31" s="472"/>
      <c r="K31" s="472"/>
      <c r="L31" s="472"/>
    </row>
    <row r="32" spans="1:12">
      <c r="A32" s="462">
        <v>26</v>
      </c>
      <c r="B32" s="477" t="s">
        <v>566</v>
      </c>
      <c r="C32" s="836">
        <v>0</v>
      </c>
      <c r="D32" s="794">
        <f t="shared" si="0"/>
        <v>0</v>
      </c>
      <c r="E32" s="462"/>
      <c r="F32" s="472"/>
      <c r="G32" s="472"/>
      <c r="H32" s="462"/>
      <c r="I32" s="472"/>
      <c r="J32" s="472"/>
      <c r="K32" s="472"/>
      <c r="L32" s="472"/>
    </row>
    <row r="33" spans="1:12">
      <c r="A33" s="462">
        <v>27</v>
      </c>
      <c r="B33" s="543" t="s">
        <v>66</v>
      </c>
      <c r="C33" s="543">
        <f t="shared" ref="C33:L33" si="1">SUM(C7:C32)</f>
        <v>1148674.8799999994</v>
      </c>
      <c r="D33" s="543">
        <f t="shared" si="1"/>
        <v>1148674.8799999994</v>
      </c>
      <c r="E33" s="543">
        <f t="shared" si="1"/>
        <v>0</v>
      </c>
      <c r="F33" s="543">
        <f t="shared" si="1"/>
        <v>0</v>
      </c>
      <c r="G33" s="543">
        <f t="shared" si="1"/>
        <v>0</v>
      </c>
      <c r="H33" s="543">
        <f t="shared" si="1"/>
        <v>28664.400000000009</v>
      </c>
      <c r="I33" s="543">
        <f t="shared" si="1"/>
        <v>28664.400000000009</v>
      </c>
      <c r="J33" s="543">
        <f t="shared" si="1"/>
        <v>0</v>
      </c>
      <c r="K33" s="543">
        <f t="shared" si="1"/>
        <v>0</v>
      </c>
      <c r="L33" s="543">
        <f t="shared" si="1"/>
        <v>0</v>
      </c>
    </row>
    <row r="34" spans="1:12">
      <c r="A34" s="490"/>
      <c r="B34" s="490"/>
      <c r="C34" s="490"/>
      <c r="D34" s="490"/>
      <c r="E34" s="490"/>
      <c r="H34" s="490"/>
    </row>
    <row r="35" spans="1:12">
      <c r="A35" s="490"/>
      <c r="B35" s="542"/>
      <c r="C35" s="542"/>
      <c r="D35" s="490"/>
      <c r="E35" s="490"/>
      <c r="H35" s="490"/>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theme="2" tint="-9.9978637043366805E-2"/>
  </sheetPr>
  <dimension ref="A1:K13"/>
  <sheetViews>
    <sheetView showGridLines="0" zoomScale="80" zoomScaleNormal="80" workbookViewId="0">
      <selection activeCell="A5" sqref="A5:B5"/>
    </sheetView>
  </sheetViews>
  <sheetFormatPr defaultColWidth="8.88671875" defaultRowHeight="12"/>
  <cols>
    <col min="1" max="1" width="11.88671875" style="363" bestFit="1" customWidth="1"/>
    <col min="2" max="2" width="165.109375" style="363" customWidth="1"/>
    <col min="3" max="11" width="28.109375" style="363" customWidth="1"/>
    <col min="12" max="16384" width="8.88671875" style="363"/>
  </cols>
  <sheetData>
    <row r="1" spans="1:11" s="354" customFormat="1" ht="13.8">
      <c r="A1" s="353" t="s">
        <v>97</v>
      </c>
      <c r="B1" s="272" t="str">
        <f>Info!C2</f>
        <v>სს "ჰეშ ბანკი"</v>
      </c>
      <c r="C1" s="473"/>
      <c r="D1" s="473"/>
      <c r="E1" s="473"/>
      <c r="F1" s="473"/>
      <c r="G1" s="473"/>
      <c r="H1" s="473"/>
      <c r="I1" s="473"/>
      <c r="J1" s="473"/>
      <c r="K1" s="473"/>
    </row>
    <row r="2" spans="1:11" s="354" customFormat="1">
      <c r="A2" s="355" t="s">
        <v>98</v>
      </c>
      <c r="B2" s="719">
        <f>'1. key ratios'!B2</f>
        <v>46112</v>
      </c>
      <c r="C2" s="473"/>
      <c r="D2" s="473"/>
      <c r="E2" s="473"/>
      <c r="F2" s="473"/>
      <c r="G2" s="473"/>
      <c r="H2" s="473"/>
      <c r="I2" s="473"/>
      <c r="J2" s="473"/>
      <c r="K2" s="473"/>
    </row>
    <row r="3" spans="1:11" s="354" customFormat="1">
      <c r="A3" s="356" t="s">
        <v>567</v>
      </c>
      <c r="B3" s="473"/>
      <c r="C3" s="473"/>
      <c r="D3" s="473"/>
      <c r="E3" s="473"/>
      <c r="F3" s="473"/>
      <c r="G3" s="473"/>
      <c r="H3" s="473"/>
      <c r="I3" s="473"/>
      <c r="J3" s="473"/>
      <c r="K3" s="473"/>
    </row>
    <row r="4" spans="1:11">
      <c r="A4" s="550"/>
      <c r="B4" s="550"/>
      <c r="C4" s="549" t="s">
        <v>471</v>
      </c>
      <c r="D4" s="549" t="s">
        <v>472</v>
      </c>
      <c r="E4" s="549" t="s">
        <v>473</v>
      </c>
      <c r="F4" s="549" t="s">
        <v>474</v>
      </c>
      <c r="G4" s="549" t="s">
        <v>475</v>
      </c>
      <c r="H4" s="549" t="s">
        <v>476</v>
      </c>
      <c r="I4" s="549" t="s">
        <v>477</v>
      </c>
      <c r="J4" s="549" t="s">
        <v>478</v>
      </c>
      <c r="K4" s="549" t="s">
        <v>479</v>
      </c>
    </row>
    <row r="5" spans="1:11" ht="104.1" customHeight="1">
      <c r="A5" s="971" t="s">
        <v>874</v>
      </c>
      <c r="B5" s="972"/>
      <c r="C5" s="548" t="s">
        <v>568</v>
      </c>
      <c r="D5" s="548" t="s">
        <v>561</v>
      </c>
      <c r="E5" s="548" t="s">
        <v>562</v>
      </c>
      <c r="F5" s="548" t="s">
        <v>873</v>
      </c>
      <c r="G5" s="548" t="s">
        <v>569</v>
      </c>
      <c r="H5" s="548" t="s">
        <v>570</v>
      </c>
      <c r="I5" s="548" t="s">
        <v>571</v>
      </c>
      <c r="J5" s="548" t="s">
        <v>572</v>
      </c>
      <c r="K5" s="548" t="s">
        <v>573</v>
      </c>
    </row>
    <row r="6" spans="1:11">
      <c r="A6" s="462">
        <v>1</v>
      </c>
      <c r="B6" s="462" t="s">
        <v>574</v>
      </c>
      <c r="C6" s="462"/>
      <c r="D6" s="462"/>
      <c r="E6" s="462"/>
      <c r="F6" s="462"/>
      <c r="G6" s="462"/>
      <c r="H6" s="462"/>
      <c r="I6" s="462"/>
      <c r="J6" s="462"/>
      <c r="K6" s="462"/>
    </row>
    <row r="7" spans="1:11">
      <c r="A7" s="462">
        <v>2</v>
      </c>
      <c r="B7" s="463" t="s">
        <v>575</v>
      </c>
      <c r="C7" s="462"/>
      <c r="D7" s="462"/>
      <c r="E7" s="462"/>
      <c r="F7" s="462"/>
      <c r="G7" s="462"/>
      <c r="H7" s="462"/>
      <c r="I7" s="462"/>
      <c r="J7" s="462"/>
      <c r="K7" s="462"/>
    </row>
    <row r="8" spans="1:11">
      <c r="A8" s="462">
        <v>3</v>
      </c>
      <c r="B8" s="463" t="s">
        <v>539</v>
      </c>
      <c r="C8" s="462"/>
      <c r="D8" s="462"/>
      <c r="E8" s="462"/>
      <c r="F8" s="462"/>
      <c r="G8" s="462"/>
      <c r="H8" s="462"/>
      <c r="I8" s="462"/>
      <c r="J8" s="462"/>
      <c r="K8" s="462"/>
    </row>
    <row r="9" spans="1:11">
      <c r="A9" s="462">
        <v>4</v>
      </c>
      <c r="B9" s="492" t="s">
        <v>872</v>
      </c>
      <c r="C9" s="547"/>
      <c r="D9" s="547"/>
      <c r="E9" s="547"/>
      <c r="F9" s="547"/>
      <c r="G9" s="547"/>
      <c r="H9" s="547"/>
      <c r="I9" s="547"/>
      <c r="J9" s="547"/>
      <c r="K9" s="547"/>
    </row>
    <row r="10" spans="1:11">
      <c r="A10" s="462">
        <v>5</v>
      </c>
      <c r="B10" s="481" t="s">
        <v>871</v>
      </c>
      <c r="C10" s="547"/>
      <c r="D10" s="547"/>
      <c r="E10" s="547"/>
      <c r="F10" s="547"/>
      <c r="G10" s="547"/>
      <c r="H10" s="547"/>
      <c r="I10" s="547"/>
      <c r="J10" s="547"/>
      <c r="K10" s="547"/>
    </row>
    <row r="11" spans="1:11">
      <c r="A11" s="462">
        <v>6</v>
      </c>
      <c r="B11" s="481" t="s">
        <v>870</v>
      </c>
      <c r="C11" s="547"/>
      <c r="D11" s="547"/>
      <c r="E11" s="547"/>
      <c r="F11" s="547"/>
      <c r="G11" s="547"/>
      <c r="H11" s="547"/>
      <c r="I11" s="547"/>
      <c r="J11" s="547"/>
      <c r="K11" s="547"/>
    </row>
    <row r="13" spans="1:11" ht="13.8">
      <c r="B13" s="546"/>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theme="2" tint="-9.9978637043366805E-2"/>
  </sheetPr>
  <dimension ref="A1:V20"/>
  <sheetViews>
    <sheetView showGridLines="0" topLeftCell="N1" zoomScale="80" zoomScaleNormal="80" workbookViewId="0">
      <selection activeCell="R9" sqref="R9"/>
    </sheetView>
  </sheetViews>
  <sheetFormatPr defaultColWidth="8.88671875" defaultRowHeight="14.4"/>
  <cols>
    <col min="1" max="1" width="10" style="551" bestFit="1" customWidth="1"/>
    <col min="2" max="2" width="71.88671875" style="551" customWidth="1"/>
    <col min="3" max="3" width="10.5546875" style="551" bestFit="1" customWidth="1"/>
    <col min="4" max="5" width="15.109375" style="551" bestFit="1" customWidth="1"/>
    <col min="6" max="6" width="20" style="551" bestFit="1" customWidth="1"/>
    <col min="7" max="7" width="37.5546875" style="551" bestFit="1" customWidth="1"/>
    <col min="8" max="8" width="10.5546875" style="551" bestFit="1" customWidth="1"/>
    <col min="9" max="10" width="15.109375" style="551" bestFit="1" customWidth="1"/>
    <col min="11" max="11" width="20" style="551" bestFit="1" customWidth="1"/>
    <col min="12" max="12" width="37.5546875" style="551" bestFit="1" customWidth="1"/>
    <col min="13" max="13" width="10.5546875" style="551" bestFit="1" customWidth="1"/>
    <col min="14" max="15" width="15.109375" style="551" bestFit="1" customWidth="1"/>
    <col min="16" max="16" width="20" style="551" bestFit="1" customWidth="1"/>
    <col min="17" max="17" width="37.5546875" style="551" bestFit="1" customWidth="1"/>
    <col min="18" max="18" width="18" style="551" bestFit="1" customWidth="1"/>
    <col min="19" max="19" width="48" style="551" bestFit="1" customWidth="1"/>
    <col min="20" max="20" width="45.88671875" style="551" bestFit="1" customWidth="1"/>
    <col min="21" max="21" width="48" style="551" bestFit="1" customWidth="1"/>
    <col min="22" max="22" width="44.44140625" style="551" bestFit="1" customWidth="1"/>
    <col min="23" max="16384" width="8.88671875" style="551"/>
  </cols>
  <sheetData>
    <row r="1" spans="1:22">
      <c r="A1" s="353" t="s">
        <v>97</v>
      </c>
      <c r="B1" s="272" t="str">
        <f>Info!C2</f>
        <v>სს "ჰეშ ბანკი"</v>
      </c>
    </row>
    <row r="2" spans="1:22">
      <c r="A2" s="355" t="s">
        <v>98</v>
      </c>
      <c r="B2" s="719">
        <f>'1. key ratios'!B2</f>
        <v>46112</v>
      </c>
    </row>
    <row r="3" spans="1:22">
      <c r="A3" s="356" t="s">
        <v>657</v>
      </c>
      <c r="B3" s="473"/>
    </row>
    <row r="4" spans="1:22">
      <c r="A4" s="356"/>
      <c r="B4" s="473"/>
    </row>
    <row r="5" spans="1:22" ht="24" customHeight="1">
      <c r="A5" s="973" t="s">
        <v>684</v>
      </c>
      <c r="B5" s="973"/>
      <c r="C5" s="975" t="s">
        <v>876</v>
      </c>
      <c r="D5" s="975"/>
      <c r="E5" s="975"/>
      <c r="F5" s="975"/>
      <c r="G5" s="975"/>
      <c r="H5" s="975" t="s">
        <v>565</v>
      </c>
      <c r="I5" s="975"/>
      <c r="J5" s="975"/>
      <c r="K5" s="975"/>
      <c r="L5" s="975"/>
      <c r="M5" s="975" t="s">
        <v>875</v>
      </c>
      <c r="N5" s="975"/>
      <c r="O5" s="975"/>
      <c r="P5" s="975"/>
      <c r="Q5" s="975"/>
      <c r="R5" s="974" t="s">
        <v>683</v>
      </c>
      <c r="S5" s="974" t="s">
        <v>687</v>
      </c>
      <c r="T5" s="974" t="s">
        <v>686</v>
      </c>
      <c r="U5" s="974" t="s">
        <v>915</v>
      </c>
      <c r="V5" s="974" t="s">
        <v>916</v>
      </c>
    </row>
    <row r="6" spans="1:22" ht="36" customHeight="1">
      <c r="A6" s="973"/>
      <c r="B6" s="973"/>
      <c r="C6" s="562"/>
      <c r="D6" s="471" t="s">
        <v>860</v>
      </c>
      <c r="E6" s="471" t="s">
        <v>859</v>
      </c>
      <c r="F6" s="471" t="s">
        <v>858</v>
      </c>
      <c r="G6" s="471" t="s">
        <v>857</v>
      </c>
      <c r="H6" s="562"/>
      <c r="I6" s="471" t="s">
        <v>860</v>
      </c>
      <c r="J6" s="471" t="s">
        <v>859</v>
      </c>
      <c r="K6" s="471" t="s">
        <v>858</v>
      </c>
      <c r="L6" s="471" t="s">
        <v>857</v>
      </c>
      <c r="M6" s="562"/>
      <c r="N6" s="471" t="s">
        <v>860</v>
      </c>
      <c r="O6" s="471" t="s">
        <v>859</v>
      </c>
      <c r="P6" s="471" t="s">
        <v>858</v>
      </c>
      <c r="Q6" s="471" t="s">
        <v>857</v>
      </c>
      <c r="R6" s="974"/>
      <c r="S6" s="974"/>
      <c r="T6" s="974"/>
      <c r="U6" s="974"/>
      <c r="V6" s="974"/>
    </row>
    <row r="7" spans="1:22">
      <c r="A7" s="560">
        <v>1</v>
      </c>
      <c r="B7" s="561" t="s">
        <v>658</v>
      </c>
      <c r="C7" s="547"/>
      <c r="D7" s="547"/>
      <c r="E7" s="547"/>
      <c r="F7" s="547"/>
      <c r="G7" s="547"/>
      <c r="H7" s="547"/>
      <c r="I7" s="547"/>
      <c r="J7" s="547"/>
      <c r="K7" s="547"/>
      <c r="L7" s="547"/>
      <c r="M7" s="547"/>
      <c r="N7" s="547"/>
      <c r="O7" s="547"/>
      <c r="P7" s="547"/>
      <c r="Q7" s="547"/>
      <c r="R7" s="547"/>
      <c r="S7" s="547"/>
      <c r="T7" s="547"/>
      <c r="U7" s="547"/>
      <c r="V7" s="547"/>
    </row>
    <row r="8" spans="1:22">
      <c r="A8" s="560">
        <v>2</v>
      </c>
      <c r="B8" s="559" t="s">
        <v>659</v>
      </c>
      <c r="C8" s="837">
        <v>1140758.1299999999</v>
      </c>
      <c r="D8" s="837">
        <f>C8</f>
        <v>1140758.1299999999</v>
      </c>
      <c r="E8" s="547"/>
      <c r="F8" s="547"/>
      <c r="G8" s="547"/>
      <c r="H8" s="825">
        <f>'18. Assets by Exposure classes'!D14</f>
        <v>1148674.8799999994</v>
      </c>
      <c r="I8" s="825">
        <f>H8</f>
        <v>1148674.8799999994</v>
      </c>
      <c r="J8" s="547"/>
      <c r="K8" s="547"/>
      <c r="L8" s="547"/>
      <c r="M8" s="547">
        <f>'20. Reserves'!C15</f>
        <v>28664.399999999998</v>
      </c>
      <c r="N8" s="825">
        <f>M8</f>
        <v>28664.399999999998</v>
      </c>
      <c r="O8" s="547"/>
      <c r="P8" s="547"/>
      <c r="Q8" s="547"/>
      <c r="R8" s="547">
        <v>89</v>
      </c>
      <c r="S8" s="827">
        <v>0.154</v>
      </c>
      <c r="T8" s="827">
        <v>0.172095</v>
      </c>
      <c r="U8" s="827">
        <v>0.16</v>
      </c>
      <c r="V8" s="547">
        <v>19.3</v>
      </c>
    </row>
    <row r="9" spans="1:22">
      <c r="A9" s="560">
        <v>3</v>
      </c>
      <c r="B9" s="559" t="s">
        <v>660</v>
      </c>
      <c r="C9" s="547"/>
      <c r="D9" s="547"/>
      <c r="E9" s="547"/>
      <c r="F9" s="547"/>
      <c r="G9" s="547"/>
      <c r="H9" s="547"/>
      <c r="I9" s="547"/>
      <c r="J9" s="547"/>
      <c r="K9" s="547"/>
      <c r="L9" s="547"/>
      <c r="M9" s="547"/>
      <c r="N9" s="547"/>
      <c r="O9" s="547"/>
      <c r="P9" s="547"/>
      <c r="Q9" s="547"/>
      <c r="R9" s="547"/>
      <c r="S9" s="547"/>
      <c r="T9" s="547"/>
      <c r="U9" s="547"/>
      <c r="V9" s="547"/>
    </row>
    <row r="10" spans="1:22">
      <c r="A10" s="560">
        <v>4</v>
      </c>
      <c r="B10" s="559" t="s">
        <v>661</v>
      </c>
      <c r="C10" s="547"/>
      <c r="D10" s="547"/>
      <c r="E10" s="547"/>
      <c r="F10" s="547"/>
      <c r="G10" s="547"/>
      <c r="H10" s="547"/>
      <c r="I10" s="547"/>
      <c r="J10" s="547"/>
      <c r="K10" s="547"/>
      <c r="L10" s="547"/>
      <c r="M10" s="547"/>
      <c r="N10" s="547"/>
      <c r="O10" s="547"/>
      <c r="P10" s="547"/>
      <c r="Q10" s="547"/>
      <c r="R10" s="547"/>
      <c r="S10" s="547"/>
      <c r="T10" s="547"/>
      <c r="U10" s="547"/>
      <c r="V10" s="547"/>
    </row>
    <row r="11" spans="1:22">
      <c r="A11" s="560">
        <v>5</v>
      </c>
      <c r="B11" s="559" t="s">
        <v>662</v>
      </c>
      <c r="C11" s="547"/>
      <c r="D11" s="547"/>
      <c r="E11" s="547"/>
      <c r="F11" s="547"/>
      <c r="G11" s="547"/>
      <c r="H11" s="547"/>
      <c r="I11" s="547"/>
      <c r="J11" s="547"/>
      <c r="K11" s="547"/>
      <c r="L11" s="547"/>
      <c r="M11" s="547"/>
      <c r="N11" s="547"/>
      <c r="O11" s="547"/>
      <c r="P11" s="547"/>
      <c r="Q11" s="547"/>
      <c r="R11" s="547"/>
      <c r="S11" s="547"/>
      <c r="T11" s="547"/>
      <c r="U11" s="547"/>
      <c r="V11" s="547"/>
    </row>
    <row r="12" spans="1:22">
      <c r="A12" s="560">
        <v>6</v>
      </c>
      <c r="B12" s="559" t="s">
        <v>663</v>
      </c>
      <c r="C12" s="547"/>
      <c r="D12" s="547"/>
      <c r="E12" s="547"/>
      <c r="F12" s="547"/>
      <c r="G12" s="547"/>
      <c r="H12" s="547"/>
      <c r="I12" s="547"/>
      <c r="J12" s="547"/>
      <c r="K12" s="547"/>
      <c r="L12" s="547"/>
      <c r="M12" s="547"/>
      <c r="N12" s="547"/>
      <c r="O12" s="547"/>
      <c r="P12" s="547"/>
      <c r="Q12" s="547"/>
      <c r="R12" s="547"/>
      <c r="S12" s="547"/>
      <c r="T12" s="547"/>
      <c r="U12" s="547"/>
      <c r="V12" s="547"/>
    </row>
    <row r="13" spans="1:22">
      <c r="A13" s="560">
        <v>7</v>
      </c>
      <c r="B13" s="559" t="s">
        <v>664</v>
      </c>
      <c r="C13" s="547"/>
      <c r="D13" s="547"/>
      <c r="E13" s="547"/>
      <c r="F13" s="547"/>
      <c r="G13" s="547"/>
      <c r="H13" s="547"/>
      <c r="I13" s="547"/>
      <c r="J13" s="547"/>
      <c r="K13" s="547"/>
      <c r="L13" s="547"/>
      <c r="M13" s="547"/>
      <c r="N13" s="547"/>
      <c r="O13" s="547"/>
      <c r="P13" s="547"/>
      <c r="Q13" s="547"/>
      <c r="R13" s="547"/>
      <c r="S13" s="547"/>
      <c r="T13" s="547"/>
      <c r="U13" s="547"/>
      <c r="V13" s="547"/>
    </row>
    <row r="14" spans="1:22">
      <c r="A14" s="553">
        <v>7.1</v>
      </c>
      <c r="B14" s="552" t="s">
        <v>665</v>
      </c>
      <c r="C14" s="547"/>
      <c r="D14" s="547"/>
      <c r="E14" s="547"/>
      <c r="F14" s="547"/>
      <c r="G14" s="547"/>
      <c r="H14" s="547"/>
      <c r="I14" s="547"/>
      <c r="J14" s="547"/>
      <c r="K14" s="547"/>
      <c r="L14" s="547"/>
      <c r="M14" s="547"/>
      <c r="N14" s="547"/>
      <c r="O14" s="547"/>
      <c r="P14" s="547"/>
      <c r="Q14" s="547"/>
      <c r="R14" s="547"/>
      <c r="S14" s="547"/>
      <c r="T14" s="547"/>
      <c r="U14" s="547"/>
      <c r="V14" s="547"/>
    </row>
    <row r="15" spans="1:22" ht="24">
      <c r="A15" s="553">
        <v>7.2</v>
      </c>
      <c r="B15" s="552" t="s">
        <v>666</v>
      </c>
      <c r="C15" s="547"/>
      <c r="D15" s="547"/>
      <c r="E15" s="547"/>
      <c r="F15" s="547"/>
      <c r="G15" s="547"/>
      <c r="H15" s="547"/>
      <c r="I15" s="547"/>
      <c r="J15" s="547"/>
      <c r="K15" s="547"/>
      <c r="L15" s="547"/>
      <c r="M15" s="547"/>
      <c r="N15" s="547"/>
      <c r="O15" s="547"/>
      <c r="P15" s="547"/>
      <c r="Q15" s="547"/>
      <c r="R15" s="547"/>
      <c r="S15" s="547"/>
      <c r="T15" s="547"/>
      <c r="U15" s="547"/>
      <c r="V15" s="547"/>
    </row>
    <row r="16" spans="1:22">
      <c r="A16" s="553">
        <v>7.3</v>
      </c>
      <c r="B16" s="552" t="s">
        <v>667</v>
      </c>
      <c r="C16" s="547"/>
      <c r="D16" s="547"/>
      <c r="E16" s="547"/>
      <c r="F16" s="547"/>
      <c r="G16" s="547"/>
      <c r="H16" s="547"/>
      <c r="I16" s="547"/>
      <c r="J16" s="547"/>
      <c r="K16" s="547"/>
      <c r="L16" s="547"/>
      <c r="M16" s="547"/>
      <c r="N16" s="547"/>
      <c r="O16" s="547"/>
      <c r="P16" s="547"/>
      <c r="Q16" s="547"/>
      <c r="R16" s="547"/>
      <c r="S16" s="547"/>
      <c r="T16" s="547"/>
      <c r="U16" s="547"/>
      <c r="V16" s="547"/>
    </row>
    <row r="17" spans="1:22">
      <c r="A17" s="560">
        <v>8</v>
      </c>
      <c r="B17" s="559" t="s">
        <v>668</v>
      </c>
      <c r="C17" s="547"/>
      <c r="D17" s="547"/>
      <c r="E17" s="547"/>
      <c r="F17" s="547"/>
      <c r="G17" s="547"/>
      <c r="H17" s="547"/>
      <c r="I17" s="547"/>
      <c r="J17" s="547"/>
      <c r="K17" s="547"/>
      <c r="L17" s="547"/>
      <c r="M17" s="547"/>
      <c r="N17" s="547"/>
      <c r="O17" s="547"/>
      <c r="P17" s="547"/>
      <c r="Q17" s="547"/>
      <c r="R17" s="547"/>
      <c r="S17" s="547"/>
      <c r="T17" s="547"/>
      <c r="U17" s="547"/>
      <c r="V17" s="547"/>
    </row>
    <row r="18" spans="1:22">
      <c r="A18" s="558">
        <v>9</v>
      </c>
      <c r="B18" s="557" t="s">
        <v>669</v>
      </c>
      <c r="C18" s="556"/>
      <c r="D18" s="556"/>
      <c r="E18" s="556"/>
      <c r="F18" s="556"/>
      <c r="G18" s="556"/>
      <c r="H18" s="556"/>
      <c r="I18" s="556"/>
      <c r="J18" s="556"/>
      <c r="K18" s="556"/>
      <c r="L18" s="556"/>
      <c r="M18" s="556"/>
      <c r="N18" s="556"/>
      <c r="O18" s="556"/>
      <c r="P18" s="556"/>
      <c r="Q18" s="556"/>
      <c r="R18" s="556"/>
      <c r="S18" s="556"/>
      <c r="T18" s="556"/>
      <c r="U18" s="556"/>
      <c r="V18" s="556"/>
    </row>
    <row r="19" spans="1:22">
      <c r="A19" s="555">
        <v>10</v>
      </c>
      <c r="B19" s="554" t="s">
        <v>685</v>
      </c>
      <c r="C19" s="844">
        <f>C8</f>
        <v>1140758.1299999999</v>
      </c>
      <c r="D19" s="844">
        <f t="shared" ref="D19:V19" si="0">D8</f>
        <v>1140758.1299999999</v>
      </c>
      <c r="E19" s="844">
        <f t="shared" si="0"/>
        <v>0</v>
      </c>
      <c r="F19" s="844">
        <f t="shared" si="0"/>
        <v>0</v>
      </c>
      <c r="G19" s="844">
        <f t="shared" si="0"/>
        <v>0</v>
      </c>
      <c r="H19" s="844">
        <f t="shared" si="0"/>
        <v>1148674.8799999994</v>
      </c>
      <c r="I19" s="844">
        <f t="shared" si="0"/>
        <v>1148674.8799999994</v>
      </c>
      <c r="J19" s="844">
        <f t="shared" si="0"/>
        <v>0</v>
      </c>
      <c r="K19" s="844">
        <f t="shared" si="0"/>
        <v>0</v>
      </c>
      <c r="L19" s="844">
        <f t="shared" si="0"/>
        <v>0</v>
      </c>
      <c r="M19" s="844">
        <f t="shared" si="0"/>
        <v>28664.399999999998</v>
      </c>
      <c r="N19" s="844">
        <f t="shared" si="0"/>
        <v>28664.399999999998</v>
      </c>
      <c r="O19" s="844">
        <f t="shared" si="0"/>
        <v>0</v>
      </c>
      <c r="P19" s="844">
        <f t="shared" si="0"/>
        <v>0</v>
      </c>
      <c r="Q19" s="844">
        <f t="shared" si="0"/>
        <v>0</v>
      </c>
      <c r="R19" s="844">
        <f t="shared" si="0"/>
        <v>89</v>
      </c>
      <c r="S19" s="844">
        <f t="shared" si="0"/>
        <v>0.154</v>
      </c>
      <c r="T19" s="844">
        <f t="shared" si="0"/>
        <v>0.172095</v>
      </c>
      <c r="U19" s="844">
        <f t="shared" si="0"/>
        <v>0.16</v>
      </c>
      <c r="V19" s="844">
        <f t="shared" si="0"/>
        <v>19.3</v>
      </c>
    </row>
    <row r="20" spans="1:22" ht="24">
      <c r="A20" s="553">
        <v>10.1</v>
      </c>
      <c r="B20" s="552" t="s">
        <v>688</v>
      </c>
      <c r="C20" s="547"/>
      <c r="D20" s="547"/>
      <c r="E20" s="547"/>
      <c r="F20" s="547"/>
      <c r="G20" s="547"/>
      <c r="H20" s="547"/>
      <c r="I20" s="547"/>
      <c r="J20" s="547"/>
      <c r="K20" s="547"/>
      <c r="L20" s="547"/>
      <c r="M20" s="547"/>
      <c r="N20" s="547"/>
      <c r="O20" s="547"/>
      <c r="P20" s="547"/>
      <c r="Q20" s="547"/>
      <c r="R20" s="547"/>
      <c r="S20" s="547"/>
      <c r="T20" s="547"/>
      <c r="U20" s="547"/>
      <c r="V20" s="547"/>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F237"/>
  <sheetViews>
    <sheetView topLeftCell="B2" zoomScale="130" zoomScaleNormal="130" workbookViewId="0">
      <selection activeCell="B23" sqref="B23:C23"/>
    </sheetView>
  </sheetViews>
  <sheetFormatPr defaultColWidth="43.5546875" defaultRowHeight="12"/>
  <cols>
    <col min="1" max="1" width="8" style="141" customWidth="1"/>
    <col min="2" max="2" width="66.109375" style="142" customWidth="1"/>
    <col min="3" max="3" width="131.44140625" style="143" customWidth="1"/>
    <col min="4" max="5" width="10.109375" style="134" customWidth="1"/>
    <col min="6" max="6" width="67.5546875" style="134" customWidth="1"/>
    <col min="7" max="16384" width="43.5546875" style="134"/>
  </cols>
  <sheetData>
    <row r="1" spans="1:3" ht="13.2" thickTop="1" thickBot="1">
      <c r="A1" s="1031" t="s">
        <v>176</v>
      </c>
      <c r="B1" s="1032"/>
      <c r="C1" s="1033"/>
    </row>
    <row r="2" spans="1:3" ht="26.25" customHeight="1">
      <c r="A2" s="364"/>
      <c r="B2" s="718" t="s">
        <v>177</v>
      </c>
      <c r="C2" s="706"/>
    </row>
    <row r="3" spans="1:3" s="139" customFormat="1" ht="11.25" customHeight="1">
      <c r="A3" s="138"/>
      <c r="B3" s="1034" t="s">
        <v>251</v>
      </c>
      <c r="C3" s="1034"/>
    </row>
    <row r="4" spans="1:3" ht="12" customHeight="1" thickBot="1">
      <c r="A4" s="1013" t="s">
        <v>255</v>
      </c>
      <c r="B4" s="1014"/>
      <c r="C4" s="1015"/>
    </row>
    <row r="5" spans="1:3" ht="12.6" thickTop="1">
      <c r="A5" s="135"/>
      <c r="B5" s="1016" t="s">
        <v>178</v>
      </c>
      <c r="C5" s="1017"/>
    </row>
    <row r="6" spans="1:3">
      <c r="A6" s="364"/>
      <c r="B6" s="995" t="s">
        <v>252</v>
      </c>
      <c r="C6" s="996"/>
    </row>
    <row r="7" spans="1:3">
      <c r="A7" s="364"/>
      <c r="B7" s="995" t="s">
        <v>179</v>
      </c>
      <c r="C7" s="996"/>
    </row>
    <row r="8" spans="1:3">
      <c r="A8" s="364"/>
      <c r="B8" s="995" t="s">
        <v>253</v>
      </c>
      <c r="C8" s="996"/>
    </row>
    <row r="9" spans="1:3">
      <c r="A9" s="364"/>
      <c r="B9" s="1037" t="s">
        <v>254</v>
      </c>
      <c r="C9" s="1038"/>
    </row>
    <row r="10" spans="1:3">
      <c r="A10" s="364"/>
      <c r="B10" s="1029" t="s">
        <v>180</v>
      </c>
      <c r="C10" s="1030" t="s">
        <v>180</v>
      </c>
    </row>
    <row r="11" spans="1:3">
      <c r="A11" s="364"/>
      <c r="B11" s="1029" t="s">
        <v>181</v>
      </c>
      <c r="C11" s="1030" t="s">
        <v>181</v>
      </c>
    </row>
    <row r="12" spans="1:3">
      <c r="A12" s="364"/>
      <c r="B12" s="1029" t="s">
        <v>182</v>
      </c>
      <c r="C12" s="1030" t="s">
        <v>182</v>
      </c>
    </row>
    <row r="13" spans="1:3">
      <c r="A13" s="364"/>
      <c r="B13" s="1029" t="s">
        <v>183</v>
      </c>
      <c r="C13" s="1030" t="s">
        <v>183</v>
      </c>
    </row>
    <row r="14" spans="1:3">
      <c r="A14" s="364"/>
      <c r="B14" s="1029" t="s">
        <v>184</v>
      </c>
      <c r="C14" s="1030" t="s">
        <v>184</v>
      </c>
    </row>
    <row r="15" spans="1:3" ht="21.75" customHeight="1">
      <c r="A15" s="364"/>
      <c r="B15" s="1029" t="s">
        <v>185</v>
      </c>
      <c r="C15" s="1030" t="s">
        <v>185</v>
      </c>
    </row>
    <row r="16" spans="1:3">
      <c r="A16" s="364"/>
      <c r="B16" s="1029" t="s">
        <v>186</v>
      </c>
      <c r="C16" s="1030" t="s">
        <v>187</v>
      </c>
    </row>
    <row r="17" spans="1:6">
      <c r="A17" s="364"/>
      <c r="B17" s="1029" t="s">
        <v>188</v>
      </c>
      <c r="C17" s="1030" t="s">
        <v>189</v>
      </c>
    </row>
    <row r="18" spans="1:6">
      <c r="A18" s="364"/>
      <c r="B18" s="1029" t="s">
        <v>190</v>
      </c>
      <c r="C18" s="1030" t="s">
        <v>191</v>
      </c>
    </row>
    <row r="19" spans="1:6">
      <c r="A19" s="649"/>
      <c r="B19" s="1035" t="s">
        <v>192</v>
      </c>
      <c r="C19" s="1036" t="s">
        <v>192</v>
      </c>
    </row>
    <row r="20" spans="1:6">
      <c r="A20" s="649"/>
      <c r="B20" s="1035" t="s">
        <v>918</v>
      </c>
      <c r="C20" s="1036" t="s">
        <v>193</v>
      </c>
    </row>
    <row r="21" spans="1:6">
      <c r="A21" s="364"/>
      <c r="B21" s="1035" t="s">
        <v>961</v>
      </c>
      <c r="C21" s="1036" t="s">
        <v>194</v>
      </c>
    </row>
    <row r="22" spans="1:6" ht="23.25" customHeight="1">
      <c r="A22" s="364"/>
      <c r="B22" s="1029" t="s">
        <v>195</v>
      </c>
      <c r="C22" s="1030" t="s">
        <v>196</v>
      </c>
      <c r="F22" s="612"/>
    </row>
    <row r="23" spans="1:6">
      <c r="A23" s="364"/>
      <c r="B23" s="1029" t="s">
        <v>197</v>
      </c>
      <c r="C23" s="1030" t="s">
        <v>197</v>
      </c>
    </row>
    <row r="24" spans="1:6">
      <c r="A24" s="364"/>
      <c r="B24" s="1029" t="s">
        <v>198</v>
      </c>
      <c r="C24" s="1030" t="s">
        <v>199</v>
      </c>
    </row>
    <row r="25" spans="1:6" ht="12.6" thickBot="1">
      <c r="A25" s="136"/>
      <c r="B25" s="1023" t="s">
        <v>200</v>
      </c>
      <c r="C25" s="1024"/>
    </row>
    <row r="26" spans="1:6" ht="13.2" thickTop="1" thickBot="1">
      <c r="A26" s="1013" t="s">
        <v>812</v>
      </c>
      <c r="B26" s="1014"/>
      <c r="C26" s="1015"/>
    </row>
    <row r="27" spans="1:6" ht="13.2" thickTop="1" thickBot="1">
      <c r="A27" s="137"/>
      <c r="B27" s="1025" t="s">
        <v>813</v>
      </c>
      <c r="C27" s="1026"/>
    </row>
    <row r="28" spans="1:6" ht="13.2" thickTop="1" thickBot="1">
      <c r="A28" s="1013" t="s">
        <v>256</v>
      </c>
      <c r="B28" s="1014"/>
      <c r="C28" s="1015"/>
    </row>
    <row r="29" spans="1:6" ht="12.6" thickTop="1">
      <c r="A29" s="135"/>
      <c r="B29" s="1027" t="s">
        <v>816</v>
      </c>
      <c r="C29" s="1028" t="s">
        <v>201</v>
      </c>
    </row>
    <row r="30" spans="1:6">
      <c r="A30" s="364"/>
      <c r="B30" s="1004" t="s">
        <v>205</v>
      </c>
      <c r="C30" s="1005" t="s">
        <v>202</v>
      </c>
    </row>
    <row r="31" spans="1:6">
      <c r="A31" s="364"/>
      <c r="B31" s="1004" t="s">
        <v>814</v>
      </c>
      <c r="C31" s="1005" t="s">
        <v>203</v>
      </c>
    </row>
    <row r="32" spans="1:6">
      <c r="A32" s="364"/>
      <c r="B32" s="1004" t="s">
        <v>815</v>
      </c>
      <c r="C32" s="1005" t="s">
        <v>204</v>
      </c>
    </row>
    <row r="33" spans="1:3">
      <c r="A33" s="364"/>
      <c r="B33" s="1004" t="s">
        <v>208</v>
      </c>
      <c r="C33" s="1005" t="s">
        <v>209</v>
      </c>
    </row>
    <row r="34" spans="1:3">
      <c r="A34" s="364"/>
      <c r="B34" s="1004" t="s">
        <v>817</v>
      </c>
      <c r="C34" s="1005" t="s">
        <v>206</v>
      </c>
    </row>
    <row r="35" spans="1:3">
      <c r="A35" s="364"/>
      <c r="B35" s="1004" t="s">
        <v>818</v>
      </c>
      <c r="C35" s="1005" t="s">
        <v>207</v>
      </c>
    </row>
    <row r="36" spans="1:3">
      <c r="A36" s="364"/>
      <c r="B36" s="1020" t="s">
        <v>819</v>
      </c>
      <c r="C36" s="1021"/>
    </row>
    <row r="37" spans="1:3" ht="24.75" customHeight="1">
      <c r="A37" s="364"/>
      <c r="B37" s="1004" t="s">
        <v>820</v>
      </c>
      <c r="C37" s="1005" t="s">
        <v>210</v>
      </c>
    </row>
    <row r="38" spans="1:3" ht="23.25" customHeight="1">
      <c r="A38" s="364"/>
      <c r="B38" s="1004" t="s">
        <v>821</v>
      </c>
      <c r="C38" s="1005" t="s">
        <v>211</v>
      </c>
    </row>
    <row r="39" spans="1:3" ht="23.25" customHeight="1">
      <c r="A39" s="434"/>
      <c r="B39" s="1020" t="s">
        <v>822</v>
      </c>
      <c r="C39" s="1022"/>
    </row>
    <row r="40" spans="1:3" ht="12" customHeight="1">
      <c r="A40" s="364"/>
      <c r="B40" s="1004" t="s">
        <v>823</v>
      </c>
      <c r="C40" s="1005"/>
    </row>
    <row r="41" spans="1:3" ht="12.6" thickBot="1">
      <c r="A41" s="1013" t="s">
        <v>257</v>
      </c>
      <c r="B41" s="1014"/>
      <c r="C41" s="1015"/>
    </row>
    <row r="42" spans="1:3" ht="12.6" thickTop="1">
      <c r="A42" s="135"/>
      <c r="B42" s="1016" t="s">
        <v>287</v>
      </c>
      <c r="C42" s="1017" t="s">
        <v>212</v>
      </c>
    </row>
    <row r="43" spans="1:3">
      <c r="A43" s="364"/>
      <c r="B43" s="995" t="s">
        <v>286</v>
      </c>
      <c r="C43" s="996"/>
    </row>
    <row r="44" spans="1:3" ht="23.25" customHeight="1" thickBot="1">
      <c r="A44" s="136"/>
      <c r="B44" s="1011" t="s">
        <v>213</v>
      </c>
      <c r="C44" s="1012" t="s">
        <v>214</v>
      </c>
    </row>
    <row r="45" spans="1:3" ht="11.25" customHeight="1" thickTop="1" thickBot="1">
      <c r="A45" s="1013" t="s">
        <v>258</v>
      </c>
      <c r="B45" s="1014"/>
      <c r="C45" s="1015"/>
    </row>
    <row r="46" spans="1:3" ht="26.25" customHeight="1" thickTop="1">
      <c r="A46" s="364"/>
      <c r="B46" s="995" t="s">
        <v>259</v>
      </c>
      <c r="C46" s="996"/>
    </row>
    <row r="47" spans="1:3" ht="12.6" thickBot="1">
      <c r="A47" s="1013" t="s">
        <v>260</v>
      </c>
      <c r="B47" s="1014"/>
      <c r="C47" s="1015"/>
    </row>
    <row r="48" spans="1:3" ht="12.6" thickTop="1">
      <c r="A48" s="135"/>
      <c r="B48" s="1016" t="s">
        <v>215</v>
      </c>
      <c r="C48" s="1017" t="s">
        <v>215</v>
      </c>
    </row>
    <row r="49" spans="1:3" ht="11.25" customHeight="1">
      <c r="A49" s="364"/>
      <c r="B49" s="995" t="s">
        <v>216</v>
      </c>
      <c r="C49" s="996" t="s">
        <v>216</v>
      </c>
    </row>
    <row r="50" spans="1:3">
      <c r="A50" s="364"/>
      <c r="B50" s="995" t="s">
        <v>217</v>
      </c>
      <c r="C50" s="996" t="s">
        <v>217</v>
      </c>
    </row>
    <row r="51" spans="1:3" ht="11.25" customHeight="1">
      <c r="A51" s="364"/>
      <c r="B51" s="995" t="s">
        <v>825</v>
      </c>
      <c r="C51" s="996" t="s">
        <v>218</v>
      </c>
    </row>
    <row r="52" spans="1:3" ht="33.6" customHeight="1">
      <c r="A52" s="364"/>
      <c r="B52" s="995" t="s">
        <v>219</v>
      </c>
      <c r="C52" s="996" t="s">
        <v>219</v>
      </c>
    </row>
    <row r="53" spans="1:3" ht="11.25" customHeight="1">
      <c r="A53" s="364"/>
      <c r="B53" s="995" t="s">
        <v>307</v>
      </c>
      <c r="C53" s="996" t="s">
        <v>220</v>
      </c>
    </row>
    <row r="54" spans="1:3" ht="11.25" customHeight="1" thickBot="1">
      <c r="A54" s="1013" t="s">
        <v>261</v>
      </c>
      <c r="B54" s="1014"/>
      <c r="C54" s="1015"/>
    </row>
    <row r="55" spans="1:3" ht="12.6" thickTop="1">
      <c r="A55" s="135"/>
      <c r="B55" s="1016" t="s">
        <v>215</v>
      </c>
      <c r="C55" s="1017" t="s">
        <v>215</v>
      </c>
    </row>
    <row r="56" spans="1:3">
      <c r="A56" s="364"/>
      <c r="B56" s="995" t="s">
        <v>221</v>
      </c>
      <c r="C56" s="996" t="s">
        <v>221</v>
      </c>
    </row>
    <row r="57" spans="1:3">
      <c r="A57" s="364"/>
      <c r="B57" s="995" t="s">
        <v>264</v>
      </c>
      <c r="C57" s="996" t="s">
        <v>222</v>
      </c>
    </row>
    <row r="58" spans="1:3">
      <c r="A58" s="364"/>
      <c r="B58" s="995" t="s">
        <v>223</v>
      </c>
      <c r="C58" s="996" t="s">
        <v>223</v>
      </c>
    </row>
    <row r="59" spans="1:3">
      <c r="A59" s="364"/>
      <c r="B59" s="995" t="s">
        <v>224</v>
      </c>
      <c r="C59" s="996" t="s">
        <v>224</v>
      </c>
    </row>
    <row r="60" spans="1:3">
      <c r="A60" s="364"/>
      <c r="B60" s="995" t="s">
        <v>225</v>
      </c>
      <c r="C60" s="996" t="s">
        <v>225</v>
      </c>
    </row>
    <row r="61" spans="1:3">
      <c r="A61" s="364"/>
      <c r="B61" s="995" t="s">
        <v>265</v>
      </c>
      <c r="C61" s="996" t="s">
        <v>226</v>
      </c>
    </row>
    <row r="62" spans="1:3" ht="12" customHeight="1">
      <c r="A62" s="364"/>
      <c r="B62" s="978" t="s">
        <v>998</v>
      </c>
      <c r="C62" s="979" t="s">
        <v>227</v>
      </c>
    </row>
    <row r="63" spans="1:3" ht="22.5" customHeight="1" thickBot="1">
      <c r="A63" s="136"/>
      <c r="B63" s="1011" t="s">
        <v>228</v>
      </c>
      <c r="C63" s="1012" t="s">
        <v>228</v>
      </c>
    </row>
    <row r="64" spans="1:3" ht="11.25" customHeight="1" thickTop="1">
      <c r="A64" s="1001" t="s">
        <v>262</v>
      </c>
      <c r="B64" s="1002"/>
      <c r="C64" s="1003"/>
    </row>
    <row r="65" spans="1:3" ht="12.6" thickBot="1">
      <c r="A65" s="136"/>
      <c r="B65" s="1011" t="s">
        <v>229</v>
      </c>
      <c r="C65" s="1012" t="s">
        <v>229</v>
      </c>
    </row>
    <row r="66" spans="1:3" ht="11.25" customHeight="1" thickTop="1">
      <c r="A66" s="1001" t="s">
        <v>951</v>
      </c>
      <c r="B66" s="1002"/>
      <c r="C66" s="1003"/>
    </row>
    <row r="67" spans="1:3" ht="12.6" thickBot="1">
      <c r="A67" s="136"/>
      <c r="B67" s="1011" t="s">
        <v>950</v>
      </c>
      <c r="C67" s="1012"/>
    </row>
    <row r="68" spans="1:3" ht="11.25" customHeight="1" thickTop="1" thickBot="1">
      <c r="A68" s="1013" t="s">
        <v>263</v>
      </c>
      <c r="B68" s="1014"/>
      <c r="C68" s="1015"/>
    </row>
    <row r="69" spans="1:3" ht="12.6" thickTop="1">
      <c r="A69" s="135"/>
      <c r="B69" s="1016" t="s">
        <v>230</v>
      </c>
      <c r="C69" s="1017" t="s">
        <v>230</v>
      </c>
    </row>
    <row r="70" spans="1:3">
      <c r="A70" s="364"/>
      <c r="B70" s="995" t="s">
        <v>827</v>
      </c>
      <c r="C70" s="996" t="s">
        <v>231</v>
      </c>
    </row>
    <row r="71" spans="1:3">
      <c r="A71" s="364"/>
      <c r="B71" s="995" t="s">
        <v>232</v>
      </c>
      <c r="C71" s="996" t="s">
        <v>232</v>
      </c>
    </row>
    <row r="72" spans="1:3" ht="54.9" customHeight="1">
      <c r="A72" s="364"/>
      <c r="B72" s="1018" t="s">
        <v>962</v>
      </c>
      <c r="C72" s="1019" t="s">
        <v>233</v>
      </c>
    </row>
    <row r="73" spans="1:3" ht="33.75" customHeight="1">
      <c r="A73" s="364"/>
      <c r="B73" s="1009" t="s">
        <v>266</v>
      </c>
      <c r="C73" s="1010" t="s">
        <v>234</v>
      </c>
    </row>
    <row r="74" spans="1:3" ht="15.75" customHeight="1">
      <c r="A74" s="364"/>
      <c r="B74" s="1009" t="s">
        <v>828</v>
      </c>
      <c r="C74" s="1010" t="s">
        <v>235</v>
      </c>
    </row>
    <row r="75" spans="1:3">
      <c r="A75" s="364"/>
      <c r="B75" s="995" t="s">
        <v>236</v>
      </c>
      <c r="C75" s="996" t="s">
        <v>236</v>
      </c>
    </row>
    <row r="76" spans="1:3" ht="12.6" thickBot="1">
      <c r="A76" s="136"/>
      <c r="B76" s="1011" t="s">
        <v>237</v>
      </c>
      <c r="C76" s="1012" t="s">
        <v>237</v>
      </c>
    </row>
    <row r="77" spans="1:3" ht="12.6" thickTop="1">
      <c r="A77" s="1001" t="s">
        <v>290</v>
      </c>
      <c r="B77" s="1002"/>
      <c r="C77" s="1003"/>
    </row>
    <row r="78" spans="1:3">
      <c r="A78" s="364"/>
      <c r="B78" s="995" t="s">
        <v>229</v>
      </c>
      <c r="C78" s="996"/>
    </row>
    <row r="79" spans="1:3">
      <c r="A79" s="364"/>
      <c r="B79" s="995" t="s">
        <v>288</v>
      </c>
      <c r="C79" s="996"/>
    </row>
    <row r="80" spans="1:3">
      <c r="A80" s="364"/>
      <c r="B80" s="995" t="s">
        <v>289</v>
      </c>
      <c r="C80" s="996"/>
    </row>
    <row r="81" spans="1:3">
      <c r="A81" s="1001" t="s">
        <v>291</v>
      </c>
      <c r="B81" s="1002"/>
      <c r="C81" s="1003"/>
    </row>
    <row r="82" spans="1:3">
      <c r="A82" s="364"/>
      <c r="B82" s="995" t="s">
        <v>229</v>
      </c>
      <c r="C82" s="996"/>
    </row>
    <row r="83" spans="1:3">
      <c r="A83" s="364"/>
      <c r="B83" s="995" t="s">
        <v>292</v>
      </c>
      <c r="C83" s="996"/>
    </row>
    <row r="84" spans="1:3" ht="79.5" customHeight="1">
      <c r="A84" s="364"/>
      <c r="B84" s="995" t="s">
        <v>306</v>
      </c>
      <c r="C84" s="996"/>
    </row>
    <row r="85" spans="1:3" ht="53.25" customHeight="1">
      <c r="A85" s="364"/>
      <c r="B85" s="995" t="s">
        <v>305</v>
      </c>
      <c r="C85" s="996"/>
    </row>
    <row r="86" spans="1:3">
      <c r="A86" s="364"/>
      <c r="B86" s="995" t="s">
        <v>293</v>
      </c>
      <c r="C86" s="996"/>
    </row>
    <row r="87" spans="1:3">
      <c r="A87" s="364"/>
      <c r="B87" s="995" t="s">
        <v>294</v>
      </c>
      <c r="C87" s="996"/>
    </row>
    <row r="88" spans="1:3">
      <c r="A88" s="364"/>
      <c r="B88" s="995" t="s">
        <v>295</v>
      </c>
      <c r="C88" s="996"/>
    </row>
    <row r="89" spans="1:3">
      <c r="A89" s="1001" t="s">
        <v>296</v>
      </c>
      <c r="B89" s="1002"/>
      <c r="C89" s="1003"/>
    </row>
    <row r="90" spans="1:3">
      <c r="A90" s="364"/>
      <c r="B90" s="995" t="s">
        <v>229</v>
      </c>
      <c r="C90" s="996"/>
    </row>
    <row r="91" spans="1:3">
      <c r="A91" s="364"/>
      <c r="B91" s="995" t="s">
        <v>298</v>
      </c>
      <c r="C91" s="996"/>
    </row>
    <row r="92" spans="1:3" ht="12" customHeight="1">
      <c r="A92" s="364"/>
      <c r="B92" s="995" t="s">
        <v>299</v>
      </c>
      <c r="C92" s="996"/>
    </row>
    <row r="93" spans="1:3">
      <c r="A93" s="364"/>
      <c r="B93" s="995" t="s">
        <v>300</v>
      </c>
      <c r="C93" s="996"/>
    </row>
    <row r="94" spans="1:3" ht="24.75" customHeight="1">
      <c r="A94" s="364"/>
      <c r="B94" s="1004" t="s">
        <v>336</v>
      </c>
      <c r="C94" s="1005"/>
    </row>
    <row r="95" spans="1:3" ht="24" customHeight="1">
      <c r="A95" s="364"/>
      <c r="B95" s="1004" t="s">
        <v>337</v>
      </c>
      <c r="C95" s="1005"/>
    </row>
    <row r="96" spans="1:3" ht="13.5" customHeight="1">
      <c r="A96" s="364"/>
      <c r="B96" s="1004" t="s">
        <v>301</v>
      </c>
      <c r="C96" s="1005"/>
    </row>
    <row r="97" spans="1:3" ht="11.25" customHeight="1" thickBot="1">
      <c r="A97" s="1006" t="s">
        <v>332</v>
      </c>
      <c r="B97" s="1007"/>
      <c r="C97" s="1008"/>
    </row>
    <row r="98" spans="1:3" ht="13.2" thickTop="1" thickBot="1">
      <c r="A98" s="1000" t="s">
        <v>238</v>
      </c>
      <c r="B98" s="1000"/>
      <c r="C98" s="1000"/>
    </row>
    <row r="99" spans="1:3">
      <c r="A99" s="215">
        <v>2</v>
      </c>
      <c r="B99" s="350" t="s">
        <v>312</v>
      </c>
      <c r="C99" s="350" t="s">
        <v>333</v>
      </c>
    </row>
    <row r="100" spans="1:3">
      <c r="A100" s="140">
        <v>3</v>
      </c>
      <c r="B100" s="351" t="s">
        <v>313</v>
      </c>
      <c r="C100" s="352" t="s">
        <v>334</v>
      </c>
    </row>
    <row r="101" spans="1:3">
      <c r="A101" s="140">
        <v>4</v>
      </c>
      <c r="B101" s="351" t="s">
        <v>314</v>
      </c>
      <c r="C101" s="352" t="s">
        <v>338</v>
      </c>
    </row>
    <row r="102" spans="1:3" ht="11.25" customHeight="1">
      <c r="A102" s="140">
        <v>5</v>
      </c>
      <c r="B102" s="351" t="s">
        <v>315</v>
      </c>
      <c r="C102" s="352" t="s">
        <v>335</v>
      </c>
    </row>
    <row r="103" spans="1:3" ht="12" customHeight="1">
      <c r="A103" s="140">
        <v>6</v>
      </c>
      <c r="B103" s="351" t="s">
        <v>330</v>
      </c>
      <c r="C103" s="352" t="s">
        <v>316</v>
      </c>
    </row>
    <row r="104" spans="1:3" ht="12" customHeight="1">
      <c r="A104" s="140">
        <v>7</v>
      </c>
      <c r="B104" s="351" t="s">
        <v>317</v>
      </c>
      <c r="C104" s="352" t="s">
        <v>331</v>
      </c>
    </row>
    <row r="105" spans="1:3">
      <c r="A105" s="140">
        <v>8</v>
      </c>
      <c r="B105" s="351" t="s">
        <v>322</v>
      </c>
      <c r="C105" s="352" t="s">
        <v>342</v>
      </c>
    </row>
    <row r="106" spans="1:3" ht="11.25" customHeight="1">
      <c r="A106" s="1001" t="s">
        <v>302</v>
      </c>
      <c r="B106" s="1002"/>
      <c r="C106" s="1003"/>
    </row>
    <row r="107" spans="1:3" ht="12" customHeight="1">
      <c r="A107" s="364"/>
      <c r="B107" s="978" t="s">
        <v>999</v>
      </c>
      <c r="C107" s="979"/>
    </row>
    <row r="108" spans="1:3">
      <c r="A108" s="1001" t="s">
        <v>458</v>
      </c>
      <c r="B108" s="1002"/>
      <c r="C108" s="1003"/>
    </row>
    <row r="109" spans="1:3" ht="12" customHeight="1">
      <c r="A109" s="364"/>
      <c r="B109" s="995" t="s">
        <v>460</v>
      </c>
      <c r="C109" s="996"/>
    </row>
    <row r="110" spans="1:3">
      <c r="A110" s="364"/>
      <c r="B110" s="995" t="s">
        <v>461</v>
      </c>
      <c r="C110" s="996"/>
    </row>
    <row r="111" spans="1:3">
      <c r="A111" s="364"/>
      <c r="B111" s="995" t="s">
        <v>459</v>
      </c>
      <c r="C111" s="996"/>
    </row>
    <row r="112" spans="1:3">
      <c r="A112" s="992" t="s">
        <v>692</v>
      </c>
      <c r="B112" s="992"/>
      <c r="C112" s="992"/>
    </row>
    <row r="113" spans="1:3">
      <c r="A113" s="997" t="s">
        <v>176</v>
      </c>
      <c r="B113" s="997"/>
      <c r="C113" s="997"/>
    </row>
    <row r="114" spans="1:3">
      <c r="A114" s="594">
        <v>1</v>
      </c>
      <c r="B114" s="980" t="s">
        <v>576</v>
      </c>
      <c r="C114" s="981"/>
    </row>
    <row r="115" spans="1:3">
      <c r="A115" s="594">
        <v>2</v>
      </c>
      <c r="B115" s="998" t="s">
        <v>577</v>
      </c>
      <c r="C115" s="999"/>
    </row>
    <row r="116" spans="1:3">
      <c r="A116" s="594">
        <v>3</v>
      </c>
      <c r="B116" s="980" t="s">
        <v>902</v>
      </c>
      <c r="C116" s="981"/>
    </row>
    <row r="117" spans="1:3">
      <c r="A117" s="594">
        <v>4</v>
      </c>
      <c r="B117" s="980" t="s">
        <v>901</v>
      </c>
      <c r="C117" s="981"/>
    </row>
    <row r="118" spans="1:3">
      <c r="A118" s="594">
        <v>5</v>
      </c>
      <c r="B118" s="598" t="s">
        <v>900</v>
      </c>
      <c r="C118" s="597"/>
    </row>
    <row r="119" spans="1:3">
      <c r="A119" s="594">
        <v>6</v>
      </c>
      <c r="B119" s="982" t="s">
        <v>968</v>
      </c>
      <c r="C119" s="983"/>
    </row>
    <row r="120" spans="1:3" ht="48.6" customHeight="1">
      <c r="A120" s="594">
        <v>7</v>
      </c>
      <c r="B120" s="982" t="s">
        <v>969</v>
      </c>
      <c r="C120" s="983"/>
    </row>
    <row r="121" spans="1:3">
      <c r="A121" s="569">
        <v>8</v>
      </c>
      <c r="B121" s="566" t="s">
        <v>603</v>
      </c>
      <c r="C121" s="591" t="s">
        <v>899</v>
      </c>
    </row>
    <row r="122" spans="1:3" ht="24">
      <c r="A122" s="594">
        <v>9.01</v>
      </c>
      <c r="B122" s="566" t="s">
        <v>487</v>
      </c>
      <c r="C122" s="578" t="s">
        <v>652</v>
      </c>
    </row>
    <row r="123" spans="1:3" ht="36">
      <c r="A123" s="594">
        <v>9.02</v>
      </c>
      <c r="B123" s="566" t="s">
        <v>488</v>
      </c>
      <c r="C123" s="578" t="s">
        <v>655</v>
      </c>
    </row>
    <row r="124" spans="1:3">
      <c r="A124" s="594">
        <v>9.0299999999999994</v>
      </c>
      <c r="B124" s="581" t="s">
        <v>836</v>
      </c>
      <c r="C124" s="581" t="s">
        <v>578</v>
      </c>
    </row>
    <row r="125" spans="1:3">
      <c r="A125" s="594">
        <v>9.0399999999999991</v>
      </c>
      <c r="B125" s="566" t="s">
        <v>489</v>
      </c>
      <c r="C125" s="581" t="s">
        <v>579</v>
      </c>
    </row>
    <row r="126" spans="1:3">
      <c r="A126" s="594">
        <v>9.0500000000000007</v>
      </c>
      <c r="B126" s="566" t="s">
        <v>490</v>
      </c>
      <c r="C126" s="581" t="s">
        <v>580</v>
      </c>
    </row>
    <row r="127" spans="1:3" ht="24">
      <c r="A127" s="594">
        <v>9.06</v>
      </c>
      <c r="B127" s="566" t="s">
        <v>491</v>
      </c>
      <c r="C127" s="581" t="s">
        <v>581</v>
      </c>
    </row>
    <row r="128" spans="1:3">
      <c r="A128" s="594">
        <v>9.07</v>
      </c>
      <c r="B128" s="596" t="s">
        <v>492</v>
      </c>
      <c r="C128" s="581" t="s">
        <v>582</v>
      </c>
    </row>
    <row r="129" spans="1:3" ht="24">
      <c r="A129" s="594">
        <v>9.08</v>
      </c>
      <c r="B129" s="566" t="s">
        <v>493</v>
      </c>
      <c r="C129" s="581" t="s">
        <v>583</v>
      </c>
    </row>
    <row r="130" spans="1:3" ht="24">
      <c r="A130" s="594">
        <v>9.09</v>
      </c>
      <c r="B130" s="566" t="s">
        <v>494</v>
      </c>
      <c r="C130" s="581" t="s">
        <v>584</v>
      </c>
    </row>
    <row r="131" spans="1:3">
      <c r="A131" s="595">
        <v>9.1</v>
      </c>
      <c r="B131" s="566" t="s">
        <v>495</v>
      </c>
      <c r="C131" s="581" t="s">
        <v>585</v>
      </c>
    </row>
    <row r="132" spans="1:3">
      <c r="A132" s="594">
        <v>9.11</v>
      </c>
      <c r="B132" s="566" t="s">
        <v>496</v>
      </c>
      <c r="C132" s="581" t="s">
        <v>586</v>
      </c>
    </row>
    <row r="133" spans="1:3">
      <c r="A133" s="594">
        <v>9.1199999999999992</v>
      </c>
      <c r="B133" s="566" t="s">
        <v>497</v>
      </c>
      <c r="C133" s="581" t="s">
        <v>587</v>
      </c>
    </row>
    <row r="134" spans="1:3">
      <c r="A134" s="594">
        <v>9.1300000000000008</v>
      </c>
      <c r="B134" s="566" t="s">
        <v>498</v>
      </c>
      <c r="C134" s="581" t="s">
        <v>588</v>
      </c>
    </row>
    <row r="135" spans="1:3">
      <c r="A135" s="594">
        <v>9.14</v>
      </c>
      <c r="B135" s="566" t="s">
        <v>499</v>
      </c>
      <c r="C135" s="581" t="s">
        <v>589</v>
      </c>
    </row>
    <row r="136" spans="1:3">
      <c r="A136" s="594">
        <v>9.15</v>
      </c>
      <c r="B136" s="566" t="s">
        <v>500</v>
      </c>
      <c r="C136" s="581" t="s">
        <v>590</v>
      </c>
    </row>
    <row r="137" spans="1:3">
      <c r="A137" s="594">
        <v>9.16</v>
      </c>
      <c r="B137" s="566" t="s">
        <v>501</v>
      </c>
      <c r="C137" s="581" t="s">
        <v>591</v>
      </c>
    </row>
    <row r="138" spans="1:3">
      <c r="A138" s="594">
        <v>9.17</v>
      </c>
      <c r="B138" s="581" t="s">
        <v>502</v>
      </c>
      <c r="C138" s="581" t="s">
        <v>592</v>
      </c>
    </row>
    <row r="139" spans="1:3" ht="24">
      <c r="A139" s="594">
        <v>9.18</v>
      </c>
      <c r="B139" s="566" t="s">
        <v>503</v>
      </c>
      <c r="C139" s="581" t="s">
        <v>593</v>
      </c>
    </row>
    <row r="140" spans="1:3">
      <c r="A140" s="594">
        <v>9.19</v>
      </c>
      <c r="B140" s="566" t="s">
        <v>504</v>
      </c>
      <c r="C140" s="581" t="s">
        <v>594</v>
      </c>
    </row>
    <row r="141" spans="1:3">
      <c r="A141" s="595">
        <v>9.1999999999999993</v>
      </c>
      <c r="B141" s="566" t="s">
        <v>505</v>
      </c>
      <c r="C141" s="581" t="s">
        <v>595</v>
      </c>
    </row>
    <row r="142" spans="1:3">
      <c r="A142" s="594">
        <v>9.2100000000000009</v>
      </c>
      <c r="B142" s="566" t="s">
        <v>506</v>
      </c>
      <c r="C142" s="581" t="s">
        <v>596</v>
      </c>
    </row>
    <row r="143" spans="1:3">
      <c r="A143" s="594">
        <v>9.2200000000000006</v>
      </c>
      <c r="B143" s="566" t="s">
        <v>507</v>
      </c>
      <c r="C143" s="581" t="s">
        <v>597</v>
      </c>
    </row>
    <row r="144" spans="1:3" ht="24">
      <c r="A144" s="594">
        <v>9.23</v>
      </c>
      <c r="B144" s="566" t="s">
        <v>508</v>
      </c>
      <c r="C144" s="581" t="s">
        <v>598</v>
      </c>
    </row>
    <row r="145" spans="1:3" ht="24">
      <c r="A145" s="594">
        <v>9.24</v>
      </c>
      <c r="B145" s="566" t="s">
        <v>509</v>
      </c>
      <c r="C145" s="581" t="s">
        <v>599</v>
      </c>
    </row>
    <row r="146" spans="1:3">
      <c r="A146" s="594">
        <v>9.2500000000000107</v>
      </c>
      <c r="B146" s="566" t="s">
        <v>510</v>
      </c>
      <c r="C146" s="581" t="s">
        <v>600</v>
      </c>
    </row>
    <row r="147" spans="1:3" ht="24">
      <c r="A147" s="594">
        <v>9.2600000000000193</v>
      </c>
      <c r="B147" s="566" t="s">
        <v>601</v>
      </c>
      <c r="C147" s="593" t="s">
        <v>602</v>
      </c>
    </row>
    <row r="148" spans="1:3" s="365" customFormat="1" ht="24">
      <c r="A148" s="594">
        <v>9.2700000000000298</v>
      </c>
      <c r="B148" s="566" t="s">
        <v>88</v>
      </c>
      <c r="C148" s="593" t="s">
        <v>653</v>
      </c>
    </row>
    <row r="149" spans="1:3" s="365" customFormat="1">
      <c r="A149" s="570"/>
      <c r="B149" s="976" t="s">
        <v>604</v>
      </c>
      <c r="C149" s="977"/>
    </row>
    <row r="150" spans="1:3" s="365" customFormat="1">
      <c r="A150" s="569">
        <v>1</v>
      </c>
      <c r="B150" s="984" t="s">
        <v>898</v>
      </c>
      <c r="C150" s="985"/>
    </row>
    <row r="151" spans="1:3" s="365" customFormat="1">
      <c r="A151" s="569">
        <v>2</v>
      </c>
      <c r="B151" s="984" t="s">
        <v>654</v>
      </c>
      <c r="C151" s="985"/>
    </row>
    <row r="152" spans="1:3" s="365" customFormat="1">
      <c r="A152" s="569">
        <v>3</v>
      </c>
      <c r="B152" s="984" t="s">
        <v>651</v>
      </c>
      <c r="C152" s="985"/>
    </row>
    <row r="153" spans="1:3" s="365" customFormat="1">
      <c r="A153" s="570"/>
      <c r="B153" s="976" t="s">
        <v>605</v>
      </c>
      <c r="C153" s="977"/>
    </row>
    <row r="154" spans="1:3" s="365" customFormat="1">
      <c r="A154" s="569">
        <v>1</v>
      </c>
      <c r="B154" s="986" t="s">
        <v>897</v>
      </c>
      <c r="C154" s="987"/>
    </row>
    <row r="155" spans="1:3" s="365" customFormat="1">
      <c r="A155" s="569">
        <v>2</v>
      </c>
      <c r="B155" s="566" t="s">
        <v>834</v>
      </c>
      <c r="C155" s="650" t="s">
        <v>963</v>
      </c>
    </row>
    <row r="156" spans="1:3" ht="24">
      <c r="A156" s="569">
        <v>3</v>
      </c>
      <c r="B156" s="566" t="s">
        <v>833</v>
      </c>
      <c r="C156" s="591" t="s">
        <v>896</v>
      </c>
    </row>
    <row r="157" spans="1:3">
      <c r="A157" s="569">
        <v>4</v>
      </c>
      <c r="B157" s="566" t="s">
        <v>480</v>
      </c>
      <c r="C157" s="566" t="s">
        <v>914</v>
      </c>
    </row>
    <row r="158" spans="1:3" ht="24.9" customHeight="1">
      <c r="A158" s="570"/>
      <c r="B158" s="976" t="s">
        <v>606</v>
      </c>
      <c r="C158" s="977"/>
    </row>
    <row r="159" spans="1:3" ht="36">
      <c r="A159" s="569"/>
      <c r="B159" s="566" t="s">
        <v>885</v>
      </c>
      <c r="C159" s="651" t="s">
        <v>964</v>
      </c>
    </row>
    <row r="160" spans="1:3">
      <c r="A160" s="570"/>
      <c r="B160" s="976" t="s">
        <v>607</v>
      </c>
      <c r="C160" s="977"/>
    </row>
    <row r="161" spans="1:3" ht="39" customHeight="1">
      <c r="A161" s="570"/>
      <c r="B161" s="978" t="s">
        <v>895</v>
      </c>
      <c r="C161" s="979"/>
    </row>
    <row r="162" spans="1:3">
      <c r="A162" s="570" t="s">
        <v>608</v>
      </c>
      <c r="B162" s="592" t="s">
        <v>518</v>
      </c>
      <c r="C162" s="583" t="s">
        <v>609</v>
      </c>
    </row>
    <row r="163" spans="1:3">
      <c r="A163" s="570" t="s">
        <v>357</v>
      </c>
      <c r="B163" s="589" t="s">
        <v>519</v>
      </c>
      <c r="C163" s="591" t="s">
        <v>894</v>
      </c>
    </row>
    <row r="164" spans="1:3" ht="24">
      <c r="A164" s="570" t="s">
        <v>364</v>
      </c>
      <c r="B164" s="583" t="s">
        <v>520</v>
      </c>
      <c r="C164" s="591" t="s">
        <v>610</v>
      </c>
    </row>
    <row r="165" spans="1:3">
      <c r="A165" s="570" t="s">
        <v>611</v>
      </c>
      <c r="B165" s="589" t="s">
        <v>521</v>
      </c>
      <c r="C165" s="590" t="s">
        <v>612</v>
      </c>
    </row>
    <row r="166" spans="1:3" ht="24">
      <c r="A166" s="570" t="s">
        <v>613</v>
      </c>
      <c r="B166" s="589" t="s">
        <v>849</v>
      </c>
      <c r="C166" s="588" t="s">
        <v>893</v>
      </c>
    </row>
    <row r="167" spans="1:3" ht="24">
      <c r="A167" s="570" t="s">
        <v>365</v>
      </c>
      <c r="B167" s="589" t="s">
        <v>522</v>
      </c>
      <c r="C167" s="588" t="s">
        <v>615</v>
      </c>
    </row>
    <row r="168" spans="1:3" ht="24">
      <c r="A168" s="570" t="s">
        <v>614</v>
      </c>
      <c r="B168" s="586" t="s">
        <v>525</v>
      </c>
      <c r="C168" s="587" t="s">
        <v>622</v>
      </c>
    </row>
    <row r="169" spans="1:3" ht="24">
      <c r="A169" s="570" t="s">
        <v>616</v>
      </c>
      <c r="B169" s="586" t="s">
        <v>523</v>
      </c>
      <c r="C169" s="588" t="s">
        <v>618</v>
      </c>
    </row>
    <row r="170" spans="1:3" ht="26.4" customHeight="1">
      <c r="A170" s="570" t="s">
        <v>617</v>
      </c>
      <c r="B170" s="586" t="s">
        <v>524</v>
      </c>
      <c r="C170" s="587" t="s">
        <v>620</v>
      </c>
    </row>
    <row r="171" spans="1:3">
      <c r="A171" s="570" t="s">
        <v>619</v>
      </c>
      <c r="B171" s="564" t="s">
        <v>526</v>
      </c>
      <c r="C171" s="587" t="s">
        <v>624</v>
      </c>
    </row>
    <row r="172" spans="1:3" ht="24">
      <c r="A172" s="570" t="s">
        <v>621</v>
      </c>
      <c r="B172" s="586" t="s">
        <v>527</v>
      </c>
      <c r="C172" s="585" t="s">
        <v>625</v>
      </c>
    </row>
    <row r="173" spans="1:3">
      <c r="A173" s="570" t="s">
        <v>623</v>
      </c>
      <c r="B173" s="584" t="s">
        <v>528</v>
      </c>
      <c r="C173" s="583" t="s">
        <v>626</v>
      </c>
    </row>
    <row r="174" spans="1:3" ht="24">
      <c r="A174" s="570"/>
      <c r="B174" s="582" t="s">
        <v>892</v>
      </c>
      <c r="C174" s="581" t="s">
        <v>627</v>
      </c>
    </row>
    <row r="175" spans="1:3" ht="24">
      <c r="A175" s="570"/>
      <c r="B175" s="582" t="s">
        <v>891</v>
      </c>
      <c r="C175" s="581" t="s">
        <v>628</v>
      </c>
    </row>
    <row r="176" spans="1:3" ht="24">
      <c r="A176" s="570"/>
      <c r="B176" s="582" t="s">
        <v>890</v>
      </c>
      <c r="C176" s="581" t="s">
        <v>629</v>
      </c>
    </row>
    <row r="177" spans="1:3">
      <c r="A177" s="570"/>
      <c r="B177" s="976" t="s">
        <v>630</v>
      </c>
      <c r="C177" s="977"/>
    </row>
    <row r="178" spans="1:3">
      <c r="A178" s="570"/>
      <c r="B178" s="984" t="s">
        <v>889</v>
      </c>
      <c r="C178" s="985"/>
    </row>
    <row r="179" spans="1:3">
      <c r="A179" s="569">
        <v>1</v>
      </c>
      <c r="B179" s="581" t="s">
        <v>532</v>
      </c>
      <c r="C179" s="581" t="s">
        <v>532</v>
      </c>
    </row>
    <row r="180" spans="1:3" ht="24">
      <c r="A180" s="569">
        <v>2</v>
      </c>
      <c r="B180" s="581" t="s">
        <v>631</v>
      </c>
      <c r="C180" s="581" t="s">
        <v>632</v>
      </c>
    </row>
    <row r="181" spans="1:3">
      <c r="A181" s="569">
        <v>3</v>
      </c>
      <c r="B181" s="581" t="s">
        <v>534</v>
      </c>
      <c r="C181" s="581" t="s">
        <v>633</v>
      </c>
    </row>
    <row r="182" spans="1:3" ht="24">
      <c r="A182" s="569">
        <v>4</v>
      </c>
      <c r="B182" s="581" t="s">
        <v>535</v>
      </c>
      <c r="C182" s="581" t="s">
        <v>634</v>
      </c>
    </row>
    <row r="183" spans="1:3" ht="24">
      <c r="A183" s="569">
        <v>5</v>
      </c>
      <c r="B183" s="581" t="s">
        <v>536</v>
      </c>
      <c r="C183" s="581" t="s">
        <v>656</v>
      </c>
    </row>
    <row r="184" spans="1:3" ht="48">
      <c r="A184" s="569">
        <v>6</v>
      </c>
      <c r="B184" s="581" t="s">
        <v>537</v>
      </c>
      <c r="C184" s="581" t="s">
        <v>635</v>
      </c>
    </row>
    <row r="185" spans="1:3">
      <c r="A185" s="570"/>
      <c r="B185" s="976" t="s">
        <v>636</v>
      </c>
      <c r="C185" s="977"/>
    </row>
    <row r="186" spans="1:3">
      <c r="A186" s="570"/>
      <c r="B186" s="989" t="s">
        <v>888</v>
      </c>
      <c r="C186" s="990"/>
    </row>
    <row r="187" spans="1:3" ht="24">
      <c r="A187" s="570">
        <v>1.1000000000000001</v>
      </c>
      <c r="B187" s="580" t="s">
        <v>542</v>
      </c>
      <c r="C187" s="578" t="s">
        <v>637</v>
      </c>
    </row>
    <row r="188" spans="1:3" ht="50.1" customHeight="1">
      <c r="A188" s="570" t="s">
        <v>146</v>
      </c>
      <c r="B188" s="565" t="s">
        <v>543</v>
      </c>
      <c r="C188" s="578" t="s">
        <v>638</v>
      </c>
    </row>
    <row r="189" spans="1:3">
      <c r="A189" s="570" t="s">
        <v>544</v>
      </c>
      <c r="B189" s="579" t="s">
        <v>545</v>
      </c>
      <c r="C189" s="991" t="s">
        <v>887</v>
      </c>
    </row>
    <row r="190" spans="1:3">
      <c r="A190" s="570" t="s">
        <v>546</v>
      </c>
      <c r="B190" s="579" t="s">
        <v>547</v>
      </c>
      <c r="C190" s="991"/>
    </row>
    <row r="191" spans="1:3">
      <c r="A191" s="570" t="s">
        <v>548</v>
      </c>
      <c r="B191" s="579" t="s">
        <v>549</v>
      </c>
      <c r="C191" s="991"/>
    </row>
    <row r="192" spans="1:3">
      <c r="A192" s="570" t="s">
        <v>550</v>
      </c>
      <c r="B192" s="579" t="s">
        <v>551</v>
      </c>
      <c r="C192" s="991"/>
    </row>
    <row r="193" spans="1:4" ht="25.5" customHeight="1">
      <c r="A193" s="570">
        <v>1.2</v>
      </c>
      <c r="B193" s="577" t="s">
        <v>863</v>
      </c>
      <c r="C193" s="652" t="s">
        <v>965</v>
      </c>
    </row>
    <row r="194" spans="1:4" ht="24">
      <c r="A194" s="570" t="s">
        <v>553</v>
      </c>
      <c r="B194" s="572" t="s">
        <v>554</v>
      </c>
      <c r="C194" s="575" t="s">
        <v>639</v>
      </c>
    </row>
    <row r="195" spans="1:4" ht="24">
      <c r="A195" s="570" t="s">
        <v>555</v>
      </c>
      <c r="B195" s="576" t="s">
        <v>556</v>
      </c>
      <c r="C195" s="575" t="s">
        <v>640</v>
      </c>
    </row>
    <row r="196" spans="1:4" ht="26.1" customHeight="1">
      <c r="A196" s="570" t="s">
        <v>557</v>
      </c>
      <c r="B196" s="574" t="s">
        <v>558</v>
      </c>
      <c r="C196" s="563" t="s">
        <v>641</v>
      </c>
    </row>
    <row r="197" spans="1:4" ht="24">
      <c r="A197" s="570" t="s">
        <v>559</v>
      </c>
      <c r="B197" s="573" t="s">
        <v>560</v>
      </c>
      <c r="C197" s="563" t="s">
        <v>642</v>
      </c>
      <c r="D197" s="366"/>
    </row>
    <row r="198" spans="1:4" ht="12.6">
      <c r="A198" s="570">
        <v>1.4</v>
      </c>
      <c r="B198" s="572" t="s">
        <v>649</v>
      </c>
      <c r="C198" s="571" t="s">
        <v>643</v>
      </c>
      <c r="D198" s="367"/>
    </row>
    <row r="199" spans="1:4" ht="12.6">
      <c r="A199" s="570">
        <v>1.5</v>
      </c>
      <c r="B199" s="572" t="s">
        <v>650</v>
      </c>
      <c r="C199" s="571" t="s">
        <v>643</v>
      </c>
      <c r="D199" s="368"/>
    </row>
    <row r="200" spans="1:4" ht="12.6">
      <c r="A200" s="570"/>
      <c r="B200" s="992" t="s">
        <v>644</v>
      </c>
      <c r="C200" s="992"/>
      <c r="D200" s="368"/>
    </row>
    <row r="201" spans="1:4" ht="12.6">
      <c r="A201" s="570"/>
      <c r="B201" s="989" t="s">
        <v>886</v>
      </c>
      <c r="C201" s="989"/>
      <c r="D201" s="368"/>
    </row>
    <row r="202" spans="1:4" ht="12.6">
      <c r="A202" s="569"/>
      <c r="B202" s="566" t="s">
        <v>885</v>
      </c>
      <c r="C202" s="651" t="s">
        <v>963</v>
      </c>
      <c r="D202" s="368"/>
    </row>
    <row r="203" spans="1:4" ht="12.6">
      <c r="A203" s="570"/>
      <c r="B203" s="992" t="s">
        <v>645</v>
      </c>
      <c r="C203" s="992"/>
      <c r="D203" s="369"/>
    </row>
    <row r="204" spans="1:4" ht="12.6">
      <c r="A204" s="569"/>
      <c r="B204" s="993" t="s">
        <v>884</v>
      </c>
      <c r="C204" s="993"/>
      <c r="D204" s="370"/>
    </row>
    <row r="205" spans="1:4" ht="12.6">
      <c r="B205" s="992" t="s">
        <v>682</v>
      </c>
      <c r="C205" s="992"/>
      <c r="D205" s="371"/>
    </row>
    <row r="206" spans="1:4" ht="24">
      <c r="A206" s="565">
        <v>1</v>
      </c>
      <c r="B206" s="566" t="s">
        <v>658</v>
      </c>
      <c r="C206" s="563" t="s">
        <v>670</v>
      </c>
      <c r="D206" s="370"/>
    </row>
    <row r="207" spans="1:4" ht="18" customHeight="1">
      <c r="A207" s="565">
        <v>2</v>
      </c>
      <c r="B207" s="566" t="s">
        <v>659</v>
      </c>
      <c r="C207" s="563" t="s">
        <v>671</v>
      </c>
      <c r="D207" s="371"/>
    </row>
    <row r="208" spans="1:4" ht="24">
      <c r="A208" s="565">
        <v>3</v>
      </c>
      <c r="B208" s="566" t="s">
        <v>660</v>
      </c>
      <c r="C208" s="566" t="s">
        <v>672</v>
      </c>
      <c r="D208" s="372"/>
    </row>
    <row r="209" spans="1:4" ht="12.6">
      <c r="A209" s="565">
        <v>4</v>
      </c>
      <c r="B209" s="566" t="s">
        <v>661</v>
      </c>
      <c r="C209" s="566" t="s">
        <v>673</v>
      </c>
      <c r="D209" s="372"/>
    </row>
    <row r="210" spans="1:4" ht="24">
      <c r="A210" s="565">
        <v>5</v>
      </c>
      <c r="B210" s="566" t="s">
        <v>662</v>
      </c>
      <c r="C210" s="566" t="s">
        <v>674</v>
      </c>
    </row>
    <row r="211" spans="1:4" ht="24.6" customHeight="1">
      <c r="A211" s="565">
        <v>6</v>
      </c>
      <c r="B211" s="566" t="s">
        <v>663</v>
      </c>
      <c r="C211" s="566" t="s">
        <v>675</v>
      </c>
    </row>
    <row r="212" spans="1:4" ht="24">
      <c r="A212" s="565">
        <v>7</v>
      </c>
      <c r="B212" s="566" t="s">
        <v>664</v>
      </c>
      <c r="C212" s="566" t="s">
        <v>676</v>
      </c>
    </row>
    <row r="213" spans="1:4">
      <c r="A213" s="565">
        <v>7.1</v>
      </c>
      <c r="B213" s="568" t="s">
        <v>665</v>
      </c>
      <c r="C213" s="566" t="s">
        <v>677</v>
      </c>
    </row>
    <row r="214" spans="1:4">
      <c r="A214" s="565">
        <v>7.2</v>
      </c>
      <c r="B214" s="568" t="s">
        <v>666</v>
      </c>
      <c r="C214" s="566" t="s">
        <v>678</v>
      </c>
    </row>
    <row r="215" spans="1:4">
      <c r="A215" s="565">
        <v>7.3</v>
      </c>
      <c r="B215" s="567" t="s">
        <v>667</v>
      </c>
      <c r="C215" s="566" t="s">
        <v>679</v>
      </c>
    </row>
    <row r="216" spans="1:4" ht="39.6" customHeight="1">
      <c r="A216" s="565">
        <v>8</v>
      </c>
      <c r="B216" s="566" t="s">
        <v>668</v>
      </c>
      <c r="C216" s="563" t="s">
        <v>680</v>
      </c>
    </row>
    <row r="217" spans="1:4">
      <c r="A217" s="565">
        <v>9</v>
      </c>
      <c r="B217" s="566" t="s">
        <v>669</v>
      </c>
      <c r="C217" s="563" t="s">
        <v>681</v>
      </c>
    </row>
    <row r="218" spans="1:4">
      <c r="A218" s="607">
        <v>10.1</v>
      </c>
      <c r="B218" s="608" t="s">
        <v>689</v>
      </c>
      <c r="C218" s="599" t="s">
        <v>690</v>
      </c>
    </row>
    <row r="219" spans="1:4">
      <c r="A219" s="994"/>
      <c r="B219" s="609" t="s">
        <v>876</v>
      </c>
      <c r="C219" s="563" t="s">
        <v>883</v>
      </c>
    </row>
    <row r="220" spans="1:4">
      <c r="A220" s="994"/>
      <c r="B220" s="564" t="s">
        <v>541</v>
      </c>
      <c r="C220" s="563" t="s">
        <v>882</v>
      </c>
    </row>
    <row r="221" spans="1:4">
      <c r="A221" s="994"/>
      <c r="B221" s="564" t="s">
        <v>875</v>
      </c>
      <c r="C221" s="652" t="s">
        <v>966</v>
      </c>
    </row>
    <row r="222" spans="1:4">
      <c r="A222" s="994"/>
      <c r="B222" s="564" t="s">
        <v>683</v>
      </c>
      <c r="C222" s="563" t="s">
        <v>881</v>
      </c>
    </row>
    <row r="223" spans="1:4" ht="24">
      <c r="A223" s="994"/>
      <c r="B223" s="564" t="s">
        <v>687</v>
      </c>
      <c r="C223" s="578" t="s">
        <v>880</v>
      </c>
    </row>
    <row r="224" spans="1:4" ht="36">
      <c r="A224" s="994"/>
      <c r="B224" s="564" t="s">
        <v>686</v>
      </c>
      <c r="C224" s="563" t="s">
        <v>879</v>
      </c>
    </row>
    <row r="225" spans="1:3">
      <c r="A225" s="994"/>
      <c r="B225" s="564" t="s">
        <v>915</v>
      </c>
      <c r="C225" s="563" t="s">
        <v>878</v>
      </c>
    </row>
    <row r="226" spans="1:3" ht="24">
      <c r="A226" s="994"/>
      <c r="B226" s="564" t="s">
        <v>916</v>
      </c>
      <c r="C226" s="563" t="s">
        <v>877</v>
      </c>
    </row>
    <row r="227" spans="1:3" ht="12.6">
      <c r="A227" s="600"/>
      <c r="B227" s="601"/>
      <c r="C227" s="602"/>
    </row>
    <row r="228" spans="1:3" ht="12.6">
      <c r="A228" s="600"/>
      <c r="B228" s="602"/>
      <c r="C228" s="603"/>
    </row>
    <row r="229" spans="1:3" ht="12.6">
      <c r="A229" s="600"/>
      <c r="B229" s="602"/>
      <c r="C229" s="603"/>
    </row>
    <row r="230" spans="1:3" ht="12.6">
      <c r="A230" s="600"/>
      <c r="B230" s="604"/>
      <c r="C230" s="603"/>
    </row>
    <row r="231" spans="1:3">
      <c r="A231" s="988"/>
      <c r="B231" s="605"/>
      <c r="C231" s="603"/>
    </row>
    <row r="232" spans="1:3">
      <c r="A232" s="988"/>
      <c r="B232" s="605"/>
      <c r="C232" s="603"/>
    </row>
    <row r="233" spans="1:3">
      <c r="A233" s="988"/>
      <c r="B233" s="605"/>
      <c r="C233" s="603"/>
    </row>
    <row r="234" spans="1:3">
      <c r="A234" s="988"/>
      <c r="B234" s="605"/>
      <c r="C234" s="606"/>
    </row>
    <row r="235" spans="1:3" ht="40.5" customHeight="1">
      <c r="A235" s="988"/>
      <c r="B235" s="605"/>
      <c r="C235" s="603"/>
    </row>
    <row r="236" spans="1:3" ht="24" customHeight="1">
      <c r="A236" s="988"/>
      <c r="B236" s="605"/>
      <c r="C236" s="603"/>
    </row>
    <row r="237" spans="1:3">
      <c r="A237" s="988"/>
      <c r="B237" s="605"/>
      <c r="C237" s="603"/>
    </row>
  </sheetData>
  <mergeCells count="132">
    <mergeCell ref="A1:C1"/>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headerFooter>
    <oddHeader>&amp;Lშიდა მოხმარების</oddHeader>
    <oddFooter>&amp;Lშიდა მოხმარების</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2" tint="-9.9978637043366805E-2"/>
  </sheetPr>
  <dimension ref="A1:O46"/>
  <sheetViews>
    <sheetView zoomScale="80" zoomScaleNormal="80" workbookViewId="0"/>
  </sheetViews>
  <sheetFormatPr defaultRowHeight="14.4"/>
  <cols>
    <col min="2" max="2" width="66.5546875" customWidth="1"/>
    <col min="3" max="8" width="17.88671875" customWidth="1"/>
    <col min="10" max="11" width="12" style="3" bestFit="1" customWidth="1"/>
    <col min="12" max="12" width="14.88671875" style="3" bestFit="1" customWidth="1"/>
    <col min="13" max="15" width="8.88671875" style="3"/>
  </cols>
  <sheetData>
    <row r="1" spans="1:11">
      <c r="A1" s="17" t="s">
        <v>97</v>
      </c>
      <c r="B1" s="272" t="str">
        <f>Info!C2</f>
        <v>სს "ჰეშ ბანკი"</v>
      </c>
      <c r="C1" s="16"/>
      <c r="D1" s="212"/>
      <c r="E1" s="212"/>
      <c r="F1" s="212"/>
      <c r="G1" s="212"/>
    </row>
    <row r="2" spans="1:11">
      <c r="A2" s="17" t="s">
        <v>98</v>
      </c>
      <c r="B2" s="709">
        <f>'1. key ratios'!B2</f>
        <v>46112</v>
      </c>
      <c r="C2" s="28"/>
      <c r="D2" s="18"/>
      <c r="E2" s="18"/>
      <c r="F2" s="18"/>
      <c r="G2" s="18"/>
      <c r="H2" s="1"/>
    </row>
    <row r="3" spans="1:11">
      <c r="A3" s="17"/>
      <c r="B3" s="16"/>
      <c r="C3" s="28"/>
      <c r="D3" s="18"/>
      <c r="E3" s="18"/>
      <c r="F3" s="18"/>
      <c r="G3" s="18"/>
      <c r="H3" s="1"/>
    </row>
    <row r="4" spans="1:11">
      <c r="A4" s="867" t="s">
        <v>25</v>
      </c>
      <c r="B4" s="865" t="s">
        <v>155</v>
      </c>
      <c r="C4" s="860" t="s">
        <v>103</v>
      </c>
      <c r="D4" s="860"/>
      <c r="E4" s="860"/>
      <c r="F4" s="860" t="s">
        <v>104</v>
      </c>
      <c r="G4" s="860"/>
      <c r="H4" s="861"/>
    </row>
    <row r="5" spans="1:11" ht="15.6" customHeight="1">
      <c r="A5" s="868"/>
      <c r="B5" s="866"/>
      <c r="C5" s="405" t="s">
        <v>26</v>
      </c>
      <c r="D5" s="405" t="s">
        <v>77</v>
      </c>
      <c r="E5" s="405" t="s">
        <v>66</v>
      </c>
      <c r="F5" s="405" t="s">
        <v>26</v>
      </c>
      <c r="G5" s="405" t="s">
        <v>77</v>
      </c>
      <c r="H5" s="405" t="s">
        <v>66</v>
      </c>
    </row>
    <row r="6" spans="1:11">
      <c r="A6" s="435">
        <v>1</v>
      </c>
      <c r="B6" s="406" t="s">
        <v>744</v>
      </c>
      <c r="C6" s="725">
        <f>SUM(C7:C12)</f>
        <v>1447722.42</v>
      </c>
      <c r="D6" s="725">
        <f>SUM(D7:D12)</f>
        <v>35075.15</v>
      </c>
      <c r="E6" s="726">
        <f>C6+D6</f>
        <v>1482797.5699999998</v>
      </c>
      <c r="F6" s="725">
        <v>624519</v>
      </c>
      <c r="G6" s="725">
        <v>2867.17</v>
      </c>
      <c r="H6" s="726">
        <f>F6+G6</f>
        <v>627386.17000000004</v>
      </c>
      <c r="J6" s="845"/>
      <c r="K6" s="845"/>
    </row>
    <row r="7" spans="1:11">
      <c r="A7" s="435">
        <v>1.1000000000000001</v>
      </c>
      <c r="B7" s="407" t="s">
        <v>698</v>
      </c>
      <c r="C7" s="725"/>
      <c r="D7" s="725"/>
      <c r="E7" s="726">
        <f t="shared" ref="E7:E45" si="0">C7+D7</f>
        <v>0</v>
      </c>
      <c r="F7" s="725"/>
      <c r="G7" s="725"/>
      <c r="H7" s="726">
        <f t="shared" ref="H7:H44" si="1">F7+G7</f>
        <v>0</v>
      </c>
    </row>
    <row r="8" spans="1:11" ht="20.399999999999999">
      <c r="A8" s="435">
        <v>1.2</v>
      </c>
      <c r="B8" s="407" t="s">
        <v>745</v>
      </c>
      <c r="C8" s="725"/>
      <c r="D8" s="725"/>
      <c r="E8" s="726">
        <f t="shared" si="0"/>
        <v>0</v>
      </c>
      <c r="F8" s="725"/>
      <c r="G8" s="725"/>
      <c r="H8" s="726">
        <f t="shared" si="1"/>
        <v>0</v>
      </c>
    </row>
    <row r="9" spans="1:11" ht="21.6" customHeight="1">
      <c r="A9" s="435">
        <v>1.3</v>
      </c>
      <c r="B9" s="401" t="s">
        <v>746</v>
      </c>
      <c r="C9" s="725"/>
      <c r="D9" s="725"/>
      <c r="E9" s="726">
        <f t="shared" si="0"/>
        <v>0</v>
      </c>
      <c r="F9" s="725"/>
      <c r="G9" s="725"/>
      <c r="H9" s="726">
        <f t="shared" si="1"/>
        <v>0</v>
      </c>
    </row>
    <row r="10" spans="1:11" ht="20.399999999999999">
      <c r="A10" s="435">
        <v>1.4</v>
      </c>
      <c r="B10" s="401" t="s">
        <v>702</v>
      </c>
      <c r="C10" s="725"/>
      <c r="D10" s="725"/>
      <c r="E10" s="726">
        <f t="shared" si="0"/>
        <v>0</v>
      </c>
      <c r="F10" s="725"/>
      <c r="G10" s="725"/>
      <c r="H10" s="726">
        <f t="shared" si="1"/>
        <v>0</v>
      </c>
    </row>
    <row r="11" spans="1:11">
      <c r="A11" s="435">
        <v>1.5</v>
      </c>
      <c r="B11" s="401" t="s">
        <v>705</v>
      </c>
      <c r="C11" s="720">
        <v>1447722.42</v>
      </c>
      <c r="D11" s="720">
        <v>35075.15</v>
      </c>
      <c r="E11" s="726">
        <f t="shared" si="0"/>
        <v>1482797.5699999998</v>
      </c>
      <c r="F11" s="720">
        <v>624519</v>
      </c>
      <c r="G11" s="725">
        <v>2867.17</v>
      </c>
      <c r="H11" s="726">
        <f t="shared" si="1"/>
        <v>627386.17000000004</v>
      </c>
      <c r="J11" s="841"/>
      <c r="K11" s="841"/>
    </row>
    <row r="12" spans="1:11">
      <c r="A12" s="435">
        <v>1.6</v>
      </c>
      <c r="B12" s="408" t="s">
        <v>88</v>
      </c>
      <c r="C12" s="725">
        <v>0</v>
      </c>
      <c r="D12" s="725">
        <v>0</v>
      </c>
      <c r="E12" s="726">
        <f t="shared" si="0"/>
        <v>0</v>
      </c>
      <c r="F12" s="725"/>
      <c r="G12" s="725"/>
      <c r="H12" s="726">
        <f t="shared" si="1"/>
        <v>0</v>
      </c>
      <c r="J12" s="841"/>
      <c r="K12" s="841"/>
    </row>
    <row r="13" spans="1:11">
      <c r="A13" s="435">
        <v>2</v>
      </c>
      <c r="B13" s="409" t="s">
        <v>747</v>
      </c>
      <c r="C13" s="725">
        <f>SUM(C14:C17)</f>
        <v>-9511.9100000000035</v>
      </c>
      <c r="D13" s="725">
        <f>SUM(D14:D17)</f>
        <v>-28587.010000000002</v>
      </c>
      <c r="E13" s="726">
        <f t="shared" si="0"/>
        <v>-38098.920000000006</v>
      </c>
      <c r="F13" s="725">
        <v>0</v>
      </c>
      <c r="G13" s="725">
        <v>0</v>
      </c>
      <c r="H13" s="726">
        <f t="shared" si="1"/>
        <v>0</v>
      </c>
      <c r="J13" s="845"/>
      <c r="K13" s="845"/>
    </row>
    <row r="14" spans="1:11">
      <c r="A14" s="435">
        <v>2.1</v>
      </c>
      <c r="B14" s="401" t="s">
        <v>748</v>
      </c>
      <c r="C14" s="725"/>
      <c r="D14" s="725"/>
      <c r="E14" s="726">
        <f t="shared" si="0"/>
        <v>0</v>
      </c>
      <c r="F14" s="725"/>
      <c r="G14" s="725"/>
      <c r="H14" s="726">
        <f t="shared" si="1"/>
        <v>0</v>
      </c>
    </row>
    <row r="15" spans="1:11" ht="24.6" customHeight="1">
      <c r="A15" s="435">
        <v>2.2000000000000002</v>
      </c>
      <c r="B15" s="401" t="s">
        <v>749</v>
      </c>
      <c r="C15" s="725"/>
      <c r="D15" s="725"/>
      <c r="E15" s="726">
        <f t="shared" si="0"/>
        <v>0</v>
      </c>
      <c r="F15" s="725"/>
      <c r="G15" s="725"/>
      <c r="H15" s="726">
        <f t="shared" si="1"/>
        <v>0</v>
      </c>
    </row>
    <row r="16" spans="1:11" ht="20.399999999999999" customHeight="1">
      <c r="A16" s="435">
        <v>2.2999999999999998</v>
      </c>
      <c r="B16" s="401" t="s">
        <v>750</v>
      </c>
      <c r="C16" s="725">
        <v>-9511.9100000000035</v>
      </c>
      <c r="D16" s="725">
        <v>-3533.3599999999997</v>
      </c>
      <c r="E16" s="726">
        <f t="shared" si="0"/>
        <v>-13045.270000000004</v>
      </c>
      <c r="F16" s="725"/>
      <c r="G16" s="725"/>
      <c r="H16" s="726">
        <f t="shared" si="1"/>
        <v>0</v>
      </c>
      <c r="J16" s="841"/>
      <c r="K16" s="841"/>
    </row>
    <row r="17" spans="1:11">
      <c r="A17" s="435">
        <v>2.4</v>
      </c>
      <c r="B17" s="401" t="s">
        <v>751</v>
      </c>
      <c r="C17" s="725">
        <v>0</v>
      </c>
      <c r="D17" s="725">
        <v>-25053.65</v>
      </c>
      <c r="E17" s="726">
        <f t="shared" si="0"/>
        <v>-25053.65</v>
      </c>
      <c r="F17" s="725"/>
      <c r="G17" s="725"/>
      <c r="H17" s="726">
        <f t="shared" si="1"/>
        <v>0</v>
      </c>
      <c r="J17" s="841"/>
      <c r="K17" s="841"/>
    </row>
    <row r="18" spans="1:11">
      <c r="A18" s="435">
        <v>3</v>
      </c>
      <c r="B18" s="409" t="s">
        <v>752</v>
      </c>
      <c r="C18" s="725"/>
      <c r="D18" s="725"/>
      <c r="E18" s="726">
        <f t="shared" si="0"/>
        <v>0</v>
      </c>
      <c r="F18" s="725"/>
      <c r="G18" s="725"/>
      <c r="H18" s="726">
        <f t="shared" si="1"/>
        <v>0</v>
      </c>
    </row>
    <row r="19" spans="1:11">
      <c r="A19" s="435">
        <v>4</v>
      </c>
      <c r="B19" s="409" t="s">
        <v>753</v>
      </c>
      <c r="C19" s="720">
        <v>18308.5</v>
      </c>
      <c r="D19" s="720">
        <v>93133.570000000022</v>
      </c>
      <c r="E19" s="726">
        <f t="shared" si="0"/>
        <v>111442.07000000002</v>
      </c>
      <c r="F19" s="725">
        <v>1619</v>
      </c>
      <c r="G19" s="725">
        <v>146</v>
      </c>
      <c r="H19" s="726">
        <f t="shared" si="1"/>
        <v>1765</v>
      </c>
      <c r="J19" s="841"/>
      <c r="K19" s="841"/>
    </row>
    <row r="20" spans="1:11">
      <c r="A20" s="435">
        <v>5</v>
      </c>
      <c r="B20" s="409" t="s">
        <v>754</v>
      </c>
      <c r="C20" s="720">
        <v>-45920.47</v>
      </c>
      <c r="D20" s="720">
        <v>-84194.27</v>
      </c>
      <c r="E20" s="726">
        <f t="shared" si="0"/>
        <v>-130114.74</v>
      </c>
      <c r="F20" s="720">
        <v>-21789</v>
      </c>
      <c r="G20" s="725">
        <v>-175321</v>
      </c>
      <c r="H20" s="726">
        <f t="shared" si="1"/>
        <v>-197110</v>
      </c>
      <c r="J20" s="841"/>
      <c r="K20" s="841"/>
    </row>
    <row r="21" spans="1:11" ht="38.4" customHeight="1">
      <c r="A21" s="435">
        <v>6</v>
      </c>
      <c r="B21" s="409" t="s">
        <v>755</v>
      </c>
      <c r="C21" s="725"/>
      <c r="D21" s="725"/>
      <c r="E21" s="726">
        <f t="shared" si="0"/>
        <v>0</v>
      </c>
      <c r="F21" s="725"/>
      <c r="G21" s="725"/>
      <c r="H21" s="726">
        <f t="shared" si="1"/>
        <v>0</v>
      </c>
    </row>
    <row r="22" spans="1:11" ht="27.6" customHeight="1">
      <c r="A22" s="435">
        <v>7</v>
      </c>
      <c r="B22" s="409" t="s">
        <v>756</v>
      </c>
      <c r="C22" s="725"/>
      <c r="D22" s="725"/>
      <c r="E22" s="726">
        <f t="shared" si="0"/>
        <v>0</v>
      </c>
      <c r="F22" s="725"/>
      <c r="G22" s="725"/>
      <c r="H22" s="726">
        <f t="shared" si="1"/>
        <v>0</v>
      </c>
    </row>
    <row r="23" spans="1:11" ht="36.9" customHeight="1">
      <c r="A23" s="435">
        <v>8</v>
      </c>
      <c r="B23" s="410" t="s">
        <v>757</v>
      </c>
      <c r="C23" s="725"/>
      <c r="D23" s="725"/>
      <c r="E23" s="726">
        <f t="shared" si="0"/>
        <v>0</v>
      </c>
      <c r="F23" s="725"/>
      <c r="G23" s="725"/>
      <c r="H23" s="726">
        <f t="shared" si="1"/>
        <v>0</v>
      </c>
    </row>
    <row r="24" spans="1:11" ht="34.5" customHeight="1">
      <c r="A24" s="435">
        <v>9</v>
      </c>
      <c r="B24" s="410" t="s">
        <v>758</v>
      </c>
      <c r="C24" s="725"/>
      <c r="D24" s="725"/>
      <c r="E24" s="726">
        <f t="shared" si="0"/>
        <v>0</v>
      </c>
      <c r="F24" s="725"/>
      <c r="G24" s="725"/>
      <c r="H24" s="726">
        <f t="shared" si="1"/>
        <v>0</v>
      </c>
    </row>
    <row r="25" spans="1:11">
      <c r="A25" s="435">
        <v>10</v>
      </c>
      <c r="B25" s="409" t="s">
        <v>759</v>
      </c>
      <c r="C25" s="720">
        <v>-38495.689999999995</v>
      </c>
      <c r="D25" s="725">
        <v>0</v>
      </c>
      <c r="E25" s="726">
        <f t="shared" si="0"/>
        <v>-38495.689999999995</v>
      </c>
      <c r="F25" s="720">
        <v>528</v>
      </c>
      <c r="G25" s="725"/>
      <c r="H25" s="726">
        <f t="shared" si="1"/>
        <v>528</v>
      </c>
      <c r="J25" s="841"/>
      <c r="K25" s="841"/>
    </row>
    <row r="26" spans="1:11" ht="27" customHeight="1">
      <c r="A26" s="435">
        <v>11</v>
      </c>
      <c r="B26" s="411" t="s">
        <v>760</v>
      </c>
      <c r="C26" s="725">
        <v>0</v>
      </c>
      <c r="D26" s="725">
        <v>0</v>
      </c>
      <c r="E26" s="726">
        <f t="shared" si="0"/>
        <v>0</v>
      </c>
      <c r="F26" s="725"/>
      <c r="G26" s="725"/>
      <c r="H26" s="726">
        <f t="shared" si="1"/>
        <v>0</v>
      </c>
      <c r="J26" s="841"/>
      <c r="K26" s="841"/>
    </row>
    <row r="27" spans="1:11">
      <c r="A27" s="435">
        <v>12</v>
      </c>
      <c r="B27" s="409" t="s">
        <v>761</v>
      </c>
      <c r="C27" s="720">
        <v>109584.55999999998</v>
      </c>
      <c r="D27" s="720">
        <v>0.56999999999999995</v>
      </c>
      <c r="E27" s="726">
        <f t="shared" si="0"/>
        <v>109585.12999999999</v>
      </c>
      <c r="F27" s="725">
        <v>466</v>
      </c>
      <c r="G27" s="725">
        <v>0</v>
      </c>
      <c r="H27" s="726">
        <f t="shared" si="1"/>
        <v>466</v>
      </c>
      <c r="J27" s="841"/>
      <c r="K27" s="841"/>
    </row>
    <row r="28" spans="1:11">
      <c r="A28" s="435">
        <v>13</v>
      </c>
      <c r="B28" s="412" t="s">
        <v>762</v>
      </c>
      <c r="C28" s="720">
        <v>-581321.44000000018</v>
      </c>
      <c r="D28" s="720">
        <v>-438558.07</v>
      </c>
      <c r="E28" s="726">
        <f t="shared" si="0"/>
        <v>-1019879.5100000002</v>
      </c>
      <c r="F28" s="725">
        <v>-231949</v>
      </c>
      <c r="G28" s="725">
        <v>-149</v>
      </c>
      <c r="H28" s="726">
        <f t="shared" si="1"/>
        <v>-232098</v>
      </c>
      <c r="J28" s="841"/>
      <c r="K28" s="841"/>
    </row>
    <row r="29" spans="1:11">
      <c r="A29" s="435">
        <v>14</v>
      </c>
      <c r="B29" s="413" t="s">
        <v>763</v>
      </c>
      <c r="C29" s="725">
        <f>SUM(C30:C31)</f>
        <v>-2604229.02</v>
      </c>
      <c r="D29" s="725">
        <f>SUM(D30:D31)</f>
        <v>-70381</v>
      </c>
      <c r="E29" s="726">
        <f t="shared" si="0"/>
        <v>-2674610.02</v>
      </c>
      <c r="F29" s="725">
        <v>-1911546</v>
      </c>
      <c r="G29" s="725">
        <v>-229174</v>
      </c>
      <c r="H29" s="726">
        <f t="shared" si="1"/>
        <v>-2140720</v>
      </c>
    </row>
    <row r="30" spans="1:11">
      <c r="A30" s="435">
        <v>14.1</v>
      </c>
      <c r="B30" s="386" t="s">
        <v>764</v>
      </c>
      <c r="C30" s="720">
        <v>-2291317</v>
      </c>
      <c r="D30" s="720">
        <v>0</v>
      </c>
      <c r="E30" s="726">
        <f t="shared" si="0"/>
        <v>-2291317</v>
      </c>
      <c r="F30" s="720">
        <v>-1773942</v>
      </c>
      <c r="G30" s="725">
        <v>0</v>
      </c>
      <c r="H30" s="726">
        <f t="shared" si="1"/>
        <v>-1773942</v>
      </c>
      <c r="J30" s="841"/>
      <c r="K30" s="841"/>
    </row>
    <row r="31" spans="1:11">
      <c r="A31" s="435">
        <v>14.2</v>
      </c>
      <c r="B31" s="386" t="s">
        <v>765</v>
      </c>
      <c r="C31" s="720">
        <v>-312912.01999999996</v>
      </c>
      <c r="D31" s="720">
        <v>-70381</v>
      </c>
      <c r="E31" s="726">
        <f t="shared" si="0"/>
        <v>-383293.01999999996</v>
      </c>
      <c r="F31" s="720">
        <v>-137604</v>
      </c>
      <c r="G31" s="725">
        <v>-229174</v>
      </c>
      <c r="H31" s="726">
        <f t="shared" si="1"/>
        <v>-366778</v>
      </c>
      <c r="J31" s="841"/>
      <c r="K31" s="841"/>
    </row>
    <row r="32" spans="1:11">
      <c r="A32" s="435">
        <v>15</v>
      </c>
      <c r="B32" s="414" t="s">
        <v>766</v>
      </c>
      <c r="C32" s="720">
        <v>-521329.5</v>
      </c>
      <c r="D32" s="725">
        <v>0</v>
      </c>
      <c r="E32" s="726">
        <f t="shared" si="0"/>
        <v>-521329.5</v>
      </c>
      <c r="F32" s="720">
        <v>-167126</v>
      </c>
      <c r="G32" s="725"/>
      <c r="H32" s="726">
        <f t="shared" si="1"/>
        <v>-167126</v>
      </c>
      <c r="J32" s="841"/>
      <c r="K32" s="841"/>
    </row>
    <row r="33" spans="1:12" ht="22.2" customHeight="1">
      <c r="A33" s="435">
        <v>16</v>
      </c>
      <c r="B33" s="382" t="s">
        <v>767</v>
      </c>
      <c r="C33" s="725"/>
      <c r="D33" s="725"/>
      <c r="E33" s="726">
        <f t="shared" si="0"/>
        <v>0</v>
      </c>
      <c r="F33" s="725"/>
      <c r="G33" s="725"/>
      <c r="H33" s="726">
        <f t="shared" si="1"/>
        <v>0</v>
      </c>
      <c r="L33" s="839"/>
    </row>
    <row r="34" spans="1:12">
      <c r="A34" s="435">
        <v>17</v>
      </c>
      <c r="B34" s="409" t="s">
        <v>768</v>
      </c>
      <c r="C34" s="725">
        <f>SUM(C35:C36)</f>
        <v>0</v>
      </c>
      <c r="D34" s="725">
        <f>SUM(D35:D36)</f>
        <v>0</v>
      </c>
      <c r="E34" s="726">
        <f t="shared" si="0"/>
        <v>0</v>
      </c>
      <c r="F34" s="725">
        <v>0</v>
      </c>
      <c r="G34" s="725">
        <v>0</v>
      </c>
      <c r="H34" s="726">
        <f t="shared" si="1"/>
        <v>0</v>
      </c>
    </row>
    <row r="35" spans="1:12">
      <c r="A35" s="435">
        <v>17.100000000000001</v>
      </c>
      <c r="B35" s="415" t="s">
        <v>769</v>
      </c>
      <c r="C35" s="725"/>
      <c r="D35" s="725"/>
      <c r="E35" s="726">
        <f t="shared" si="0"/>
        <v>0</v>
      </c>
      <c r="F35" s="725"/>
      <c r="G35" s="725"/>
      <c r="H35" s="726">
        <f t="shared" si="1"/>
        <v>0</v>
      </c>
      <c r="L35" s="839"/>
    </row>
    <row r="36" spans="1:12">
      <c r="A36" s="435">
        <v>17.2</v>
      </c>
      <c r="B36" s="386" t="s">
        <v>770</v>
      </c>
      <c r="C36" s="725"/>
      <c r="D36" s="725"/>
      <c r="E36" s="726">
        <f t="shared" si="0"/>
        <v>0</v>
      </c>
      <c r="F36" s="725"/>
      <c r="G36" s="725"/>
      <c r="H36" s="726">
        <f t="shared" si="1"/>
        <v>0</v>
      </c>
      <c r="L36" s="839"/>
    </row>
    <row r="37" spans="1:12" ht="41.4" customHeight="1">
      <c r="A37" s="435">
        <v>18</v>
      </c>
      <c r="B37" s="416" t="s">
        <v>771</v>
      </c>
      <c r="C37" s="725">
        <f>SUM(C38:C39)</f>
        <v>-14983.69000000001</v>
      </c>
      <c r="D37" s="725">
        <f>SUM(D38:D39)</f>
        <v>-3972.64</v>
      </c>
      <c r="E37" s="726">
        <f t="shared" si="0"/>
        <v>-18956.330000000009</v>
      </c>
      <c r="F37" s="725">
        <v>-4275.2000000000007</v>
      </c>
      <c r="G37" s="727">
        <v>-972</v>
      </c>
      <c r="H37" s="726">
        <f t="shared" si="1"/>
        <v>-5247.2000000000007</v>
      </c>
      <c r="L37" s="839"/>
    </row>
    <row r="38" spans="1:12" ht="20.399999999999999">
      <c r="A38" s="435">
        <v>18.100000000000001</v>
      </c>
      <c r="B38" s="401" t="s">
        <v>772</v>
      </c>
      <c r="C38" s="725"/>
      <c r="D38" s="725"/>
      <c r="E38" s="726">
        <f t="shared" si="0"/>
        <v>0</v>
      </c>
      <c r="F38" s="725"/>
      <c r="G38" s="725"/>
      <c r="H38" s="726">
        <f t="shared" si="1"/>
        <v>0</v>
      </c>
      <c r="L38" s="839"/>
    </row>
    <row r="39" spans="1:12">
      <c r="A39" s="435">
        <v>18.2</v>
      </c>
      <c r="B39" s="401" t="s">
        <v>773</v>
      </c>
      <c r="C39" s="720">
        <v>-14983.69000000001</v>
      </c>
      <c r="D39" s="720">
        <v>-3972.64</v>
      </c>
      <c r="E39" s="726">
        <f t="shared" si="0"/>
        <v>-18956.330000000009</v>
      </c>
      <c r="F39" s="720">
        <v>-4275.2000000000007</v>
      </c>
      <c r="G39" s="725">
        <v>-972</v>
      </c>
      <c r="H39" s="726">
        <f t="shared" si="1"/>
        <v>-5247.2000000000007</v>
      </c>
      <c r="J39" s="841"/>
      <c r="K39" s="841"/>
      <c r="L39" s="843"/>
    </row>
    <row r="40" spans="1:12" ht="24.6" customHeight="1">
      <c r="A40" s="435">
        <v>19</v>
      </c>
      <c r="B40" s="416" t="s">
        <v>774</v>
      </c>
      <c r="C40" s="725"/>
      <c r="D40" s="725"/>
      <c r="E40" s="726">
        <f t="shared" si="0"/>
        <v>0</v>
      </c>
      <c r="F40" s="725"/>
      <c r="G40" s="725"/>
      <c r="H40" s="726">
        <f t="shared" si="1"/>
        <v>0</v>
      </c>
      <c r="L40" s="839"/>
    </row>
    <row r="41" spans="1:12" ht="24.9" customHeight="1">
      <c r="A41" s="435">
        <v>20</v>
      </c>
      <c r="B41" s="416" t="s">
        <v>775</v>
      </c>
      <c r="C41" s="725"/>
      <c r="D41" s="725"/>
      <c r="E41" s="726">
        <f t="shared" si="0"/>
        <v>0</v>
      </c>
      <c r="F41" s="725"/>
      <c r="G41" s="725"/>
      <c r="H41" s="726">
        <f t="shared" si="1"/>
        <v>0</v>
      </c>
    </row>
    <row r="42" spans="1:12" ht="33" customHeight="1">
      <c r="A42" s="435">
        <v>21</v>
      </c>
      <c r="B42" s="417" t="s">
        <v>776</v>
      </c>
      <c r="C42" s="725"/>
      <c r="D42" s="725"/>
      <c r="E42" s="726">
        <f t="shared" si="0"/>
        <v>0</v>
      </c>
      <c r="F42" s="725"/>
      <c r="G42" s="725"/>
      <c r="H42" s="726">
        <f t="shared" si="1"/>
        <v>0</v>
      </c>
    </row>
    <row r="43" spans="1:12">
      <c r="A43" s="435">
        <v>22</v>
      </c>
      <c r="B43" s="418" t="s">
        <v>777</v>
      </c>
      <c r="C43" s="725">
        <f>SUM(C6,C13,C18,C19,C20,C21,C22,C23,C24,C25,C26,C27,C28,C29,C32,C33,C34,C37,C40,C41,C42)</f>
        <v>-2240176.2399999998</v>
      </c>
      <c r="D43" s="725">
        <f>SUM(D6,D13,D18,D19,D20,D21,D22,D23,D24,D25,D26,D27,D28,D29,D32,D33,D34,D37,D40,D41,D42)</f>
        <v>-497483.7</v>
      </c>
      <c r="E43" s="726">
        <f t="shared" si="0"/>
        <v>-2737659.94</v>
      </c>
      <c r="F43" s="725">
        <v>-1709553.2</v>
      </c>
      <c r="G43" s="725">
        <v>-402602.82999999996</v>
      </c>
      <c r="H43" s="726">
        <f t="shared" si="1"/>
        <v>-2112156.0299999998</v>
      </c>
    </row>
    <row r="44" spans="1:12">
      <c r="A44" s="435">
        <v>23</v>
      </c>
      <c r="B44" s="418" t="s">
        <v>778</v>
      </c>
      <c r="C44" s="720">
        <v>0</v>
      </c>
      <c r="D44" s="725"/>
      <c r="E44" s="726">
        <f t="shared" si="0"/>
        <v>0</v>
      </c>
      <c r="F44" s="720">
        <v>23215</v>
      </c>
      <c r="G44" s="725"/>
      <c r="H44" s="726">
        <f t="shared" si="1"/>
        <v>23215</v>
      </c>
      <c r="J44" s="841"/>
    </row>
    <row r="45" spans="1:12">
      <c r="A45" s="435">
        <v>24</v>
      </c>
      <c r="B45" s="418" t="s">
        <v>779</v>
      </c>
      <c r="C45" s="728">
        <f>C43+C44</f>
        <v>-2240176.2399999998</v>
      </c>
      <c r="D45" s="728">
        <f>D43+D44</f>
        <v>-497483.7</v>
      </c>
      <c r="E45" s="726">
        <f t="shared" si="0"/>
        <v>-2737659.94</v>
      </c>
      <c r="F45" s="728">
        <v>-1686338.2</v>
      </c>
      <c r="G45" s="728">
        <v>-402602.82999999996</v>
      </c>
      <c r="H45" s="726">
        <f>F45+G45</f>
        <v>-2088941.0299999998</v>
      </c>
    </row>
    <row r="46" spans="1:12">
      <c r="C46" s="742">
        <v>0</v>
      </c>
      <c r="D46" s="796">
        <v>0</v>
      </c>
      <c r="E46" s="742">
        <f>E69-E36</f>
        <v>0</v>
      </c>
    </row>
  </sheetData>
  <mergeCells count="4">
    <mergeCell ref="B4:B5"/>
    <mergeCell ref="C4:E4"/>
    <mergeCell ref="F4:H4"/>
    <mergeCell ref="A4:A5"/>
  </mergeCell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tint="-9.9978637043366805E-2"/>
  </sheetPr>
  <dimension ref="A1:H47"/>
  <sheetViews>
    <sheetView zoomScale="115" zoomScaleNormal="115" workbookViewId="0"/>
  </sheetViews>
  <sheetFormatPr defaultRowHeight="14.4"/>
  <cols>
    <col min="1" max="1" width="8.88671875" style="432"/>
    <col min="2" max="2" width="87.5546875" bestFit="1" customWidth="1"/>
    <col min="3" max="8" width="12.88671875" customWidth="1"/>
  </cols>
  <sheetData>
    <row r="1" spans="1:8">
      <c r="A1" s="17" t="s">
        <v>97</v>
      </c>
      <c r="B1" s="272" t="str">
        <f>Info!C2</f>
        <v>სს "ჰეშ ბანკი"</v>
      </c>
      <c r="C1" s="16"/>
      <c r="D1" s="212"/>
      <c r="E1" s="212"/>
      <c r="F1" s="212"/>
      <c r="G1" s="212"/>
    </row>
    <row r="2" spans="1:8">
      <c r="A2" s="17" t="s">
        <v>98</v>
      </c>
      <c r="B2" s="709">
        <f>'1. key ratios'!B2</f>
        <v>46112</v>
      </c>
      <c r="C2" s="28"/>
      <c r="D2" s="18"/>
      <c r="E2" s="18"/>
      <c r="F2" s="18"/>
      <c r="G2" s="18"/>
      <c r="H2" s="1"/>
    </row>
    <row r="3" spans="1:8">
      <c r="A3" s="17"/>
      <c r="B3" s="16"/>
      <c r="C3" s="28"/>
      <c r="D3" s="18"/>
      <c r="E3" s="18"/>
      <c r="F3" s="18"/>
      <c r="G3" s="18"/>
      <c r="H3" s="1"/>
    </row>
    <row r="4" spans="1:8">
      <c r="A4" s="857" t="s">
        <v>25</v>
      </c>
      <c r="B4" s="869" t="s">
        <v>140</v>
      </c>
      <c r="C4" s="870" t="s">
        <v>103</v>
      </c>
      <c r="D4" s="870"/>
      <c r="E4" s="870"/>
      <c r="F4" s="870" t="s">
        <v>104</v>
      </c>
      <c r="G4" s="870"/>
      <c r="H4" s="871"/>
    </row>
    <row r="5" spans="1:8">
      <c r="A5" s="857"/>
      <c r="B5" s="869"/>
      <c r="C5" s="405" t="s">
        <v>26</v>
      </c>
      <c r="D5" s="405" t="s">
        <v>77</v>
      </c>
      <c r="E5" s="405" t="s">
        <v>66</v>
      </c>
      <c r="F5" s="405" t="s">
        <v>26</v>
      </c>
      <c r="G5" s="405" t="s">
        <v>77</v>
      </c>
      <c r="H5" s="419" t="s">
        <v>66</v>
      </c>
    </row>
    <row r="6" spans="1:8">
      <c r="A6" s="420">
        <v>1</v>
      </c>
      <c r="B6" s="424" t="s">
        <v>780</v>
      </c>
      <c r="C6" s="421"/>
      <c r="D6" s="421"/>
      <c r="E6" s="422">
        <f t="shared" ref="E6:E43" si="0">C6+D6</f>
        <v>0</v>
      </c>
      <c r="F6" s="421"/>
      <c r="G6" s="421"/>
      <c r="H6" s="423">
        <f t="shared" ref="H6:H43" si="1">F6+G6</f>
        <v>0</v>
      </c>
    </row>
    <row r="7" spans="1:8">
      <c r="A7" s="420">
        <v>2</v>
      </c>
      <c r="B7" s="424" t="s">
        <v>166</v>
      </c>
      <c r="C7" s="421"/>
      <c r="D7" s="421"/>
      <c r="E7" s="422">
        <f t="shared" si="0"/>
        <v>0</v>
      </c>
      <c r="F7" s="421"/>
      <c r="G7" s="421"/>
      <c r="H7" s="423">
        <f t="shared" si="1"/>
        <v>0</v>
      </c>
    </row>
    <row r="8" spans="1:8">
      <c r="A8" s="420">
        <v>3</v>
      </c>
      <c r="B8" s="424" t="s">
        <v>168</v>
      </c>
      <c r="C8" s="421">
        <f>C9+C10</f>
        <v>0</v>
      </c>
      <c r="D8" s="421">
        <f>D9+D10</f>
        <v>0</v>
      </c>
      <c r="E8" s="422">
        <f t="shared" si="0"/>
        <v>0</v>
      </c>
      <c r="F8" s="421">
        <f>F9+F10</f>
        <v>0</v>
      </c>
      <c r="G8" s="421">
        <f>G9+G10</f>
        <v>0</v>
      </c>
      <c r="H8" s="423">
        <f t="shared" si="1"/>
        <v>0</v>
      </c>
    </row>
    <row r="9" spans="1:8">
      <c r="A9" s="420">
        <v>3.1</v>
      </c>
      <c r="B9" s="425" t="s">
        <v>781</v>
      </c>
      <c r="C9" s="421"/>
      <c r="D9" s="421"/>
      <c r="E9" s="422">
        <f t="shared" si="0"/>
        <v>0</v>
      </c>
      <c r="F9" s="421"/>
      <c r="G9" s="421"/>
      <c r="H9" s="423">
        <f t="shared" si="1"/>
        <v>0</v>
      </c>
    </row>
    <row r="10" spans="1:8">
      <c r="A10" s="420">
        <v>3.2</v>
      </c>
      <c r="B10" s="425" t="s">
        <v>782</v>
      </c>
      <c r="C10" s="421"/>
      <c r="D10" s="421"/>
      <c r="E10" s="422">
        <f t="shared" si="0"/>
        <v>0</v>
      </c>
      <c r="F10" s="421"/>
      <c r="G10" s="421"/>
      <c r="H10" s="423">
        <f t="shared" si="1"/>
        <v>0</v>
      </c>
    </row>
    <row r="11" spans="1:8">
      <c r="A11" s="420">
        <v>4</v>
      </c>
      <c r="B11" s="424" t="s">
        <v>167</v>
      </c>
      <c r="C11" s="421">
        <f>C12+C13</f>
        <v>0</v>
      </c>
      <c r="D11" s="421">
        <f>D12+D13</f>
        <v>0</v>
      </c>
      <c r="E11" s="422">
        <f t="shared" si="0"/>
        <v>0</v>
      </c>
      <c r="F11" s="421">
        <f>F12+F13</f>
        <v>0</v>
      </c>
      <c r="G11" s="421">
        <f>G12+G13</f>
        <v>0</v>
      </c>
      <c r="H11" s="423">
        <f t="shared" si="1"/>
        <v>0</v>
      </c>
    </row>
    <row r="12" spans="1:8">
      <c r="A12" s="420">
        <v>4.0999999999999996</v>
      </c>
      <c r="B12" s="425" t="s">
        <v>783</v>
      </c>
      <c r="C12" s="421"/>
      <c r="D12" s="421"/>
      <c r="E12" s="422">
        <f t="shared" si="0"/>
        <v>0</v>
      </c>
      <c r="F12" s="421"/>
      <c r="G12" s="421"/>
      <c r="H12" s="423">
        <f t="shared" si="1"/>
        <v>0</v>
      </c>
    </row>
    <row r="13" spans="1:8">
      <c r="A13" s="420">
        <v>4.2</v>
      </c>
      <c r="B13" s="425" t="s">
        <v>784</v>
      </c>
      <c r="C13" s="421"/>
      <c r="D13" s="421"/>
      <c r="E13" s="422">
        <f t="shared" si="0"/>
        <v>0</v>
      </c>
      <c r="F13" s="421"/>
      <c r="G13" s="421"/>
      <c r="H13" s="423">
        <f t="shared" si="1"/>
        <v>0</v>
      </c>
    </row>
    <row r="14" spans="1:8">
      <c r="A14" s="420">
        <v>5</v>
      </c>
      <c r="B14" s="426" t="s">
        <v>785</v>
      </c>
      <c r="C14" s="421">
        <f>C15+C16+C17+C23+C24+C25+C26</f>
        <v>0</v>
      </c>
      <c r="D14" s="421">
        <f>D15+D16+D17+D23+D24+D25+D26</f>
        <v>0</v>
      </c>
      <c r="E14" s="422">
        <f t="shared" si="0"/>
        <v>0</v>
      </c>
      <c r="F14" s="421">
        <f>F15+F16+F17+F23+F24+F25+F26</f>
        <v>0</v>
      </c>
      <c r="G14" s="421">
        <f>G15+G16+G17+G23+G24+G25+G26</f>
        <v>0</v>
      </c>
      <c r="H14" s="423">
        <f t="shared" si="1"/>
        <v>0</v>
      </c>
    </row>
    <row r="15" spans="1:8">
      <c r="A15" s="420">
        <v>5.0999999999999996</v>
      </c>
      <c r="B15" s="427" t="s">
        <v>786</v>
      </c>
      <c r="C15" s="421"/>
      <c r="D15" s="421"/>
      <c r="E15" s="422">
        <f t="shared" si="0"/>
        <v>0</v>
      </c>
      <c r="F15" s="421"/>
      <c r="G15" s="421"/>
      <c r="H15" s="423">
        <f t="shared" si="1"/>
        <v>0</v>
      </c>
    </row>
    <row r="16" spans="1:8">
      <c r="A16" s="420">
        <v>5.2</v>
      </c>
      <c r="B16" s="427" t="s">
        <v>787</v>
      </c>
      <c r="C16" s="421"/>
      <c r="D16" s="421"/>
      <c r="E16" s="422">
        <f t="shared" si="0"/>
        <v>0</v>
      </c>
      <c r="F16" s="421"/>
      <c r="G16" s="421"/>
      <c r="H16" s="423">
        <f t="shared" si="1"/>
        <v>0</v>
      </c>
    </row>
    <row r="17" spans="1:8">
      <c r="A17" s="420">
        <v>5.3</v>
      </c>
      <c r="B17" s="427" t="s">
        <v>788</v>
      </c>
      <c r="C17" s="421">
        <f>C18+C19+C20+C21+C22</f>
        <v>0</v>
      </c>
      <c r="D17" s="421">
        <f>D18+D19+D20+D21+D22</f>
        <v>0</v>
      </c>
      <c r="E17" s="422">
        <f t="shared" si="0"/>
        <v>0</v>
      </c>
      <c r="F17" s="421"/>
      <c r="G17" s="421"/>
      <c r="H17" s="423">
        <f t="shared" si="1"/>
        <v>0</v>
      </c>
    </row>
    <row r="18" spans="1:8">
      <c r="A18" s="420" t="s">
        <v>169</v>
      </c>
      <c r="B18" s="428" t="s">
        <v>789</v>
      </c>
      <c r="C18" s="421"/>
      <c r="D18" s="421"/>
      <c r="E18" s="422">
        <f t="shared" si="0"/>
        <v>0</v>
      </c>
      <c r="F18" s="421"/>
      <c r="G18" s="421"/>
      <c r="H18" s="423">
        <f t="shared" si="1"/>
        <v>0</v>
      </c>
    </row>
    <row r="19" spans="1:8">
      <c r="A19" s="420" t="s">
        <v>170</v>
      </c>
      <c r="B19" s="429" t="s">
        <v>790</v>
      </c>
      <c r="C19" s="421"/>
      <c r="D19" s="421"/>
      <c r="E19" s="422">
        <f t="shared" si="0"/>
        <v>0</v>
      </c>
      <c r="F19" s="421"/>
      <c r="G19" s="421"/>
      <c r="H19" s="423">
        <f t="shared" si="1"/>
        <v>0</v>
      </c>
    </row>
    <row r="20" spans="1:8">
      <c r="A20" s="420" t="s">
        <v>171</v>
      </c>
      <c r="B20" s="429" t="s">
        <v>791</v>
      </c>
      <c r="C20" s="421"/>
      <c r="D20" s="421"/>
      <c r="E20" s="422">
        <f t="shared" si="0"/>
        <v>0</v>
      </c>
      <c r="F20" s="421"/>
      <c r="G20" s="421"/>
      <c r="H20" s="423">
        <f t="shared" si="1"/>
        <v>0</v>
      </c>
    </row>
    <row r="21" spans="1:8">
      <c r="A21" s="420" t="s">
        <v>172</v>
      </c>
      <c r="B21" s="429" t="s">
        <v>792</v>
      </c>
      <c r="C21" s="421"/>
      <c r="D21" s="421"/>
      <c r="E21" s="422">
        <f t="shared" si="0"/>
        <v>0</v>
      </c>
      <c r="F21" s="421"/>
      <c r="G21" s="421"/>
      <c r="H21" s="423">
        <f t="shared" si="1"/>
        <v>0</v>
      </c>
    </row>
    <row r="22" spans="1:8">
      <c r="A22" s="420" t="s">
        <v>173</v>
      </c>
      <c r="B22" s="429" t="s">
        <v>510</v>
      </c>
      <c r="C22" s="421"/>
      <c r="D22" s="421"/>
      <c r="E22" s="422">
        <f t="shared" si="0"/>
        <v>0</v>
      </c>
      <c r="F22" s="421"/>
      <c r="G22" s="421"/>
      <c r="H22" s="423">
        <f t="shared" si="1"/>
        <v>0</v>
      </c>
    </row>
    <row r="23" spans="1:8">
      <c r="A23" s="420">
        <v>5.4</v>
      </c>
      <c r="B23" s="427" t="s">
        <v>793</v>
      </c>
      <c r="C23" s="421"/>
      <c r="D23" s="421"/>
      <c r="E23" s="422">
        <f t="shared" si="0"/>
        <v>0</v>
      </c>
      <c r="F23" s="421"/>
      <c r="G23" s="421"/>
      <c r="H23" s="423">
        <f t="shared" si="1"/>
        <v>0</v>
      </c>
    </row>
    <row r="24" spans="1:8">
      <c r="A24" s="420">
        <v>5.5</v>
      </c>
      <c r="B24" s="427" t="s">
        <v>794</v>
      </c>
      <c r="C24" s="421"/>
      <c r="D24" s="421"/>
      <c r="E24" s="422">
        <f t="shared" si="0"/>
        <v>0</v>
      </c>
      <c r="F24" s="421"/>
      <c r="G24" s="421"/>
      <c r="H24" s="423">
        <f t="shared" si="1"/>
        <v>0</v>
      </c>
    </row>
    <row r="25" spans="1:8">
      <c r="A25" s="420">
        <v>5.6</v>
      </c>
      <c r="B25" s="427" t="s">
        <v>795</v>
      </c>
      <c r="C25" s="421"/>
      <c r="D25" s="421"/>
      <c r="E25" s="422">
        <f t="shared" si="0"/>
        <v>0</v>
      </c>
      <c r="F25" s="421"/>
      <c r="G25" s="421"/>
      <c r="H25" s="423">
        <f t="shared" si="1"/>
        <v>0</v>
      </c>
    </row>
    <row r="26" spans="1:8">
      <c r="A26" s="420">
        <v>5.7</v>
      </c>
      <c r="B26" s="427" t="s">
        <v>510</v>
      </c>
      <c r="C26" s="421"/>
      <c r="D26" s="421"/>
      <c r="E26" s="422">
        <f t="shared" si="0"/>
        <v>0</v>
      </c>
      <c r="F26" s="421"/>
      <c r="G26" s="421"/>
      <c r="H26" s="423">
        <f t="shared" si="1"/>
        <v>0</v>
      </c>
    </row>
    <row r="27" spans="1:8">
      <c r="A27" s="420">
        <v>6</v>
      </c>
      <c r="B27" s="426" t="s">
        <v>796</v>
      </c>
      <c r="C27" s="421"/>
      <c r="D27" s="421"/>
      <c r="E27" s="422">
        <f t="shared" si="0"/>
        <v>0</v>
      </c>
      <c r="F27" s="421"/>
      <c r="G27" s="421"/>
      <c r="H27" s="423">
        <f t="shared" si="1"/>
        <v>0</v>
      </c>
    </row>
    <row r="28" spans="1:8">
      <c r="A28" s="420">
        <v>7</v>
      </c>
      <c r="B28" s="426" t="s">
        <v>797</v>
      </c>
      <c r="C28" s="421"/>
      <c r="D28" s="421"/>
      <c r="E28" s="422">
        <f t="shared" si="0"/>
        <v>0</v>
      </c>
      <c r="F28" s="421"/>
      <c r="G28" s="421"/>
      <c r="H28" s="423">
        <f t="shared" si="1"/>
        <v>0</v>
      </c>
    </row>
    <row r="29" spans="1:8">
      <c r="A29" s="420">
        <v>8</v>
      </c>
      <c r="B29" s="426" t="s">
        <v>798</v>
      </c>
      <c r="C29" s="421"/>
      <c r="D29" s="421"/>
      <c r="E29" s="422">
        <f t="shared" si="0"/>
        <v>0</v>
      </c>
      <c r="F29" s="421"/>
      <c r="G29" s="421"/>
      <c r="H29" s="423">
        <f t="shared" si="1"/>
        <v>0</v>
      </c>
    </row>
    <row r="30" spans="1:8">
      <c r="A30" s="420">
        <v>9</v>
      </c>
      <c r="B30" s="424" t="s">
        <v>174</v>
      </c>
      <c r="C30" s="421">
        <f>C31+C32+C33+C34+C35+C36+C37</f>
        <v>0</v>
      </c>
      <c r="D30" s="421">
        <f>D31+D32+D33+D34+D35+D36+D37</f>
        <v>0</v>
      </c>
      <c r="E30" s="422">
        <f t="shared" si="0"/>
        <v>0</v>
      </c>
      <c r="F30" s="421">
        <f>F31+F32+F33+F34+F35+F36+F37</f>
        <v>0</v>
      </c>
      <c r="G30" s="421">
        <f>G31+G32+G33+G34+G35+G36+G37</f>
        <v>0</v>
      </c>
      <c r="H30" s="423">
        <f t="shared" si="1"/>
        <v>0</v>
      </c>
    </row>
    <row r="31" spans="1:8" ht="27.6">
      <c r="A31" s="420">
        <v>9.1</v>
      </c>
      <c r="B31" s="425" t="s">
        <v>799</v>
      </c>
      <c r="C31" s="421"/>
      <c r="D31" s="421"/>
      <c r="E31" s="422">
        <f t="shared" si="0"/>
        <v>0</v>
      </c>
      <c r="F31" s="421"/>
      <c r="G31" s="421"/>
      <c r="H31" s="423">
        <f t="shared" si="1"/>
        <v>0</v>
      </c>
    </row>
    <row r="32" spans="1:8" ht="27.6">
      <c r="A32" s="420">
        <v>9.1999999999999993</v>
      </c>
      <c r="B32" s="425" t="s">
        <v>800</v>
      </c>
      <c r="C32" s="421"/>
      <c r="D32" s="421"/>
      <c r="E32" s="422">
        <f t="shared" si="0"/>
        <v>0</v>
      </c>
      <c r="F32" s="421"/>
      <c r="G32" s="421"/>
      <c r="H32" s="423">
        <f t="shared" si="1"/>
        <v>0</v>
      </c>
    </row>
    <row r="33" spans="1:8" ht="27.6">
      <c r="A33" s="420">
        <v>9.3000000000000007</v>
      </c>
      <c r="B33" s="425" t="s">
        <v>801</v>
      </c>
      <c r="C33" s="421"/>
      <c r="D33" s="421"/>
      <c r="E33" s="422">
        <f t="shared" si="0"/>
        <v>0</v>
      </c>
      <c r="F33" s="421"/>
      <c r="G33" s="421"/>
      <c r="H33" s="423">
        <f t="shared" si="1"/>
        <v>0</v>
      </c>
    </row>
    <row r="34" spans="1:8">
      <c r="A34" s="420">
        <v>9.4</v>
      </c>
      <c r="B34" s="425" t="s">
        <v>802</v>
      </c>
      <c r="C34" s="421"/>
      <c r="D34" s="421"/>
      <c r="E34" s="422">
        <f t="shared" si="0"/>
        <v>0</v>
      </c>
      <c r="F34" s="421"/>
      <c r="G34" s="421"/>
      <c r="H34" s="423">
        <f t="shared" si="1"/>
        <v>0</v>
      </c>
    </row>
    <row r="35" spans="1:8">
      <c r="A35" s="420">
        <v>9.5</v>
      </c>
      <c r="B35" s="425" t="s">
        <v>803</v>
      </c>
      <c r="C35" s="421"/>
      <c r="D35" s="421"/>
      <c r="E35" s="422">
        <f t="shared" si="0"/>
        <v>0</v>
      </c>
      <c r="F35" s="421"/>
      <c r="G35" s="421"/>
      <c r="H35" s="423">
        <f t="shared" si="1"/>
        <v>0</v>
      </c>
    </row>
    <row r="36" spans="1:8" ht="27.6">
      <c r="A36" s="420">
        <v>9.6</v>
      </c>
      <c r="B36" s="425" t="s">
        <v>804</v>
      </c>
      <c r="C36" s="421"/>
      <c r="D36" s="421"/>
      <c r="E36" s="422">
        <f t="shared" si="0"/>
        <v>0</v>
      </c>
      <c r="F36" s="421"/>
      <c r="G36" s="421"/>
      <c r="H36" s="423">
        <f t="shared" si="1"/>
        <v>0</v>
      </c>
    </row>
    <row r="37" spans="1:8" ht="27.6">
      <c r="A37" s="420">
        <v>9.6999999999999993</v>
      </c>
      <c r="B37" s="425" t="s">
        <v>805</v>
      </c>
      <c r="C37" s="421"/>
      <c r="D37" s="421"/>
      <c r="E37" s="422">
        <f t="shared" si="0"/>
        <v>0</v>
      </c>
      <c r="F37" s="421"/>
      <c r="G37" s="421"/>
      <c r="H37" s="423">
        <f t="shared" si="1"/>
        <v>0</v>
      </c>
    </row>
    <row r="38" spans="1:8">
      <c r="A38" s="420">
        <v>10</v>
      </c>
      <c r="B38" s="430" t="s">
        <v>806</v>
      </c>
      <c r="C38" s="654">
        <f>C41+C42</f>
        <v>0</v>
      </c>
      <c r="D38" s="654">
        <f>D41+D42</f>
        <v>0</v>
      </c>
      <c r="E38" s="422">
        <f t="shared" si="0"/>
        <v>0</v>
      </c>
      <c r="F38" s="654">
        <f>F41+F42</f>
        <v>0</v>
      </c>
      <c r="G38" s="654">
        <f>G41+G42</f>
        <v>0</v>
      </c>
      <c r="H38" s="423">
        <f t="shared" si="1"/>
        <v>0</v>
      </c>
    </row>
    <row r="39" spans="1:8">
      <c r="A39" s="420">
        <v>10.1</v>
      </c>
      <c r="B39" s="425" t="s">
        <v>807</v>
      </c>
      <c r="C39" s="421"/>
      <c r="D39" s="421"/>
      <c r="E39" s="422">
        <f t="shared" si="0"/>
        <v>0</v>
      </c>
      <c r="F39" s="421"/>
      <c r="G39" s="421"/>
      <c r="H39" s="423">
        <f t="shared" si="1"/>
        <v>0</v>
      </c>
    </row>
    <row r="40" spans="1:8" ht="27.6">
      <c r="A40" s="420">
        <v>10.199999999999999</v>
      </c>
      <c r="B40" s="425" t="s">
        <v>808</v>
      </c>
      <c r="C40" s="421"/>
      <c r="D40" s="421"/>
      <c r="E40" s="422">
        <f t="shared" si="0"/>
        <v>0</v>
      </c>
      <c r="F40" s="421"/>
      <c r="G40" s="421"/>
      <c r="H40" s="423">
        <f t="shared" si="1"/>
        <v>0</v>
      </c>
    </row>
    <row r="41" spans="1:8" ht="27.6">
      <c r="A41" s="420">
        <v>10.3</v>
      </c>
      <c r="B41" s="425" t="s">
        <v>809</v>
      </c>
      <c r="C41" s="421"/>
      <c r="D41" s="421"/>
      <c r="E41" s="422">
        <f t="shared" si="0"/>
        <v>0</v>
      </c>
      <c r="F41" s="421"/>
      <c r="G41" s="421"/>
      <c r="H41" s="423">
        <f t="shared" si="1"/>
        <v>0</v>
      </c>
    </row>
    <row r="42" spans="1:8" ht="27.6">
      <c r="A42" s="420">
        <v>10.4</v>
      </c>
      <c r="B42" s="425" t="s">
        <v>810</v>
      </c>
      <c r="C42" s="421"/>
      <c r="D42" s="421"/>
      <c r="E42" s="422">
        <f t="shared" si="0"/>
        <v>0</v>
      </c>
      <c r="F42" s="421"/>
      <c r="G42" s="421"/>
      <c r="H42" s="423">
        <f t="shared" si="1"/>
        <v>0</v>
      </c>
    </row>
    <row r="43" spans="1:8">
      <c r="A43" s="420">
        <v>11</v>
      </c>
      <c r="B43" s="431" t="s">
        <v>175</v>
      </c>
      <c r="C43" s="421"/>
      <c r="D43" s="421"/>
      <c r="E43" s="422">
        <f t="shared" si="0"/>
        <v>0</v>
      </c>
      <c r="F43" s="421"/>
      <c r="G43" s="421"/>
      <c r="H43" s="423">
        <f t="shared" si="1"/>
        <v>0</v>
      </c>
    </row>
    <row r="44" spans="1:8">
      <c r="C44" s="433"/>
      <c r="D44" s="433"/>
      <c r="E44" s="433"/>
      <c r="F44" s="433"/>
      <c r="G44" s="433"/>
      <c r="H44" s="433"/>
    </row>
    <row r="45" spans="1:8">
      <c r="C45" s="433"/>
      <c r="D45" s="433"/>
      <c r="E45" s="433"/>
      <c r="F45" s="433"/>
      <c r="G45" s="433"/>
      <c r="H45" s="433"/>
    </row>
    <row r="46" spans="1:8">
      <c r="C46" s="433"/>
      <c r="D46" s="433"/>
      <c r="E46" s="433"/>
      <c r="F46" s="433"/>
      <c r="G46" s="433"/>
      <c r="H46" s="433"/>
    </row>
    <row r="47" spans="1:8">
      <c r="C47" s="433"/>
      <c r="D47" s="433"/>
      <c r="E47" s="433"/>
      <c r="F47" s="433"/>
      <c r="G47" s="433"/>
      <c r="H47" s="433"/>
    </row>
  </sheetData>
  <mergeCells count="4">
    <mergeCell ref="A4:A5"/>
    <mergeCell ref="B4:B5"/>
    <mergeCell ref="C4:E4"/>
    <mergeCell ref="F4:H4"/>
  </mergeCell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2" tint="-9.9978637043366805E-2"/>
  </sheetPr>
  <dimension ref="A1:J18"/>
  <sheetViews>
    <sheetView zoomScale="115" zoomScaleNormal="115" workbookViewId="0">
      <pane xSplit="1" ySplit="4" topLeftCell="B5" activePane="bottomRight" state="frozen"/>
      <selection activeCell="B2" sqref="B2"/>
      <selection pane="topRight" activeCell="B2" sqref="B2"/>
      <selection pane="bottomLeft" activeCell="B2" sqref="B2"/>
      <selection pane="bottomRight"/>
    </sheetView>
  </sheetViews>
  <sheetFormatPr defaultColWidth="9.109375" defaultRowHeight="13.8"/>
  <cols>
    <col min="1" max="1" width="9.5546875" style="2" bestFit="1" customWidth="1"/>
    <col min="2" max="2" width="93.5546875" style="2" customWidth="1"/>
    <col min="3" max="4" width="12.88671875" style="2" customWidth="1"/>
    <col min="5" max="7" width="10.88671875" style="12" bestFit="1" customWidth="1"/>
    <col min="8" max="11" width="9.88671875" style="12" customWidth="1"/>
    <col min="12" max="16384" width="9.109375" style="12"/>
  </cols>
  <sheetData>
    <row r="1" spans="1:10">
      <c r="A1" s="17" t="s">
        <v>97</v>
      </c>
      <c r="B1" s="16" t="str">
        <f>Info!C2</f>
        <v>სს "ჰეშ ბანკი"</v>
      </c>
      <c r="C1" s="16"/>
      <c r="D1" s="212"/>
    </row>
    <row r="2" spans="1:10">
      <c r="A2" s="17" t="s">
        <v>98</v>
      </c>
      <c r="B2" s="709">
        <f>'1. key ratios'!B2</f>
        <v>46112</v>
      </c>
      <c r="C2" s="28"/>
      <c r="D2" s="18"/>
      <c r="E2" s="11"/>
      <c r="F2" s="11"/>
      <c r="G2" s="11"/>
      <c r="H2" s="11"/>
    </row>
    <row r="3" spans="1:10">
      <c r="A3" s="17"/>
      <c r="B3" s="16"/>
      <c r="C3" s="28"/>
      <c r="D3" s="18"/>
      <c r="E3" s="11"/>
      <c r="F3" s="11"/>
      <c r="G3" s="11"/>
      <c r="H3" s="11"/>
    </row>
    <row r="4" spans="1:10" ht="15" customHeight="1" thickBot="1">
      <c r="A4" s="130" t="s">
        <v>242</v>
      </c>
      <c r="B4" s="131" t="s">
        <v>96</v>
      </c>
      <c r="C4" s="132" t="s">
        <v>76</v>
      </c>
    </row>
    <row r="5" spans="1:10" ht="15" customHeight="1">
      <c r="A5" s="128" t="s">
        <v>25</v>
      </c>
      <c r="B5" s="129"/>
      <c r="C5" s="295" t="str">
        <f>INT((MONTH($B$2))/3)&amp;"Q"&amp;"-"&amp;YEAR($B$2)</f>
        <v>1Q-2026</v>
      </c>
      <c r="D5" s="295" t="str">
        <f>IF(INT(MONTH($B$2))=3, "4"&amp;"Q"&amp;"-"&amp;YEAR($B$2)-1, IF(INT(MONTH($B$2))=6, "1"&amp;"Q"&amp;"-"&amp;YEAR($B$2), IF(INT(MONTH($B$2))=9, "2"&amp;"Q"&amp;"-"&amp;YEAR($B$2),IF(INT(MONTH($B$2))=12, "3"&amp;"Q"&amp;"-"&amp;YEAR($B$2), 0))))</f>
        <v>4Q-2025</v>
      </c>
      <c r="E5" s="295" t="str">
        <f>IF(INT(MONTH($B$2))=3, "3"&amp;"Q"&amp;"-"&amp;YEAR($B$2)-1, IF(INT(MONTH($B$2))=6, "4"&amp;"Q"&amp;"-"&amp;YEAR($B$2)-1, IF(INT(MONTH($B$2))=9, "1"&amp;"Q"&amp;"-"&amp;YEAR($B$2),IF(INT(MONTH($B$2))=12, "2"&amp;"Q"&amp;"-"&amp;YEAR($B$2), 0))))</f>
        <v>3Q-2025</v>
      </c>
      <c r="F5" s="295" t="str">
        <f>IF(INT(MONTH($B$2))=3, "2"&amp;"Q"&amp;"-"&amp;YEAR($B$2)-1, IF(INT(MONTH($B$2))=6, "3"&amp;"Q"&amp;"-"&amp;YEAR($B$2)-1, IF(INT(MONTH($B$2))=9, "4"&amp;"Q"&amp;"-"&amp;YEAR($B$2)-1,IF(INT(MONTH($B$2))=12, "1"&amp;"Q"&amp;"-"&amp;YEAR($B$2), 0))))</f>
        <v>2Q-2025</v>
      </c>
      <c r="G5" s="295" t="str">
        <f>IF(INT(MONTH($B$2))=3, "1"&amp;"Q"&amp;"-"&amp;YEAR($B$2)-1, IF(INT(MONTH($B$2))=6, "2"&amp;"Q"&amp;"-"&amp;YEAR($B$2)-1, IF(INT(MONTH($B$2))=9, "3"&amp;"Q"&amp;"-"&amp;YEAR($B$2)-1,IF(INT(MONTH($B$2))=12, "4"&amp;"Q"&amp;"-"&amp;YEAR($B$2)-1, 0))))</f>
        <v>1Q-2025</v>
      </c>
    </row>
    <row r="6" spans="1:10" ht="15" customHeight="1">
      <c r="A6" s="248">
        <v>1</v>
      </c>
      <c r="B6" s="279" t="s">
        <v>101</v>
      </c>
      <c r="C6" s="249">
        <f>C7+C9+C10</f>
        <v>25668569.884879831</v>
      </c>
      <c r="D6" s="282">
        <f>D7+D9+D10</f>
        <v>56148580.10315071</v>
      </c>
      <c r="E6" s="250">
        <f t="shared" ref="E6:G6" si="0">E7+E9+E10</f>
        <v>15336459.524261996</v>
      </c>
      <c r="F6" s="249">
        <f t="shared" si="0"/>
        <v>19589763.039999999</v>
      </c>
      <c r="G6" s="283">
        <f t="shared" si="0"/>
        <v>7433931.8539999994</v>
      </c>
    </row>
    <row r="7" spans="1:10" ht="15" customHeight="1">
      <c r="A7" s="248">
        <v>1.1000000000000001</v>
      </c>
      <c r="B7" s="251" t="s">
        <v>995</v>
      </c>
      <c r="C7" s="254">
        <v>25524954.614879832</v>
      </c>
      <c r="D7" s="284">
        <v>56122557.706419006</v>
      </c>
      <c r="E7" s="252">
        <v>15336459.524261996</v>
      </c>
      <c r="F7" s="252">
        <v>19589763.039999999</v>
      </c>
      <c r="G7" s="285">
        <v>7433931.8539999994</v>
      </c>
      <c r="J7" s="797">
        <v>25524954.614879832</v>
      </c>
    </row>
    <row r="8" spans="1:10" ht="27.6">
      <c r="A8" s="248" t="s">
        <v>146</v>
      </c>
      <c r="B8" s="253" t="s">
        <v>239</v>
      </c>
      <c r="C8" s="254"/>
      <c r="D8" s="284"/>
      <c r="E8" s="252"/>
      <c r="F8" s="252">
        <v>0</v>
      </c>
      <c r="G8" s="285">
        <v>0</v>
      </c>
    </row>
    <row r="9" spans="1:10" ht="15" customHeight="1">
      <c r="A9" s="248">
        <v>1.2</v>
      </c>
      <c r="B9" s="251" t="s">
        <v>21</v>
      </c>
      <c r="C9" s="254">
        <v>143615.26999999999</v>
      </c>
      <c r="D9" s="284">
        <v>26022.396731705201</v>
      </c>
      <c r="E9" s="252"/>
      <c r="F9" s="252">
        <v>0</v>
      </c>
      <c r="G9" s="285">
        <v>0</v>
      </c>
      <c r="J9" s="797">
        <v>143615.26999999999</v>
      </c>
    </row>
    <row r="10" spans="1:10" ht="15" customHeight="1">
      <c r="A10" s="248">
        <v>1.3</v>
      </c>
      <c r="B10" s="280" t="s">
        <v>73</v>
      </c>
      <c r="C10" s="254"/>
      <c r="D10" s="284"/>
      <c r="E10" s="254"/>
      <c r="F10" s="252">
        <v>0</v>
      </c>
      <c r="G10" s="286">
        <v>0</v>
      </c>
    </row>
    <row r="11" spans="1:10" ht="15" customHeight="1">
      <c r="A11" s="248">
        <v>2</v>
      </c>
      <c r="B11" s="279" t="s">
        <v>102</v>
      </c>
      <c r="C11" s="254">
        <v>544889.49358000816</v>
      </c>
      <c r="D11" s="284">
        <v>63285.971380003175</v>
      </c>
      <c r="E11" s="252">
        <v>333141.18644599663</v>
      </c>
      <c r="F11" s="252">
        <v>200230.00000000012</v>
      </c>
      <c r="G11" s="285">
        <v>229621.99999999997</v>
      </c>
      <c r="J11" s="797">
        <v>544889.49358000816</v>
      </c>
    </row>
    <row r="12" spans="1:10" ht="15" customHeight="1">
      <c r="A12" s="264">
        <v>3</v>
      </c>
      <c r="B12" s="281" t="s">
        <v>100</v>
      </c>
      <c r="C12" s="254">
        <v>3933009.0574459308</v>
      </c>
      <c r="D12" s="284">
        <v>3933009.0574459308</v>
      </c>
      <c r="E12" s="254">
        <v>1106340.1205850001</v>
      </c>
      <c r="F12" s="252">
        <v>1106340.1205850001</v>
      </c>
      <c r="G12" s="286">
        <v>1106340.1205850001</v>
      </c>
      <c r="J12" s="797">
        <v>3933009.0574459308</v>
      </c>
    </row>
    <row r="13" spans="1:10" ht="15" customHeight="1" thickBot="1">
      <c r="A13" s="73">
        <v>4</v>
      </c>
      <c r="B13" s="289" t="s">
        <v>147</v>
      </c>
      <c r="C13" s="150">
        <f>C6+C11+C12</f>
        <v>30146468.435905773</v>
      </c>
      <c r="D13" s="287">
        <f>D6+D11+D12</f>
        <v>60144875.131976642</v>
      </c>
      <c r="E13" s="151">
        <f t="shared" ref="E13:G13" si="1">E6+E11+E12</f>
        <v>16775940.831292992</v>
      </c>
      <c r="F13" s="150">
        <f t="shared" si="1"/>
        <v>20896333.160585001</v>
      </c>
      <c r="G13" s="288">
        <f t="shared" si="1"/>
        <v>8769893.9745850004</v>
      </c>
    </row>
    <row r="14" spans="1:10">
      <c r="B14" s="23"/>
      <c r="C14" s="741">
        <f>C13-'1. key ratios'!C15</f>
        <v>0</v>
      </c>
      <c r="D14" s="2">
        <f>D13-'1. key ratios'!D15</f>
        <v>0</v>
      </c>
      <c r="E14" s="12">
        <f>E13-'1. key ratios'!E15</f>
        <v>0</v>
      </c>
      <c r="F14" s="12">
        <f>F13-'1. key ratios'!F15</f>
        <v>0</v>
      </c>
      <c r="G14" s="12">
        <f>G13-'1. key ratios'!G15</f>
        <v>0</v>
      </c>
    </row>
    <row r="15" spans="1:10">
      <c r="B15" s="65"/>
    </row>
    <row r="16" spans="1:10">
      <c r="B16" s="65"/>
    </row>
    <row r="17" spans="2:2">
      <c r="B17" s="65"/>
    </row>
    <row r="18" spans="2:2">
      <c r="B18" s="65"/>
    </row>
  </sheetData>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9.9978637043366805E-2"/>
  </sheetPr>
  <dimension ref="A1:H37"/>
  <sheetViews>
    <sheetView showGridLines="0" zoomScale="80" zoomScaleNormal="80" workbookViewId="0">
      <pane xSplit="1" ySplit="4" topLeftCell="B5" activePane="bottomRight" state="frozen"/>
      <selection pane="topRight"/>
      <selection pane="bottomLeft"/>
      <selection pane="bottomRight"/>
    </sheetView>
  </sheetViews>
  <sheetFormatPr defaultRowHeight="14.4"/>
  <cols>
    <col min="1" max="1" width="9.5546875" style="2" bestFit="1" customWidth="1"/>
    <col min="2" max="2" width="58.88671875" style="2" customWidth="1"/>
    <col min="3" max="3" width="34.109375" style="2" customWidth="1"/>
  </cols>
  <sheetData>
    <row r="1" spans="1:8">
      <c r="A1" s="2" t="s">
        <v>97</v>
      </c>
      <c r="B1" s="212" t="str">
        <f>Info!C2</f>
        <v>სს "ჰეშ ბანკი"</v>
      </c>
    </row>
    <row r="2" spans="1:8">
      <c r="A2" s="2" t="s">
        <v>98</v>
      </c>
      <c r="B2" s="709">
        <f>'1. key ratios'!B2</f>
        <v>46112</v>
      </c>
    </row>
    <row r="4" spans="1:8" ht="25.5" customHeight="1" thickBot="1">
      <c r="A4" s="144" t="s">
        <v>243</v>
      </c>
      <c r="B4" s="30" t="s">
        <v>80</v>
      </c>
      <c r="C4" s="13"/>
    </row>
    <row r="5" spans="1:8">
      <c r="A5" s="10"/>
      <c r="B5" s="274" t="s">
        <v>81</v>
      </c>
      <c r="C5" s="293" t="s">
        <v>419</v>
      </c>
    </row>
    <row r="6" spans="1:8">
      <c r="A6" s="14">
        <v>1</v>
      </c>
      <c r="B6" s="729" t="s">
        <v>1003</v>
      </c>
      <c r="C6" s="730" t="s">
        <v>1004</v>
      </c>
    </row>
    <row r="7" spans="1:8">
      <c r="A7" s="14">
        <v>2</v>
      </c>
      <c r="B7" s="729" t="s">
        <v>1005</v>
      </c>
      <c r="C7" s="730" t="s">
        <v>1006</v>
      </c>
    </row>
    <row r="8" spans="1:8">
      <c r="A8" s="14">
        <v>3</v>
      </c>
      <c r="B8" s="729" t="s">
        <v>1007</v>
      </c>
      <c r="C8" s="730" t="s">
        <v>1006</v>
      </c>
    </row>
    <row r="9" spans="1:8">
      <c r="A9" s="14">
        <v>4</v>
      </c>
      <c r="B9" s="729" t="s">
        <v>1008</v>
      </c>
      <c r="C9" s="730" t="s">
        <v>1009</v>
      </c>
    </row>
    <row r="10" spans="1:8">
      <c r="A10" s="14">
        <v>5</v>
      </c>
      <c r="B10" s="729" t="s">
        <v>1010</v>
      </c>
      <c r="C10" s="730" t="s">
        <v>1009</v>
      </c>
    </row>
    <row r="11" spans="1:8">
      <c r="A11" s="14">
        <v>6</v>
      </c>
      <c r="B11" s="31"/>
      <c r="C11" s="290"/>
    </row>
    <row r="12" spans="1:8">
      <c r="A12" s="14">
        <v>7</v>
      </c>
      <c r="B12" s="31"/>
      <c r="C12" s="290"/>
      <c r="H12" s="4"/>
    </row>
    <row r="13" spans="1:8">
      <c r="A13" s="14">
        <v>8</v>
      </c>
      <c r="B13" s="31"/>
      <c r="C13" s="290"/>
    </row>
    <row r="14" spans="1:8">
      <c r="A14" s="14">
        <v>9</v>
      </c>
      <c r="B14" s="31"/>
      <c r="C14" s="290"/>
    </row>
    <row r="15" spans="1:8">
      <c r="A15" s="14">
        <v>10</v>
      </c>
      <c r="B15" s="31"/>
      <c r="C15" s="290"/>
    </row>
    <row r="16" spans="1:8">
      <c r="A16" s="14"/>
      <c r="B16" s="872"/>
      <c r="C16" s="873"/>
    </row>
    <row r="17" spans="1:3" ht="55.2">
      <c r="A17" s="14"/>
      <c r="B17" s="275" t="s">
        <v>82</v>
      </c>
      <c r="C17" s="294" t="s">
        <v>420</v>
      </c>
    </row>
    <row r="18" spans="1:3">
      <c r="A18" s="14">
        <v>1</v>
      </c>
      <c r="B18" s="729" t="s">
        <v>1014</v>
      </c>
      <c r="C18" s="731" t="s">
        <v>1011</v>
      </c>
    </row>
    <row r="19" spans="1:3">
      <c r="A19" s="14">
        <v>2</v>
      </c>
      <c r="B19" s="729" t="s">
        <v>1012</v>
      </c>
      <c r="C19" s="731" t="s">
        <v>1013</v>
      </c>
    </row>
    <row r="20" spans="1:3">
      <c r="A20" s="14">
        <v>3</v>
      </c>
      <c r="B20" s="729" t="s">
        <v>1015</v>
      </c>
      <c r="C20" s="731" t="s">
        <v>1016</v>
      </c>
    </row>
    <row r="21" spans="1:3">
      <c r="A21" s="14">
        <v>4</v>
      </c>
      <c r="B21" s="729" t="s">
        <v>1019</v>
      </c>
      <c r="C21" s="731" t="s">
        <v>1020</v>
      </c>
    </row>
    <row r="22" spans="1:3">
      <c r="A22" s="14">
        <v>5</v>
      </c>
      <c r="B22" s="26"/>
      <c r="C22" s="291"/>
    </row>
    <row r="23" spans="1:3">
      <c r="A23" s="14">
        <v>6</v>
      </c>
      <c r="B23" s="26"/>
      <c r="C23" s="291"/>
    </row>
    <row r="24" spans="1:3">
      <c r="A24" s="14">
        <v>7</v>
      </c>
      <c r="B24" s="26"/>
      <c r="C24" s="291"/>
    </row>
    <row r="25" spans="1:3">
      <c r="A25" s="14">
        <v>8</v>
      </c>
      <c r="B25" s="26"/>
      <c r="C25" s="291"/>
    </row>
    <row r="26" spans="1:3">
      <c r="A26" s="14">
        <v>9</v>
      </c>
      <c r="B26" s="26"/>
      <c r="C26" s="291"/>
    </row>
    <row r="27" spans="1:3" ht="15.75" customHeight="1">
      <c r="A27" s="14">
        <v>10</v>
      </c>
      <c r="B27" s="26"/>
      <c r="C27" s="292"/>
    </row>
    <row r="28" spans="1:3" ht="15.75" customHeight="1">
      <c r="A28" s="14"/>
      <c r="B28" s="26"/>
      <c r="C28" s="27"/>
    </row>
    <row r="29" spans="1:3" ht="30" customHeight="1">
      <c r="A29" s="14"/>
      <c r="B29" s="874" t="s">
        <v>83</v>
      </c>
      <c r="C29" s="875"/>
    </row>
    <row r="30" spans="1:3">
      <c r="A30" s="732">
        <v>1</v>
      </c>
      <c r="B30" s="733" t="s">
        <v>1017</v>
      </c>
      <c r="C30" s="734">
        <v>0.5</v>
      </c>
    </row>
    <row r="31" spans="1:3">
      <c r="A31" s="732">
        <v>2</v>
      </c>
      <c r="B31" s="733" t="s">
        <v>1018</v>
      </c>
      <c r="C31" s="734">
        <v>0.30499999999999999</v>
      </c>
    </row>
    <row r="32" spans="1:3">
      <c r="A32" s="732">
        <v>3</v>
      </c>
      <c r="B32" s="733" t="s">
        <v>1001</v>
      </c>
      <c r="C32" s="734">
        <v>0.19500000000000001</v>
      </c>
    </row>
    <row r="33" spans="1:3" ht="15.75" customHeight="1">
      <c r="A33" s="14"/>
      <c r="B33" s="31"/>
      <c r="C33" s="32"/>
    </row>
    <row r="34" spans="1:3" ht="29.25" customHeight="1">
      <c r="A34" s="14"/>
      <c r="B34" s="874" t="s">
        <v>163</v>
      </c>
      <c r="C34" s="875"/>
    </row>
    <row r="35" spans="1:3">
      <c r="A35" s="14">
        <v>1</v>
      </c>
      <c r="B35" s="31" t="s">
        <v>1017</v>
      </c>
      <c r="C35" s="737">
        <v>0.5</v>
      </c>
    </row>
    <row r="36" spans="1:3">
      <c r="A36" s="735">
        <v>2</v>
      </c>
      <c r="B36" s="736" t="s">
        <v>1018</v>
      </c>
      <c r="C36" s="738">
        <v>0.30499999999999999</v>
      </c>
    </row>
    <row r="37" spans="1:3" ht="15" thickBot="1">
      <c r="A37" s="15">
        <v>3</v>
      </c>
      <c r="B37" s="33" t="s">
        <v>1001</v>
      </c>
      <c r="C37" s="739">
        <v>0.19500000000000001</v>
      </c>
    </row>
  </sheetData>
  <mergeCells count="3">
    <mergeCell ref="B16:C16"/>
    <mergeCell ref="B34:C34"/>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2" tint="-9.9978637043366805E-2"/>
  </sheetPr>
  <dimension ref="A1:G53"/>
  <sheetViews>
    <sheetView zoomScale="80" zoomScaleNormal="80" workbookViewId="0">
      <pane xSplit="1" ySplit="5" topLeftCell="B6" activePane="bottomRight" state="frozen"/>
      <selection activeCell="B2" sqref="B2"/>
      <selection pane="topRight" activeCell="B2" sqref="B2"/>
      <selection pane="bottomLeft" activeCell="B2" sqref="B2"/>
      <selection pane="bottomRight"/>
    </sheetView>
  </sheetViews>
  <sheetFormatPr defaultRowHeight="14.4"/>
  <cols>
    <col min="1" max="1" width="9.5546875" style="2" bestFit="1" customWidth="1"/>
    <col min="2" max="2" width="65" style="2" customWidth="1"/>
    <col min="3" max="5" width="29.33203125" style="2" customWidth="1"/>
    <col min="6" max="6" width="12" bestFit="1" customWidth="1"/>
    <col min="7" max="7" width="12.5546875" bestFit="1" customWidth="1"/>
  </cols>
  <sheetData>
    <row r="1" spans="1:7">
      <c r="A1" s="17" t="s">
        <v>97</v>
      </c>
      <c r="B1" s="16" t="str">
        <f>Info!C2</f>
        <v>სს "ჰეშ ბანკი"</v>
      </c>
    </row>
    <row r="2" spans="1:7" s="21" customFormat="1" ht="15.75" customHeight="1">
      <c r="A2" s="21" t="s">
        <v>98</v>
      </c>
      <c r="B2" s="709">
        <f>'1. key ratios'!B2</f>
        <v>46112</v>
      </c>
    </row>
    <row r="3" spans="1:7" s="21" customFormat="1" ht="15.75" customHeight="1"/>
    <row r="4" spans="1:7" s="21" customFormat="1" ht="15.75" customHeight="1" thickBot="1">
      <c r="A4" s="145" t="s">
        <v>244</v>
      </c>
      <c r="B4" s="146" t="s">
        <v>157</v>
      </c>
      <c r="C4" s="110"/>
      <c r="D4" s="110"/>
      <c r="E4" s="111" t="s">
        <v>76</v>
      </c>
    </row>
    <row r="5" spans="1:7" s="69" customFormat="1" ht="17.399999999999999" customHeight="1">
      <c r="A5" s="224"/>
      <c r="B5" s="225"/>
      <c r="C5" s="109" t="s">
        <v>0</v>
      </c>
      <c r="D5" s="109" t="s">
        <v>1</v>
      </c>
      <c r="E5" s="226" t="s">
        <v>2</v>
      </c>
    </row>
    <row r="6" spans="1:7" s="89" customFormat="1" ht="14.4" customHeight="1">
      <c r="A6" s="227"/>
      <c r="B6" s="876" t="s">
        <v>133</v>
      </c>
      <c r="C6" s="876" t="s">
        <v>824</v>
      </c>
      <c r="D6" s="877" t="s">
        <v>132</v>
      </c>
      <c r="E6" s="878"/>
      <c r="G6"/>
    </row>
    <row r="7" spans="1:7" s="89" customFormat="1" ht="99.6" customHeight="1">
      <c r="A7" s="227"/>
      <c r="B7" s="876"/>
      <c r="C7" s="876"/>
      <c r="D7" s="222" t="s">
        <v>131</v>
      </c>
      <c r="E7" s="223" t="s">
        <v>341</v>
      </c>
      <c r="G7"/>
    </row>
    <row r="8" spans="1:7" s="89" customFormat="1" ht="22.5" customHeight="1">
      <c r="A8" s="435">
        <v>1</v>
      </c>
      <c r="B8" s="377" t="s">
        <v>811</v>
      </c>
      <c r="C8" s="436">
        <f>SUM(C9:C11)</f>
        <v>50211349.96980001</v>
      </c>
      <c r="D8" s="436">
        <f t="shared" ref="D8" si="0">SUM(D9:D11)</f>
        <v>0</v>
      </c>
      <c r="E8" s="436">
        <f>C8-D8</f>
        <v>50211349.96980001</v>
      </c>
      <c r="G8"/>
    </row>
    <row r="9" spans="1:7" s="89" customFormat="1">
      <c r="A9" s="435">
        <v>1.1000000000000001</v>
      </c>
      <c r="B9" s="378" t="s">
        <v>85</v>
      </c>
      <c r="C9" s="436">
        <f>'2. SOFP'!E8</f>
        <v>1663459.7649999999</v>
      </c>
      <c r="D9" s="436">
        <v>0</v>
      </c>
      <c r="E9" s="436">
        <f t="shared" ref="E9:E35" si="1">C9-D9</f>
        <v>1663459.7649999999</v>
      </c>
      <c r="G9"/>
    </row>
    <row r="10" spans="1:7" s="89" customFormat="1">
      <c r="A10" s="435">
        <v>1.2</v>
      </c>
      <c r="B10" s="378" t="s">
        <v>86</v>
      </c>
      <c r="C10" s="436">
        <f>'2. SOFP'!E9</f>
        <v>688998.41150000005</v>
      </c>
      <c r="D10" s="436">
        <v>0</v>
      </c>
      <c r="E10" s="436">
        <f t="shared" si="1"/>
        <v>688998.41150000005</v>
      </c>
      <c r="G10"/>
    </row>
    <row r="11" spans="1:7" s="89" customFormat="1">
      <c r="A11" s="435">
        <v>1.3</v>
      </c>
      <c r="B11" s="378" t="s">
        <v>87</v>
      </c>
      <c r="C11" s="436">
        <f>'2. SOFP'!E10</f>
        <v>47858891.79330001</v>
      </c>
      <c r="D11" s="436">
        <v>0</v>
      </c>
      <c r="E11" s="436">
        <f t="shared" si="1"/>
        <v>47858891.79330001</v>
      </c>
      <c r="G11"/>
    </row>
    <row r="12" spans="1:7" s="89" customFormat="1">
      <c r="A12" s="435">
        <v>2</v>
      </c>
      <c r="B12" s="379" t="s">
        <v>698</v>
      </c>
      <c r="C12" s="436"/>
      <c r="D12" s="436"/>
      <c r="E12" s="436">
        <f t="shared" si="1"/>
        <v>0</v>
      </c>
      <c r="G12"/>
    </row>
    <row r="13" spans="1:7" s="89" customFormat="1">
      <c r="A13" s="435">
        <v>2.1</v>
      </c>
      <c r="B13" s="380" t="s">
        <v>699</v>
      </c>
      <c r="C13" s="436"/>
      <c r="D13" s="436"/>
      <c r="E13" s="436">
        <f t="shared" si="1"/>
        <v>0</v>
      </c>
      <c r="G13"/>
    </row>
    <row r="14" spans="1:7" s="89" customFormat="1" ht="33.9" customHeight="1">
      <c r="A14" s="435">
        <v>3</v>
      </c>
      <c r="B14" s="381" t="s">
        <v>700</v>
      </c>
      <c r="C14" s="436"/>
      <c r="D14" s="436"/>
      <c r="E14" s="436">
        <f t="shared" si="1"/>
        <v>0</v>
      </c>
      <c r="G14"/>
    </row>
    <row r="15" spans="1:7" s="89" customFormat="1" ht="32.4" customHeight="1">
      <c r="A15" s="435">
        <v>4</v>
      </c>
      <c r="B15" s="382" t="s">
        <v>701</v>
      </c>
      <c r="C15" s="436"/>
      <c r="D15" s="436"/>
      <c r="E15" s="436">
        <f t="shared" si="1"/>
        <v>0</v>
      </c>
      <c r="G15"/>
    </row>
    <row r="16" spans="1:7" s="89" customFormat="1" ht="23.1" customHeight="1">
      <c r="A16" s="435">
        <v>5</v>
      </c>
      <c r="B16" s="382" t="s">
        <v>702</v>
      </c>
      <c r="C16" s="436">
        <f>SUM(C17:C19)</f>
        <v>0</v>
      </c>
      <c r="D16" s="436">
        <f t="shared" ref="D16" si="2">SUM(D17:D19)</f>
        <v>0</v>
      </c>
      <c r="E16" s="436">
        <f t="shared" si="1"/>
        <v>0</v>
      </c>
      <c r="G16"/>
    </row>
    <row r="17" spans="1:7" s="89" customFormat="1">
      <c r="A17" s="435">
        <v>5.0999999999999996</v>
      </c>
      <c r="B17" s="383" t="s">
        <v>703</v>
      </c>
      <c r="C17" s="436"/>
      <c r="D17" s="436"/>
      <c r="E17" s="436">
        <f t="shared" si="1"/>
        <v>0</v>
      </c>
      <c r="G17"/>
    </row>
    <row r="18" spans="1:7" s="89" customFormat="1">
      <c r="A18" s="435">
        <v>5.2</v>
      </c>
      <c r="B18" s="383" t="s">
        <v>538</v>
      </c>
      <c r="C18" s="436"/>
      <c r="D18" s="436"/>
      <c r="E18" s="436">
        <f t="shared" si="1"/>
        <v>0</v>
      </c>
      <c r="G18"/>
    </row>
    <row r="19" spans="1:7" s="89" customFormat="1">
      <c r="A19" s="435">
        <v>5.3</v>
      </c>
      <c r="B19" s="383" t="s">
        <v>704</v>
      </c>
      <c r="C19" s="436"/>
      <c r="D19" s="436"/>
      <c r="E19" s="436">
        <f t="shared" si="1"/>
        <v>0</v>
      </c>
      <c r="G19"/>
    </row>
    <row r="20" spans="1:7" s="89" customFormat="1">
      <c r="A20" s="435">
        <v>6</v>
      </c>
      <c r="B20" s="381" t="s">
        <v>705</v>
      </c>
      <c r="C20" s="436">
        <f>SUM(C21:C22)</f>
        <v>5375306.8399999999</v>
      </c>
      <c r="D20" s="436">
        <f t="shared" ref="D20" si="3">SUM(D21:D22)</f>
        <v>0</v>
      </c>
      <c r="E20" s="436">
        <f t="shared" si="1"/>
        <v>5375306.8399999999</v>
      </c>
      <c r="G20"/>
    </row>
    <row r="21" spans="1:7">
      <c r="A21" s="435">
        <v>6.1</v>
      </c>
      <c r="B21" s="383" t="s">
        <v>538</v>
      </c>
      <c r="C21" s="437">
        <f>'2. SOFP'!E20</f>
        <v>4255296.3600000003</v>
      </c>
      <c r="D21" s="437"/>
      <c r="E21" s="436">
        <f t="shared" si="1"/>
        <v>4255296.3600000003</v>
      </c>
    </row>
    <row r="22" spans="1:7">
      <c r="A22" s="435">
        <v>6.2</v>
      </c>
      <c r="B22" s="383" t="s">
        <v>704</v>
      </c>
      <c r="C22" s="437">
        <f>'2. SOFP'!E21</f>
        <v>1120010.4799999995</v>
      </c>
      <c r="D22" s="437"/>
      <c r="E22" s="436">
        <f t="shared" si="1"/>
        <v>1120010.4799999995</v>
      </c>
    </row>
    <row r="23" spans="1:7">
      <c r="A23" s="435">
        <v>7</v>
      </c>
      <c r="B23" s="384" t="s">
        <v>706</v>
      </c>
      <c r="C23" s="438"/>
      <c r="D23" s="438"/>
      <c r="E23" s="436">
        <f t="shared" si="1"/>
        <v>0</v>
      </c>
    </row>
    <row r="24" spans="1:7" ht="20.399999999999999">
      <c r="A24" s="435">
        <v>8</v>
      </c>
      <c r="B24" s="385" t="s">
        <v>707</v>
      </c>
      <c r="C24" s="438"/>
      <c r="D24" s="438"/>
      <c r="E24" s="436">
        <f t="shared" si="1"/>
        <v>0</v>
      </c>
    </row>
    <row r="25" spans="1:7">
      <c r="A25" s="435">
        <v>9</v>
      </c>
      <c r="B25" s="382" t="s">
        <v>708</v>
      </c>
      <c r="C25" s="438">
        <f>SUM(C26:C27)</f>
        <v>4584581.0999999996</v>
      </c>
      <c r="D25" s="438">
        <f t="shared" ref="D25" si="4">SUM(D26:D27)</f>
        <v>0</v>
      </c>
      <c r="E25" s="436">
        <f t="shared" si="1"/>
        <v>4584581.0999999996</v>
      </c>
    </row>
    <row r="26" spans="1:7">
      <c r="A26" s="435">
        <v>9.1</v>
      </c>
      <c r="B26" s="386" t="s">
        <v>709</v>
      </c>
      <c r="C26" s="438">
        <f>'2. SOFP'!E25</f>
        <v>4584581.0999999996</v>
      </c>
      <c r="D26" s="438"/>
      <c r="E26" s="436">
        <f t="shared" si="1"/>
        <v>4584581.0999999996</v>
      </c>
    </row>
    <row r="27" spans="1:7">
      <c r="A27" s="435">
        <v>9.1999999999999993</v>
      </c>
      <c r="B27" s="386" t="s">
        <v>710</v>
      </c>
      <c r="C27" s="438"/>
      <c r="D27" s="438"/>
      <c r="E27" s="436">
        <f t="shared" si="1"/>
        <v>0</v>
      </c>
    </row>
    <row r="28" spans="1:7">
      <c r="A28" s="435">
        <v>10</v>
      </c>
      <c r="B28" s="382" t="s">
        <v>36</v>
      </c>
      <c r="C28" s="438">
        <f>SUM(C29:C30)</f>
        <v>9221437.4399999995</v>
      </c>
      <c r="D28" s="438">
        <f t="shared" ref="D28" si="5">SUM(D29:D30)</f>
        <v>9221437.4399999995</v>
      </c>
      <c r="E28" s="436">
        <f t="shared" si="1"/>
        <v>0</v>
      </c>
    </row>
    <row r="29" spans="1:7">
      <c r="A29" s="435">
        <v>10.1</v>
      </c>
      <c r="B29" s="386" t="s">
        <v>711</v>
      </c>
      <c r="C29" s="438"/>
      <c r="D29" s="438"/>
      <c r="E29" s="436">
        <f t="shared" si="1"/>
        <v>0</v>
      </c>
    </row>
    <row r="30" spans="1:7">
      <c r="A30" s="435">
        <v>10.199999999999999</v>
      </c>
      <c r="B30" s="386" t="s">
        <v>712</v>
      </c>
      <c r="C30" s="438">
        <f>'2. SOFP'!E29</f>
        <v>9221437.4399999995</v>
      </c>
      <c r="D30" s="438">
        <f>C30</f>
        <v>9221437.4399999995</v>
      </c>
      <c r="E30" s="436">
        <f t="shared" si="1"/>
        <v>0</v>
      </c>
    </row>
    <row r="31" spans="1:7">
      <c r="A31" s="435">
        <v>11</v>
      </c>
      <c r="B31" s="382" t="s">
        <v>713</v>
      </c>
      <c r="C31" s="438">
        <f>SUM(C32:C33)</f>
        <v>0</v>
      </c>
      <c r="D31" s="438">
        <f t="shared" ref="D31" si="6">SUM(D32:D33)</f>
        <v>0</v>
      </c>
      <c r="E31" s="436">
        <f t="shared" si="1"/>
        <v>0</v>
      </c>
    </row>
    <row r="32" spans="1:7">
      <c r="A32" s="435">
        <v>11.1</v>
      </c>
      <c r="B32" s="386" t="s">
        <v>714</v>
      </c>
      <c r="C32" s="438">
        <f>'2. SOFP'!E31</f>
        <v>0</v>
      </c>
      <c r="D32" s="438"/>
      <c r="E32" s="436">
        <f t="shared" si="1"/>
        <v>0</v>
      </c>
    </row>
    <row r="33" spans="1:7">
      <c r="A33" s="435">
        <v>11.2</v>
      </c>
      <c r="B33" s="386" t="s">
        <v>715</v>
      </c>
      <c r="C33" s="438">
        <f>'2. SOFP'!E32</f>
        <v>0</v>
      </c>
      <c r="D33" s="438">
        <v>0</v>
      </c>
      <c r="E33" s="436">
        <f t="shared" si="1"/>
        <v>0</v>
      </c>
    </row>
    <row r="34" spans="1:7">
      <c r="A34" s="435">
        <v>13</v>
      </c>
      <c r="B34" s="382" t="s">
        <v>88</v>
      </c>
      <c r="C34" s="437">
        <f>'2. SOFP'!E33</f>
        <v>3882904.4218000006</v>
      </c>
      <c r="D34" s="437"/>
      <c r="E34" s="436">
        <f t="shared" si="1"/>
        <v>3882904.4218000006</v>
      </c>
    </row>
    <row r="35" spans="1:7">
      <c r="A35" s="435">
        <v>13.1</v>
      </c>
      <c r="B35" s="387" t="s">
        <v>716</v>
      </c>
      <c r="C35" s="437"/>
      <c r="D35" s="437"/>
      <c r="E35" s="436">
        <f t="shared" si="1"/>
        <v>0</v>
      </c>
    </row>
    <row r="36" spans="1:7">
      <c r="A36" s="435">
        <v>13.2</v>
      </c>
      <c r="B36" s="387" t="s">
        <v>717</v>
      </c>
      <c r="C36" s="437"/>
      <c r="D36" s="437"/>
      <c r="E36" s="437"/>
    </row>
    <row r="37" spans="1:7" ht="28.2" thickBot="1">
      <c r="A37" s="228"/>
      <c r="B37" s="229" t="s">
        <v>308</v>
      </c>
      <c r="C37" s="188">
        <f>SUM(C8,C12,C14,C15,C16,C20,C23,C24,C25,C28,C31,C34)</f>
        <v>73275579.771600023</v>
      </c>
      <c r="D37" s="188">
        <f t="shared" ref="D37:E37" si="7">SUM(D8,D12,D14,D15,D16,D20,D23,D24,D25,D28,D31,D34)</f>
        <v>9221437.4399999995</v>
      </c>
      <c r="E37" s="188">
        <f t="shared" si="7"/>
        <v>64054142.331600018</v>
      </c>
    </row>
    <row r="38" spans="1:7">
      <c r="A38"/>
      <c r="B38"/>
      <c r="C38" s="749">
        <f>C37-'2. SOFP'!E36</f>
        <v>0</v>
      </c>
      <c r="D38"/>
      <c r="E38" s="749">
        <v>0</v>
      </c>
    </row>
    <row r="39" spans="1:7">
      <c r="A39"/>
      <c r="B39"/>
      <c r="C39"/>
      <c r="D39"/>
      <c r="E39" s="831">
        <v>0</v>
      </c>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headerFooter>
    <oddHeader>&amp;Lშიდა მოხმარების</oddHeader>
    <oddFooter>&amp;Lშიდა მოხმარების</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tint="-9.9978637043366805E-2"/>
  </sheetPr>
  <dimension ref="A1:I33"/>
  <sheetViews>
    <sheetView zoomScale="80" zoomScaleNormal="80" workbookViewId="0">
      <pane xSplit="1" ySplit="4" topLeftCell="B5" activePane="bottomRight" state="frozen"/>
      <selection activeCell="B2" sqref="B2"/>
      <selection pane="topRight" activeCell="B2" sqref="B2"/>
      <selection pane="bottomLeft" activeCell="B2" sqref="B2"/>
      <selection pane="bottomRight" activeCell="C5" sqref="C5:C13"/>
    </sheetView>
  </sheetViews>
  <sheetFormatPr defaultRowHeight="14.4" outlineLevelRow="1"/>
  <cols>
    <col min="1" max="1" width="9.5546875" style="2" bestFit="1" customWidth="1"/>
    <col min="2" max="2" width="114.109375" style="2" customWidth="1"/>
    <col min="3" max="3" width="18.88671875" customWidth="1"/>
    <col min="4" max="4" width="25.44140625" customWidth="1"/>
    <col min="5" max="5" width="24.109375" customWidth="1"/>
    <col min="6" max="6" width="24" customWidth="1"/>
    <col min="7" max="7" width="10" bestFit="1" customWidth="1"/>
    <col min="8" max="8" width="12" bestFit="1" customWidth="1"/>
    <col min="9" max="9" width="12.5546875" bestFit="1" customWidth="1"/>
  </cols>
  <sheetData>
    <row r="1" spans="1:6">
      <c r="A1" s="17" t="s">
        <v>97</v>
      </c>
      <c r="B1" s="16" t="str">
        <f>Info!C2</f>
        <v>სს "ჰეშ ბანკი"</v>
      </c>
    </row>
    <row r="2" spans="1:6" s="21" customFormat="1" ht="15.75" customHeight="1">
      <c r="A2" s="21" t="s">
        <v>98</v>
      </c>
      <c r="B2" s="709">
        <f>'1. key ratios'!B2</f>
        <v>46112</v>
      </c>
      <c r="C2"/>
      <c r="D2"/>
      <c r="E2"/>
      <c r="F2"/>
    </row>
    <row r="3" spans="1:6" s="21" customFormat="1" ht="15.75" customHeight="1">
      <c r="C3"/>
      <c r="D3"/>
      <c r="E3"/>
      <c r="F3"/>
    </row>
    <row r="4" spans="1:6" s="21" customFormat="1" ht="28.2" thickBot="1">
      <c r="A4" s="21" t="s">
        <v>245</v>
      </c>
      <c r="B4" s="117" t="s">
        <v>160</v>
      </c>
      <c r="C4" s="111" t="s">
        <v>76</v>
      </c>
      <c r="D4"/>
      <c r="E4"/>
      <c r="F4"/>
    </row>
    <row r="5" spans="1:6">
      <c r="A5" s="112">
        <v>1</v>
      </c>
      <c r="B5" s="113" t="s">
        <v>695</v>
      </c>
      <c r="C5" s="152">
        <f>'7. LI1'!E37</f>
        <v>64054142.331600018</v>
      </c>
    </row>
    <row r="6" spans="1:6" s="102" customFormat="1">
      <c r="A6" s="68">
        <v>2.1</v>
      </c>
      <c r="B6" s="119" t="s">
        <v>829</v>
      </c>
      <c r="C6" s="153"/>
    </row>
    <row r="7" spans="1:6" s="4" customFormat="1" ht="27.6" outlineLevel="1">
      <c r="A7" s="118">
        <v>2.2000000000000002</v>
      </c>
      <c r="B7" s="114" t="s">
        <v>830</v>
      </c>
      <c r="C7" s="154"/>
    </row>
    <row r="8" spans="1:6" s="4" customFormat="1" ht="27.6">
      <c r="A8" s="118">
        <v>3</v>
      </c>
      <c r="B8" s="115" t="s">
        <v>696</v>
      </c>
      <c r="C8" s="155">
        <f>SUM(C5:C7)</f>
        <v>64054142.331600018</v>
      </c>
    </row>
    <row r="9" spans="1:6" s="102" customFormat="1">
      <c r="A9" s="68">
        <v>4</v>
      </c>
      <c r="B9" s="122" t="s">
        <v>158</v>
      </c>
      <c r="C9" s="153"/>
    </row>
    <row r="10" spans="1:6" s="4" customFormat="1" ht="27.6" outlineLevel="1">
      <c r="A10" s="118">
        <v>5.0999999999999996</v>
      </c>
      <c r="B10" s="114" t="s">
        <v>164</v>
      </c>
      <c r="C10" s="154"/>
    </row>
    <row r="11" spans="1:6" s="4" customFormat="1" ht="27.6" outlineLevel="1">
      <c r="A11" s="118">
        <v>5.2</v>
      </c>
      <c r="B11" s="114" t="s">
        <v>165</v>
      </c>
      <c r="C11" s="154"/>
    </row>
    <row r="12" spans="1:6" s="4" customFormat="1">
      <c r="A12" s="118">
        <v>6</v>
      </c>
      <c r="B12" s="120" t="s">
        <v>996</v>
      </c>
      <c r="C12" s="230"/>
    </row>
    <row r="13" spans="1:6" s="4" customFormat="1" ht="15" thickBot="1">
      <c r="A13" s="121">
        <v>7</v>
      </c>
      <c r="B13" s="116" t="s">
        <v>159</v>
      </c>
      <c r="C13" s="156">
        <f>SUM(C8:C12)</f>
        <v>64054142.331600018</v>
      </c>
    </row>
    <row r="14" spans="1:6">
      <c r="C14" s="778"/>
    </row>
    <row r="15" spans="1:6">
      <c r="B15" s="23"/>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headerFooter>
    <oddHeader>&amp;Lშიდა მოხმარების</oddHeader>
    <oddFooter>&amp;Lშიდა მოხმარების</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2026-05-14T13:08:01Z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DLPManualFileClassification">
    <vt:lpwstr>{6B4C6941-0D98-4287-BC8A-AF723F5B8636} {9B30DB8E-1AF7-4B66-ADBB-B4853D6B40DB} {C30434B7-D4A0-4ECB-87F1-11C121640520}</vt:lpwstr>
  </property>
  <property fmtid="{D5CDD505-2E9C-101B-9397-08002B2CF9AE}" pid="8" name="DLPManualFileClassificationLastModifiedBy">
    <vt:lpwstr>AD\mtsutskiridze</vt:lpwstr>
  </property>
  <property fmtid="{D5CDD505-2E9C-101B-9397-08002B2CF9AE}" pid="9" name="DLPManualFileClassificationLastModificationDate">
    <vt:lpwstr>1746721753</vt:lpwstr>
  </property>
  <property fmtid="{D5CDD505-2E9C-101B-9397-08002B2CF9AE}" pid="10" name="DLPManualFileClassificationVersion">
    <vt:lpwstr>11.11.2.117</vt:lpwstr>
  </property>
  <property fmtid="{D5CDD505-2E9C-101B-9397-08002B2CF9AE}" pid="11" name="DLPVisualLabelFileClassification">
    <vt:lpwstr>{6B4C6941-0D98-4287-BC8A-AF723F5B8636}</vt:lpwstr>
  </property>
  <property fmtid="{D5CDD505-2E9C-101B-9397-08002B2CF9AE}" pid="12" name="DLPVisualLabelFileClassificationModifiedBy">
    <vt:lpwstr>AD\mtsutskiridze</vt:lpwstr>
  </property>
  <property fmtid="{D5CDD505-2E9C-101B-9397-08002B2CF9AE}" pid="13" name="DLPVisualLabelFileClassificationModifiedDate">
    <vt:lpwstr>1746721753</vt:lpwstr>
  </property>
  <property fmtid="{D5CDD505-2E9C-101B-9397-08002B2CF9AE}" pid="14" name="DLPVisualLabelFileClassificationAlignment">
    <vt:lpwstr>1</vt:lpwstr>
  </property>
  <property fmtid="{D5CDD505-2E9C-101B-9397-08002B2CF9AE}" pid="15" name="DLPVisualLabelFileClassificationPosition">
    <vt:lpwstr>TrellixVisuallabelHeader;TrellixVisuallabelFooter</vt:lpwstr>
  </property>
</Properties>
</file>