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8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 r:id="rId39"/>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00" l="1"/>
  <c r="C15" i="100" s="1"/>
  <c r="D15" i="100"/>
  <c r="D8" i="100"/>
  <c r="C11" i="100"/>
  <c r="C8" i="100" s="1"/>
  <c r="E70" i="92"/>
  <c r="H70" i="92"/>
  <c r="D23" i="80" l="1"/>
  <c r="F33" i="80"/>
  <c r="C33" i="80"/>
  <c r="D24" i="80"/>
  <c r="G24" i="80"/>
  <c r="H23" i="95" l="1"/>
  <c r="C18" i="80"/>
  <c r="S13" i="35"/>
  <c r="C50" i="69"/>
  <c r="C48" i="69"/>
  <c r="C44" i="69"/>
  <c r="C32" i="69"/>
  <c r="E38"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E9" i="72"/>
  <c r="E8" i="72"/>
  <c r="D30" i="72"/>
  <c r="C34" i="72"/>
  <c r="C33" i="72"/>
  <c r="C32" i="72"/>
  <c r="C28" i="72"/>
  <c r="C30" i="72"/>
  <c r="C26" i="72"/>
  <c r="C21" i="72"/>
  <c r="C11" i="72"/>
  <c r="C10" i="72"/>
  <c r="G43" i="93"/>
  <c r="F43" i="93"/>
  <c r="G45" i="93"/>
  <c r="F45" i="93"/>
  <c r="G36" i="92"/>
  <c r="F36" i="92"/>
  <c r="G53" i="92"/>
  <c r="F53" i="92"/>
  <c r="G68" i="92"/>
  <c r="F68" i="92"/>
  <c r="G69" i="92"/>
  <c r="F69" i="92" l="1"/>
  <c r="C59" i="92" l="1"/>
  <c r="D59" i="92"/>
  <c r="C63" i="92"/>
  <c r="D63" i="92"/>
  <c r="G50" i="6"/>
  <c r="F50" i="6"/>
  <c r="E50" i="6"/>
  <c r="D50" i="6"/>
  <c r="C50" i="6"/>
  <c r="C31" i="79" l="1"/>
  <c r="F35" i="97" l="1"/>
  <c r="G9" i="80" l="1"/>
  <c r="C9" i="74"/>
  <c r="C21" i="74"/>
  <c r="C20" i="74"/>
  <c r="C19" i="74"/>
  <c r="C18" i="74"/>
  <c r="C17" i="74"/>
  <c r="C16" i="74"/>
  <c r="C15" i="74"/>
  <c r="C14" i="74"/>
  <c r="C13" i="74"/>
  <c r="C12" i="74"/>
  <c r="C11" i="74"/>
  <c r="C10" i="74"/>
  <c r="C8" i="74"/>
  <c r="C22" i="74" l="1"/>
  <c r="C38" i="94" l="1"/>
  <c r="Q33" i="37" l="1"/>
  <c r="I33" i="37"/>
  <c r="Q32" i="37"/>
  <c r="I32" i="37"/>
  <c r="Q31" i="37"/>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I17" i="37"/>
  <c r="Q16" i="37"/>
  <c r="I16" i="37"/>
  <c r="Q15" i="37"/>
  <c r="Q14" i="37" s="1"/>
  <c r="I15" i="37"/>
  <c r="I14" i="37"/>
  <c r="Q13" i="37"/>
  <c r="I13" i="37"/>
  <c r="Q12" i="37"/>
  <c r="I12" i="37"/>
  <c r="Q11" i="37"/>
  <c r="Q10" i="37" s="1"/>
  <c r="I11" i="37"/>
  <c r="I10" i="37"/>
  <c r="P9" i="37"/>
  <c r="O9" i="37"/>
  <c r="N9" i="37"/>
  <c r="M9" i="37"/>
  <c r="L9" i="37"/>
  <c r="K9" i="37"/>
  <c r="J9" i="37"/>
  <c r="G9" i="37"/>
  <c r="F9" i="37"/>
  <c r="I9" i="37" s="1"/>
  <c r="C9" i="37"/>
  <c r="P8" i="37"/>
  <c r="O8" i="37"/>
  <c r="N8" i="37"/>
  <c r="M8" i="37"/>
  <c r="L8" i="37"/>
  <c r="K8" i="37"/>
  <c r="K6" i="37" s="1"/>
  <c r="K34" i="37" s="1"/>
  <c r="J8" i="37"/>
  <c r="G8" i="37"/>
  <c r="F8" i="37"/>
  <c r="I8" i="37" s="1"/>
  <c r="C8" i="37"/>
  <c r="P7" i="37"/>
  <c r="P6" i="37" s="1"/>
  <c r="P34" i="37" s="1"/>
  <c r="O7" i="37"/>
  <c r="O6" i="37" s="1"/>
  <c r="O34" i="37" s="1"/>
  <c r="N7" i="37"/>
  <c r="N6" i="37" s="1"/>
  <c r="N34" i="37" s="1"/>
  <c r="M7" i="37"/>
  <c r="M6" i="37" s="1"/>
  <c r="M34" i="37" s="1"/>
  <c r="L7" i="37"/>
  <c r="K7" i="37"/>
  <c r="J7" i="37"/>
  <c r="J6" i="37" s="1"/>
  <c r="J34" i="37" s="1"/>
  <c r="G7" i="37"/>
  <c r="G6" i="37" s="1"/>
  <c r="G34" i="37" s="1"/>
  <c r="C11" i="79" s="1"/>
  <c r="F7" i="37"/>
  <c r="I7" i="37" s="1"/>
  <c r="I6" i="37" s="1"/>
  <c r="C7" i="37"/>
  <c r="L6" i="37"/>
  <c r="L34" i="37" s="1"/>
  <c r="E6" i="37"/>
  <c r="E34" i="37" s="1"/>
  <c r="C13" i="79" s="1"/>
  <c r="D6" i="37"/>
  <c r="D34" i="37" s="1"/>
  <c r="B2" i="37"/>
  <c r="B1" i="37"/>
  <c r="C26" i="79"/>
  <c r="C22" i="79"/>
  <c r="Q8" i="37" l="1"/>
  <c r="Q30" i="37"/>
  <c r="Q9" i="37"/>
  <c r="Q26" i="37"/>
  <c r="C6" i="37"/>
  <c r="C34" i="37" s="1"/>
  <c r="F6" i="37"/>
  <c r="F34" i="37" s="1"/>
  <c r="Q7" i="37"/>
  <c r="Q6" i="37" s="1"/>
  <c r="Q34" i="37" s="1"/>
  <c r="I34" i="37" l="1"/>
  <c r="C12" i="79" s="1"/>
  <c r="C14" i="79" s="1"/>
  <c r="C10" i="79"/>
  <c r="F6" i="107"/>
  <c r="E6" i="107"/>
  <c r="D6" i="107"/>
  <c r="C6" i="107"/>
  <c r="B2" i="107"/>
  <c r="B1" i="107"/>
  <c r="G38" i="94" l="1"/>
  <c r="F38" i="94"/>
  <c r="D38" i="94" l="1"/>
  <c r="E12" i="106" l="1"/>
  <c r="D12" i="106"/>
  <c r="C12" i="106"/>
  <c r="B12" i="106"/>
  <c r="E11" i="106"/>
  <c r="D11" i="106"/>
  <c r="C11" i="106"/>
  <c r="B11" i="106"/>
  <c r="E10" i="106"/>
  <c r="D10" i="106"/>
  <c r="C10" i="106"/>
  <c r="B10" i="106"/>
  <c r="F9" i="106"/>
  <c r="E9" i="106"/>
  <c r="D9" i="106"/>
  <c r="C9" i="106"/>
  <c r="B9" i="106"/>
  <c r="F10" i="106" l="1"/>
  <c r="F12" i="106"/>
  <c r="F11" i="106"/>
  <c r="C22" i="95" l="1"/>
  <c r="H21" i="95"/>
  <c r="B1" i="94" l="1"/>
  <c r="B1" i="93"/>
  <c r="B1" i="92"/>
  <c r="B1" i="104" l="1"/>
  <c r="B1" i="103"/>
  <c r="B1" i="102"/>
  <c r="B1" i="101"/>
  <c r="B1" i="100"/>
  <c r="B1" i="99"/>
  <c r="B1" i="98"/>
  <c r="B1" i="97"/>
  <c r="B1" i="96"/>
  <c r="B1" i="95"/>
  <c r="C10" i="99" l="1"/>
  <c r="C18" i="99"/>
  <c r="C7" i="98"/>
  <c r="C15" i="98" s="1"/>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C35" i="97" s="1"/>
  <c r="D34" i="97"/>
  <c r="E34" i="97"/>
  <c r="F34" i="97"/>
  <c r="G34" i="97"/>
  <c r="H7" i="96"/>
  <c r="H8" i="96"/>
  <c r="H9" i="96"/>
  <c r="H10" i="96"/>
  <c r="H11" i="96"/>
  <c r="H12" i="96"/>
  <c r="I12" i="96" s="1"/>
  <c r="H13" i="96"/>
  <c r="I13" i="96" s="1"/>
  <c r="H14" i="96"/>
  <c r="I14" i="96" s="1"/>
  <c r="H15" i="96"/>
  <c r="H16" i="96"/>
  <c r="H17" i="96"/>
  <c r="H18" i="96"/>
  <c r="H19" i="96"/>
  <c r="H20" i="96"/>
  <c r="C21" i="96"/>
  <c r="D21" i="96"/>
  <c r="E21" i="96"/>
  <c r="E35" i="97" s="1"/>
  <c r="F21" i="96"/>
  <c r="G21" i="96"/>
  <c r="H22" i="96"/>
  <c r="H23" i="96"/>
  <c r="H8" i="95"/>
  <c r="H9" i="95"/>
  <c r="H10" i="95"/>
  <c r="H11" i="95"/>
  <c r="H12" i="95"/>
  <c r="H13" i="95"/>
  <c r="H14" i="95"/>
  <c r="H15" i="95"/>
  <c r="H16" i="95"/>
  <c r="H17" i="95"/>
  <c r="H18" i="95"/>
  <c r="H19" i="95"/>
  <c r="H20" i="95"/>
  <c r="D22" i="95"/>
  <c r="E22" i="95"/>
  <c r="F22" i="95"/>
  <c r="G22" i="95"/>
  <c r="H21" i="96" l="1"/>
  <c r="I16" i="96"/>
  <c r="H22" i="95"/>
  <c r="I15" i="96"/>
  <c r="H34" i="97"/>
  <c r="C62" i="69"/>
  <c r="C58" i="69"/>
  <c r="C14" i="69"/>
  <c r="D8" i="72"/>
  <c r="D16" i="72"/>
  <c r="D20" i="72"/>
  <c r="D25" i="72"/>
  <c r="D28" i="72"/>
  <c r="D31" i="72"/>
  <c r="C31" i="72"/>
  <c r="C25" i="72"/>
  <c r="C20" i="72"/>
  <c r="C16" i="72"/>
  <c r="C8" i="72"/>
  <c r="H35" i="97" l="1"/>
  <c r="E37" i="72"/>
  <c r="D37" i="72"/>
  <c r="C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D37" i="93"/>
  <c r="C37" i="93"/>
  <c r="E37" i="93" s="1"/>
  <c r="H36" i="93"/>
  <c r="E36" i="93"/>
  <c r="E46" i="93" s="1"/>
  <c r="H35" i="93"/>
  <c r="E35" i="93"/>
  <c r="D34" i="93"/>
  <c r="C34" i="93"/>
  <c r="E34" i="93" s="1"/>
  <c r="H33" i="93"/>
  <c r="E33" i="93"/>
  <c r="H32" i="93"/>
  <c r="E32" i="93"/>
  <c r="H31" i="93"/>
  <c r="E31" i="93"/>
  <c r="H30" i="93"/>
  <c r="E30"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E13" i="93" s="1"/>
  <c r="H12" i="93"/>
  <c r="E12" i="93"/>
  <c r="H11" i="93"/>
  <c r="E11" i="93"/>
  <c r="H10" i="93"/>
  <c r="E10" i="93"/>
  <c r="H9" i="93"/>
  <c r="E9" i="93"/>
  <c r="H8" i="93"/>
  <c r="E8" i="93"/>
  <c r="H7" i="93"/>
  <c r="E7" i="93"/>
  <c r="D6" i="93"/>
  <c r="C6" i="93"/>
  <c r="H67" i="92"/>
  <c r="E67" i="92"/>
  <c r="C66" i="69" s="1"/>
  <c r="H66" i="92"/>
  <c r="E66" i="92"/>
  <c r="H65" i="92"/>
  <c r="E65" i="92"/>
  <c r="H64" i="92"/>
  <c r="E64" i="92"/>
  <c r="H63" i="92"/>
  <c r="E63" i="92"/>
  <c r="H62" i="92"/>
  <c r="E62" i="92"/>
  <c r="H61" i="92"/>
  <c r="E61" i="92"/>
  <c r="H60" i="92"/>
  <c r="E60" i="92"/>
  <c r="H59" i="92"/>
  <c r="E59" i="92"/>
  <c r="H58" i="92"/>
  <c r="E58" i="92"/>
  <c r="H57" i="92"/>
  <c r="E57" i="92"/>
  <c r="H56" i="92"/>
  <c r="E56" i="92"/>
  <c r="C55" i="69" s="1"/>
  <c r="H55" i="92"/>
  <c r="E55" i="92"/>
  <c r="C54" i="69" s="1"/>
  <c r="H52" i="92"/>
  <c r="E52" i="92"/>
  <c r="H51" i="92"/>
  <c r="E51" i="92"/>
  <c r="H50" i="92"/>
  <c r="E50" i="92"/>
  <c r="H49" i="92"/>
  <c r="E49" i="92"/>
  <c r="H48" i="92"/>
  <c r="E48" i="92"/>
  <c r="C47" i="69" s="1"/>
  <c r="C46" i="69" s="1"/>
  <c r="H47" i="92"/>
  <c r="D47" i="92"/>
  <c r="C47" i="92"/>
  <c r="H46" i="92"/>
  <c r="E46" i="92"/>
  <c r="H45" i="92"/>
  <c r="E45" i="92"/>
  <c r="H44" i="92"/>
  <c r="E44" i="92"/>
  <c r="H43" i="92"/>
  <c r="E43" i="92"/>
  <c r="H42" i="92"/>
  <c r="E42" i="92"/>
  <c r="C41" i="69" s="1"/>
  <c r="C40" i="69" s="1"/>
  <c r="D41" i="92"/>
  <c r="D53" i="92" s="1"/>
  <c r="C41" i="92"/>
  <c r="H40" i="92"/>
  <c r="E40" i="92"/>
  <c r="H39" i="92"/>
  <c r="E39" i="92"/>
  <c r="H38" i="92"/>
  <c r="E38" i="92"/>
  <c r="H35" i="92"/>
  <c r="E35" i="92"/>
  <c r="H34" i="92"/>
  <c r="E34" i="92"/>
  <c r="H33" i="92"/>
  <c r="E33" i="92"/>
  <c r="H32" i="92"/>
  <c r="E32" i="92"/>
  <c r="C31" i="69" s="1"/>
  <c r="H31" i="92"/>
  <c r="E31" i="92"/>
  <c r="C30" i="69" s="1"/>
  <c r="D30" i="92"/>
  <c r="C30" i="92"/>
  <c r="E30" i="92" s="1"/>
  <c r="H29" i="92"/>
  <c r="E29" i="92"/>
  <c r="C28" i="69" s="1"/>
  <c r="C26" i="69" s="1"/>
  <c r="H28" i="92"/>
  <c r="E28" i="92"/>
  <c r="H27" i="92"/>
  <c r="D27" i="92"/>
  <c r="C27" i="92"/>
  <c r="E27" i="92" s="1"/>
  <c r="H26" i="92"/>
  <c r="E26" i="92"/>
  <c r="H25" i="92"/>
  <c r="E25" i="92"/>
  <c r="C24" i="69" s="1"/>
  <c r="C23" i="69" s="1"/>
  <c r="D24" i="92"/>
  <c r="C24" i="92"/>
  <c r="E24" i="92" s="1"/>
  <c r="H23" i="92"/>
  <c r="E23" i="92"/>
  <c r="H22" i="92"/>
  <c r="E22" i="92"/>
  <c r="H21" i="92"/>
  <c r="E21" i="92"/>
  <c r="C20" i="69" s="1"/>
  <c r="H20" i="92"/>
  <c r="E20" i="92"/>
  <c r="C19" i="69" s="1"/>
  <c r="C18" i="69" s="1"/>
  <c r="H19" i="92"/>
  <c r="D19" i="92"/>
  <c r="C19" i="92"/>
  <c r="E19" i="92" s="1"/>
  <c r="H18" i="92"/>
  <c r="E18" i="92"/>
  <c r="H17" i="92"/>
  <c r="E17" i="92"/>
  <c r="H16" i="92"/>
  <c r="E16" i="92"/>
  <c r="H15" i="92"/>
  <c r="D15" i="92"/>
  <c r="C15" i="92"/>
  <c r="E15" i="92" s="1"/>
  <c r="H14" i="92"/>
  <c r="E14" i="92"/>
  <c r="H13" i="92"/>
  <c r="E13" i="92"/>
  <c r="H12" i="92"/>
  <c r="E12" i="92"/>
  <c r="H11" i="92"/>
  <c r="E11" i="92"/>
  <c r="H10" i="92"/>
  <c r="E10" i="92"/>
  <c r="C9" i="69" s="1"/>
  <c r="H9" i="92"/>
  <c r="E9" i="92"/>
  <c r="C8" i="69" s="1"/>
  <c r="C6" i="69" s="1"/>
  <c r="H8" i="92"/>
  <c r="E8" i="92"/>
  <c r="H7" i="92"/>
  <c r="D7" i="92"/>
  <c r="D36" i="92" s="1"/>
  <c r="C7" i="92"/>
  <c r="H24" i="96" l="1"/>
  <c r="C6" i="79"/>
  <c r="C8" i="79" s="1"/>
  <c r="C32" i="79" s="1"/>
  <c r="C34" i="79" s="1"/>
  <c r="E29" i="93"/>
  <c r="C52" i="69"/>
  <c r="E41" i="92"/>
  <c r="C29" i="69"/>
  <c r="C36" i="92"/>
  <c r="D68" i="92"/>
  <c r="D69" i="92" s="1"/>
  <c r="C35" i="69"/>
  <c r="H41" i="92"/>
  <c r="E47" i="92"/>
  <c r="C68" i="92"/>
  <c r="C67" i="69"/>
  <c r="H29" i="93"/>
  <c r="H34" i="93"/>
  <c r="H30" i="92"/>
  <c r="C43" i="93"/>
  <c r="C45" i="93" s="1"/>
  <c r="E6" i="93"/>
  <c r="H36" i="92"/>
  <c r="H8" i="94"/>
  <c r="E8" i="94"/>
  <c r="E14" i="94"/>
  <c r="H38" i="94"/>
  <c r="E30" i="94"/>
  <c r="E11" i="94"/>
  <c r="E17" i="94"/>
  <c r="H11" i="94"/>
  <c r="H14" i="94"/>
  <c r="H6" i="93"/>
  <c r="D43" i="93"/>
  <c r="D45" i="93" s="1"/>
  <c r="C53" i="92"/>
  <c r="H68" i="92"/>
  <c r="E7" i="92"/>
  <c r="H24" i="92"/>
  <c r="C68" i="69" l="1"/>
  <c r="C70" i="69" s="1"/>
  <c r="E36" i="92"/>
  <c r="C38" i="72" s="1"/>
  <c r="E68" i="92"/>
  <c r="H53" i="92"/>
  <c r="H69" i="92" s="1"/>
  <c r="C69" i="92"/>
  <c r="E69" i="92" s="1"/>
  <c r="H45" i="93"/>
  <c r="H43" i="93"/>
  <c r="E45" i="93"/>
  <c r="E43" i="93"/>
  <c r="E53" i="92"/>
  <c r="C69" i="69" l="1"/>
  <c r="H25" i="96"/>
  <c r="B1" i="80"/>
  <c r="G33" i="80"/>
  <c r="E33" i="80"/>
  <c r="D33" i="80"/>
  <c r="G37" i="80"/>
  <c r="F24" i="80"/>
  <c r="E24" i="80"/>
  <c r="C24" i="80"/>
  <c r="G18" i="80"/>
  <c r="F18" i="80"/>
  <c r="E18" i="80"/>
  <c r="D18" i="80"/>
  <c r="G14" i="80"/>
  <c r="F14" i="80"/>
  <c r="E14" i="80"/>
  <c r="D14" i="80"/>
  <c r="C14" i="80"/>
  <c r="G11" i="80"/>
  <c r="F11" i="80"/>
  <c r="E11" i="80"/>
  <c r="D11" i="80"/>
  <c r="C11" i="80"/>
  <c r="G8" i="80"/>
  <c r="F8" i="80"/>
  <c r="E8" i="80"/>
  <c r="D8" i="80"/>
  <c r="C8" i="80"/>
  <c r="G21" i="80" l="1"/>
  <c r="G39" i="80" s="1"/>
  <c r="G6" i="71"/>
  <c r="G13" i="71" s="1"/>
  <c r="G14" i="71" s="1"/>
  <c r="F6" i="71"/>
  <c r="F13" i="71" s="1"/>
  <c r="F14" i="71" s="1"/>
  <c r="E6" i="71"/>
  <c r="E13" i="71" s="1"/>
  <c r="E14" i="71" s="1"/>
  <c r="D6" i="71"/>
  <c r="D13" i="71" s="1"/>
  <c r="D14" i="71" s="1"/>
  <c r="C6" i="71"/>
  <c r="C13" i="71" s="1"/>
  <c r="C14" i="71"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E21" i="77" s="1"/>
  <c r="D19" i="77"/>
  <c r="E19" i="77" s="1"/>
  <c r="D20" i="77"/>
  <c r="E20" i="77" s="1"/>
  <c r="C5" i="73" l="1"/>
  <c r="S21" i="35" l="1"/>
  <c r="F21" i="74" s="1"/>
  <c r="G21" i="74" s="1"/>
  <c r="H21" i="74" s="1"/>
  <c r="S20" i="35"/>
  <c r="F20" i="74" s="1"/>
  <c r="G20" i="74" s="1"/>
  <c r="H20" i="74" s="1"/>
  <c r="S19" i="35"/>
  <c r="F19" i="74" s="1"/>
  <c r="G19" i="74" s="1"/>
  <c r="H19" i="74" s="1"/>
  <c r="S18" i="35"/>
  <c r="F18" i="74" s="1"/>
  <c r="G18" i="74" s="1"/>
  <c r="H18" i="74" s="1"/>
  <c r="S17" i="35"/>
  <c r="F17" i="74" s="1"/>
  <c r="G17" i="74" s="1"/>
  <c r="H17" i="74" s="1"/>
  <c r="S16" i="35"/>
  <c r="F16" i="74" s="1"/>
  <c r="G16" i="74" s="1"/>
  <c r="H16" i="74" s="1"/>
  <c r="S15" i="35"/>
  <c r="F15" i="74" s="1"/>
  <c r="G15" i="74" s="1"/>
  <c r="H15" i="74" s="1"/>
  <c r="S14" i="35"/>
  <c r="F14" i="74" s="1"/>
  <c r="G14" i="74" s="1"/>
  <c r="H14" i="74" s="1"/>
  <c r="F13" i="74"/>
  <c r="G13" i="74" s="1"/>
  <c r="H13" i="74" s="1"/>
  <c r="S12" i="35"/>
  <c r="F12" i="74" s="1"/>
  <c r="G12" i="74" s="1"/>
  <c r="H12" i="74" s="1"/>
  <c r="S11" i="35"/>
  <c r="F11" i="74" s="1"/>
  <c r="G11" i="74" s="1"/>
  <c r="H11" i="74" s="1"/>
  <c r="S10" i="35"/>
  <c r="F10" i="74" s="1"/>
  <c r="G10" i="74" s="1"/>
  <c r="H10" i="74" s="1"/>
  <c r="S9" i="35"/>
  <c r="F9" i="74" s="1"/>
  <c r="G9" i="74" s="1"/>
  <c r="H9" i="74" s="1"/>
  <c r="S8" i="35"/>
  <c r="F8" i="74" s="1"/>
  <c r="G8" i="74" s="1"/>
  <c r="G22" i="74" l="1"/>
  <c r="H8" i="74"/>
  <c r="S22" i="35"/>
  <c r="S23" i="35" s="1"/>
  <c r="G23" i="74" l="1"/>
  <c r="D22" i="35"/>
  <c r="E22" i="35"/>
  <c r="F22" i="35"/>
  <c r="G22" i="35"/>
  <c r="H22" i="35"/>
  <c r="I22" i="35"/>
  <c r="J22" i="35"/>
  <c r="K22" i="35"/>
  <c r="L22" i="35"/>
  <c r="M22" i="35"/>
  <c r="N22" i="35"/>
  <c r="O22" i="35"/>
  <c r="P22" i="35"/>
  <c r="Q22" i="35"/>
  <c r="R22" i="35"/>
  <c r="C22" i="35"/>
  <c r="S24" i="35" l="1"/>
  <c r="C24" i="74"/>
  <c r="C23" i="74"/>
  <c r="F22" i="74"/>
  <c r="V7" i="64" l="1"/>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C55"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3" i="105" l="1"/>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<sst xmlns="http://schemas.openxmlformats.org/spreadsheetml/2006/main" count="1640" uniqueCount="1023">
  <si>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</si>
  <si>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</si>
  <si>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</si>
  <si>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</si>
  <si>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</si>
  <si>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</si>
  <si>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</si>
  <si>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</si>
  <si>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</si>
  <si>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</si>
  <si>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</si>
  <si>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</si>
  <si>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</si>
  <si>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</si>
  <si>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</si>
  <si>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</si>
  <si>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</si>
  <si>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</si>
  <si>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</si>
  <si>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</si>
  <si>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</si>
  <si>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</si>
  <si>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</si>
  <si>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</si>
  <si>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</si>
  <si>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</si>
  <si>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</si>
  <si>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</si>
  <si>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</si>
  <si>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</si>
  <si>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</si>
  <si>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</si>
  <si>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</si>
  <si>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</si>
  <si>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</si>
  <si>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</si>
  <si>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</si>
  <si>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</si>
  <si>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</si>
  <si>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</si>
  <si>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</si>
  <si>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</si>
  <si>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</si>
  <si>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</si>
  <si>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</si>
  <si>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</si>
  <si>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</si>
  <si>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</si>
  <si>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</si>
  <si>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</si>
  <si>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</si>
  <si>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</si>
  <si>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</si>
  <si>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</si>
  <si>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</si>
  <si>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</si>
  <si>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</si>
  <si>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</si>
  <si>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</si>
  <si>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</si>
  <si>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</si>
  <si>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</si>
  <si>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</si>
  <si>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</si>
  <si>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</si>
  <si>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</si>
  <si>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</si>
  <si>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</si>
  <si>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</si>
  <si>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</si>
  <si>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</si>
  <si>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</si>
  <si>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</si>
  <si>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</si>
  <si>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</si>
  <si>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</si>
  <si>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</si>
  <si>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</si>
  <si>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</si>
  <si>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</si>
  <si>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</si>
  <si>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</si>
  <si>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</si>
  <si>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</si>
  <si>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</si>
  <si>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</si>
  <si>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</si>
  <si>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</si>
  <si>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</si>
  <si>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</si>
  <si>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</si>
  <si>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</si>
  <si>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</si>
  <si>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</si>
  <si>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</si>
  <si>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</si>
  <si>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</si>
  <si>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</si>
  <si>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</si>
  <si>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</si>
  <si>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</si>
  <si>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</si>
  <si>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</si>
  <si>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</si>
  <si>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</si>
  <si>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</si>
  <si>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</si>
  <si>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</si>
  <si>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</si>
  <si>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</si>
  <si>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</si>
  <si>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</si>
  <si>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</si>
  <si>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</si>
  <si>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</si>
  <si>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</si>
  <si>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</si>
  <si>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</si>
  <si>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</si>
  <si>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</si>
  <si>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</si>
  <si>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</si>
  <si>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</si>
  <si>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</si>
  <si>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</si>
  <si>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</si>
  <si>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</si>
  <si>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</si>
  <si>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</si>
  <si>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</si>
  <si>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</si>
  <si>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</si>
  <si>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</si>
  <si>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</si>
  <si>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</si>
  <si>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</si>
  <si>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</si>
  <si>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</si>
  <si>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</si>
  <si>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</si>
  <si>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</si>
  <si>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</si>
  <si>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</si>
  <si>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</si>
  <si>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</si>
  <si>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</si>
  <si>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</si>
  <si>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</si>
  <si>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</si>
  <si>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</si>
  <si>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</si>
  <si>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</si>
  <si>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</si>
  <si>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</si>
  <si>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</si>
  <si>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</si>
  <si>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</si>
  <si>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</si>
  <si>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</si>
  <si>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</si>
  <si>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</si>
  <si>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</si>
  <si>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</si>
  <si>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</si>
  <si>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</si>
  <si>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</si>
  <si>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</si>
  <si>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</si>
  <si>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</si>
  <si>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</si>
  <si>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</si>
  <si>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</si>
  <si>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</si>
  <si>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</si>
  <si>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</si>
  <si>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</si>
  <si>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</si>
  <si>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</si>
  <si>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</si>
  <si>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</si>
  <si>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</si>
  <si>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</si>
  <si>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</si>
  <si>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</si>
  <si>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</si>
  <si>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</si>
  <si>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</si>
  <si>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</si>
  <si>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</si>
  <si>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</si>
  <si>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</si>
  <si>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</si>
  <si>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</si>
  <si>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</si>
  <si>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</si>
  <si>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</si>
  <si>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</si>
  <si>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</si>
  <si>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</si>
  <si>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</si>
  <si>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</si>
  <si>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</si>
  <si>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</si>
  <si>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</si>
  <si>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</si>
  <si>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</si>
  <si>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</si>
  <si>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</si>
  <si>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</si>
  <si>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</si>
  <si>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</si>
  <si>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</si>
  <si>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</si>
  <si>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</si>
  <si>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</si>
  <si>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</si>
  <si>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</si>
  <si>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</si>
  <si>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</si>
  <si>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</si>
  <si>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</si>
  <si>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</si>
  <si>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</si>
  <si>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</si>
  <si>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</si>
  <si>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</si>
  <si>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</si>
  <si>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</si>
  <si>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</si>
  <si>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</si>
  <si>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</si>
  <si>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</si>
  <si>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</si>
  <si>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</si>
  <si>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</si>
  <si>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</si>
  <si>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</si>
  <si>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</si>
  <si>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</si>
  <si>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</si>
  <si>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</si>
  <si>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</si>
  <si>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</si>
  <si>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</si>
  <si>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</si>
  <si>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</si>
  <si>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</si>
  <si>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</si>
  <si>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</si>
  <si>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</si>
  <si>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</si>
  <si>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</si>
  <si>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</si>
  <si>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</si>
  <si>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</si>
  <si>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</si>
  <si>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</si>
  <si>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</si>
  <si>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</si>
  <si>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</si>
  <si>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</si>
  <si>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</si>
  <si>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</si>
  <si>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</si>
  <si>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</si>
  <si>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</si>
  <si>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</si>
  <si>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</si>
  <si>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</si>
  <si>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</si>
  <si>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</si>
  <si>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</si>
  <si>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</si>
  <si>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</si>
  <si>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</si>
  <si>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</si>
  <si>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</si>
  <si>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</si>
  <si>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</si>
  <si>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</si>
  <si>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</si>
  <si>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</si>
  <si>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</si>
  <si>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</si>
  <si>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</si>
  <si>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</si>
  <si>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</si>
  <si>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</si>
  <si>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</si>
  <si>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</si>
  <si>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</si>
  <si>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</si>
  <si>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</si>
  <si>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</si>
  <si>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</si>
  <si>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</si>
  <si>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</si>
  <si>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</si>
  <si>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</si>
  <si>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</si>
  <si>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</si>
  <si>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</si>
  <si>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</si>
  <si>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</si>
  <si>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</si>
  <si>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</si>
  <si>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</si>
  <si>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</si>
  <si>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</si>
  <si>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</si>
  <si>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</si>
  <si>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</si>
  <si>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</si>
  <si>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</si>
  <si>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</si>
  <si>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</si>
  <si>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</si>
  <si>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</si>
  <si>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</si>
  <si>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</si>
  <si>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</si>
  <si>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</si>
  <si>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</si>
  <si>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</si>
  <si>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</si>
  <si>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</si>
  <si>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</si>
  <si>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</si>
  <si>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</si>
  <si>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</si>
  <si>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</si>
  <si>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</si>
  <si>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</si>
  <si>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</si>
  <si>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</si>
  <si>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</si>
  <si>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</si>
  <si>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</si>
  <si>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</si>
  <si>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</si>
  <si>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</si>
  <si>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</si>
  <si>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</si>
  <si>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</si>
  <si>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</si>
  <si>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</si>
  <si>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</si>
  <si>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</si>
  <si>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</si>
  <si>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</si>
  <si>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</si>
  <si>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</si>
  <si>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</si>
  <si>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</si>
  <si>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</si>
  <si>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</si>
  <si>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</si>
  <si>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</si>
  <si>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</si>
  <si>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</si>
  <si>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</si>
  <si>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</si>
  <si>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</si>
  <si>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</si>
  <si>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</si>
  <si>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</si>
  <si>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</si>
  <si>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</si>
  <si>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</si>
  <si>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</si>
  <si>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</si>
  <si>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</si>
  <si>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</si>
  <si>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</si>
  <si>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</si>
  <si>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</si>
  <si>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</si>
  <si>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</si>
  <si>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</si>
  <si>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</si>
  <si>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</si>
  <si>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</si>
  <si>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</si>
  <si>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</si>
  <si>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</si>
  <si>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</si>
  <si>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</si>
  <si>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</si>
  <si>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</si>
  <si>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</si>
  <si>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</si>
  <si>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</si>
  <si>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</si>
  <si>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</si>
  <si>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</si>
  <si>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</si>
  <si>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</si>
  <si>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</si>
  <si>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</si>
  <si>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</si>
  <si>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</si>
  <si>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</si>
  <si>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</si>
  <si>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</si>
  <si>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</si>
  <si>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</si>
  <si>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</si>
  <si>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</si>
  <si>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</si>
  <si>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</si>
  <si>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</si>
  <si>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</si>
  <si>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</si>
  <si>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</si>
  <si>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</si>
  <si>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</si>
  <si>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</si>
  <si>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</si>
  <si>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</si>
  <si>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</si>
  <si>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</si>
  <si>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</si>
  <si>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</si>
  <si>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</si>
  <si>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</si>
  <si>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</si>
  <si>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</si>
  <si>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</si>
  <si>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</si>
  <si>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</si>
  <si>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</si>
  <si>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</si>
  <si>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</si>
  <si>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</si>
  <si>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</si>
  <si>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</si>
  <si>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</si>
  <si>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</si>
  <si>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</si>
  <si>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</si>
  <si>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</si>
  <si>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</si>
  <si>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</si>
  <si>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</si>
  <si>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</si>
  <si>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</si>
  <si>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</si>
  <si>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</si>
  <si>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</si>
  <si>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</si>
  <si>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</si>
  <si>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</si>
  <si>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</si>
  <si>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</si>
  <si>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</si>
  <si>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</si>
  <si>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</si>
  <si>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</si>
  <si>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</si>
  <si>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</si>
  <si>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</si>
  <si>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</si>
  <si>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</si>
  <si>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</si>
  <si>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</si>
  <si>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</si>
  <si>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</si>
  <si>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</si>
  <si>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</si>
  <si>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</si>
  <si>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</si>
  <si>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</si>
  <si>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</si>
  <si>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</si>
  <si>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</si>
  <si>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</si>
  <si>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</si>
  <si>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</si>
  <si>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</si>
  <si>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</si>
  <si>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</si>
  <si>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</si>
  <si>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</si>
  <si>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</si>
  <si>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</si>
  <si>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</si>
  <si>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</si>
  <si>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</si>
  <si>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</si>
  <si>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</si>
  <si>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</si>
  <si>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</si>
  <si>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</si>
  <si>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</si>
  <si>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</si>
  <si>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</si>
  <si>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</si>
  <si>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</si>
  <si>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</si>
  <si>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</si>
  <si>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</si>
  <si>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</si>
  <si>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</si>
  <si>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</si>
  <si>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</si>
  <si>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</si>
  <si>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</si>
  <si>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</si>
  <si>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</si>
  <si>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</si>
  <si>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</si>
  <si>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</si>
  <si>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</si>
  <si>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</si>
  <si>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</si>
  <si>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</si>
  <si>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</si>
  <si>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</si>
  <si>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</si>
  <si>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</si>
  <si>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</si>
  <si>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</si>
  <si>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</si>
  <si>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</si>
  <si>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</si>
  <si>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</si>
  <si>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</si>
  <si>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</si>
  <si>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</si>
  <si>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</si>
  <si>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</si>
  <si>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</si>
  <si>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</si>
  <si>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</si>
  <si>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</si>
  <si>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</si>
  <si>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</si>
  <si>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</si>
  <si>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</si>
  <si>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</si>
  <si>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</si>
  <si>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</si>
  <si>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</si>
  <si>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</si>
  <si>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</si>
  <si>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</si>
  <si>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</si>
  <si>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</si>
  <si>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</si>
  <si>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</si>
  <si>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</si>
  <si>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</si>
  <si>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</si>
  <si>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</si>
  <si>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</si>
  <si>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</si>
  <si>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</si>
  <si>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</si>
  <si>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</si>
  <si>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</si>
  <si>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</si>
  <si>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</si>
  <si>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</si>
  <si>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</si>
  <si>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</si>
  <si>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</si>
  <si>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</si>
  <si>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</si>
  <si>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</si>
  <si>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</si>
  <si>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</si>
  <si>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</si>
  <si>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</si>
  <si>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</si>
  <si>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</si>
  <si>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</si>
  <si>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</si>
  <si>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</si>
  <si>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</si>
  <si>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</si>
  <si>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</si>
  <si>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</si>
  <si>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</si>
  <si>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</si>
  <si>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</si>
  <si>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</si>
  <si>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</si>
  <si>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</si>
  <si>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</si>
  <si>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</si>
  <si>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</si>
  <si>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</si>
  <si>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</si>
  <si>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</si>
  <si>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</si>
  <si>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</si>
  <si>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</si>
  <si>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</si>
  <si>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</si>
  <si>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</si>
  <si>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</si>
  <si>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</si>
  <si>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</si>
  <si>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</si>
  <si>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</si>
  <si>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</si>
  <si>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</si>
  <si>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</si>
  <si>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</si>
  <si>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</si>
  <si>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</si>
  <si>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</si>
  <si>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</si>
  <si>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</si>
  <si>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</si>
  <si>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</si>
  <si>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</si>
  <si>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</si>
  <si>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</si>
  <si>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</si>
  <si>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</si>
  <si>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</si>
  <si>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</si>
  <si>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</si>
  <si>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</si>
  <si>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</si>
  <si>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</si>
  <si>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</si>
  <si>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</si>
  <si>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</si>
  <si>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</si>
  <si>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</si>
  <si>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</si>
  <si>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</si>
  <si>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</si>
  <si>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</si>
  <si>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</si>
  <si>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</si>
  <si>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</si>
  <si>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</si>
  <si>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</si>
  <si>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</si>
  <si>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</si>
  <si>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</si>
  <si>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</si>
  <si>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</si>
  <si>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</si>
  <si>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</si>
  <si>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</si>
  <si>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</si>
  <si>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</si>
  <si>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</si>
  <si>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</si>
  <si>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</si>
  <si>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</si>
  <si>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</si>
  <si>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</si>
  <si>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</si>
  <si>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</si>
  <si>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</si>
  <si>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</si>
  <si>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</si>
  <si>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</si>
  <si>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</si>
  <si>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</si>
  <si>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</si>
  <si>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</si>
  <si>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</si>
  <si>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</si>
  <si>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</si>
  <si>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</si>
  <si>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</si>
  <si>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</si>
  <si>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</si>
  <si>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</si>
  <si>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</si>
  <si>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</si>
  <si>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</si>
  <si>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</si>
  <si>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</si>
  <si>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</si>
  <si>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</si>
  <si>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</si>
  <si>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</si>
  <si>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</si>
  <si>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</si>
  <si>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</si>
  <si>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</si>
  <si>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</si>
  <si>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</si>
  <si>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</si>
  <si>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</si>
  <si>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</si>
  <si>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</si>
  <si>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</si>
  <si>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</si>
  <si>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</si>
  <si>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</si>
  <si>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</si>
  <si>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</si>
  <si>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</si>
  <si>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</si>
  <si>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</si>
  <si>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</si>
  <si>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</si>
  <si>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</si>
  <si>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</si>
  <si>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</si>
  <si>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</si>
  <si>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</si>
  <si>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</si>
  <si>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</si>
  <si>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</si>
  <si>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</si>
  <si>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</si>
  <si>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</si>
  <si>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</si>
  <si>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</si>
  <si>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</si>
  <si>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</si>
  <si>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</si>
  <si>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</si>
  <si>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</si>
  <si>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</si>
  <si>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</si>
  <si>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</si>
  <si>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</si>
  <si>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</si>
  <si>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</si>
  <si>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</si>
  <si>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</si>
  <si>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</si>
  <si>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</si>
  <si>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</si>
  <si>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</si>
  <si>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</si>
  <si>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</si>
  <si>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</si>
  <si>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</si>
  <si>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</si>
  <si>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</si>
  <si>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</si>
  <si>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</si>
  <si>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</si>
  <si>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</si>
  <si>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</si>
  <si>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</si>
  <si>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</si>
  <si>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</si>
  <si>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</si>
  <si>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</si>
  <si>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</si>
  <si>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</si>
  <si>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</si>
  <si>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</si>
  <si>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</si>
  <si>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</si>
  <si>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</si>
  <si>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</si>
  <si>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</si>
  <si>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</si>
  <si>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</si>
  <si>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</si>
  <si>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</si>
  <si>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</si>
  <si>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</si>
  <si>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</si>
  <si>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</si>
  <si>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</si>
  <si>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</si>
  <si>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</si>
  <si>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</si>
  <si>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</si>
  <si>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</si>
  <si>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</si>
  <si>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</si>
  <si>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</si>
  <si>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</si>
  <si>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</si>
  <si>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</si>
  <si>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</si>
  <si>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</si>
  <si>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</si>
  <si>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</si>
  <si>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</si>
  <si>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</si>
  <si>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</si>
  <si>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</si>
  <si>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</si>
  <si>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</si>
  <si>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</si>
  <si>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</si>
  <si>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</si>
  <si>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</si>
  <si>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</si>
  <si>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</si>
  <si>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</si>
  <si>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</si>
  <si>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</si>
  <si>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</si>
  <si>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</si>
  <si>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</si>
  <si>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</si>
  <si>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</si>
  <si>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</si>
  <si>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</si>
  <si>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</si>
  <si>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</si>
  <si>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</si>
  <si>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</si>
  <si>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</si>
  <si>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</si>
  <si>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</si>
  <si>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</si>
  <si>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</si>
  <si>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</si>
  <si>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</si>
  <si>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</si>
  <si>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</si>
  <si>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</si>
  <si>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</si>
  <si>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</si>
  <si>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</si>
  <si>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</si>
  <si>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</si>
  <si>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</si>
  <si>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</si>
  <si>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</si>
  <si>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</si>
  <si>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</si>
  <si>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</si>
  <si>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</si>
  <si>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</si>
  <si>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</si>
  <si>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</si>
  <si>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</si>
  <si>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</si>
  <si>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</si>
  <si>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</si>
  <si>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</si>
  <si>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</si>
  <si>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</si>
  <si>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</si>
  <si>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</si>
  <si>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</si>
  <si>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</si>
  <si>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</si>
  <si>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</si>
  <si>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</si>
  <si>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</si>
  <si>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</si>
  <si>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</si>
  <si>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</si>
  <si>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</si>
  <si>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</si>
  <si>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</si>
  <si>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</si>
  <si>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</si>
  <si>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</si>
  <si>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</si>
  <si>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</si>
  <si>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</si>
  <si>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</si>
  <si>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</si>
  <si>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</si>
  <si>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</si>
  <si>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</si>
  <si>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</si>
  <si>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</si>
  <si>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</si>
  <si>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</si>
  <si>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</si>
  <si>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</si>
  <si>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</si>
  <si>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</si>
  <si>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</si>
  <si>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</si>
  <si>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</si>
  <si>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</si>
  <si>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</si>
  <si>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</si>
  <si>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</si>
  <si>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</si>
  <si>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</si>
  <si>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</si>
  <si>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</si>
  <si>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</si>
  <si>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</si>
  <si>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</si>
  <si>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</si>
  <si>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</si>
  <si>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</si>
  <si>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</si>
  <si>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</si>
  <si>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</si>
  <si>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</si>
  <si>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</si>
  <si>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</si>
  <si>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</si>
  <si>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</si>
  <si>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</si>
  <si>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</si>
  <si>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</si>
  <si>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</si>
  <si>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</si>
  <si>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</si>
  <si>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</si>
  <si>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</si>
  <si>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</si>
  <si>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</si>
  <si>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</si>
  <si>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</si>
  <si>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</si>
  <si>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</si>
  <si>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</si>
  <si>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</si>
  <si>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</si>
  <si>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</si>
  <si>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</si>
  <si>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</si>
  <si>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</si>
  <si>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</si>
  <si>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</si>
  <si>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</si>
  <si>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</si>
  <si>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</si>
  <si>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</si>
  <si>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</si>
  <si>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</si>
  <si>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</si>
  <si>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</si>
  <si>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</si>
  <si>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</si>
  <si>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</si>
  <si>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</si>
  <si>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</si>
  <si>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</si>
  <si>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</si>
  <si>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</si>
  <si>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</si>
  <si>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</si>
  <si>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</si>
  <si>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</si>
  <si>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</si>
  <si>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</si>
  <si>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</si>
  <si>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</si>
  <si>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</si>
  <si>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</si>
  <si>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</si>
  <si>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</si>
  <si>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</si>
  <si>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</si>
  <si>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</si>
  <si>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</si>
  <si>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</si>
  <si>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</si>
  <si>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</si>
  <si>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</si>
  <si>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</si>
  <si>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</si>
  <si>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</si>
  <si>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</si>
  <si>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</si>
  <si>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</si>
  <si>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</si>
  <si>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</si>
  <si>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</si>
  <si>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</si>
  <si>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</si>
  <si>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</si>
  <si>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</si>
  <si>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</si>
  <si>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</si>
  <si>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</si>
  <si>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</si>
  <si>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</si>
  <si>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</si>
  <si>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</si>
  <si>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</si>
  <si>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</si>
  <si>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</si>
  <si>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</si>
  <si>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</si>
  <si>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</si>
  <si>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</si>
  <si>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</si>
  <si>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</si>
  <si>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</si>
  <si>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</si>
  <si>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</si>
  <si>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</si>
  <si>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</si>
  <si>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</si>
  <si>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</si>
  <si>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</si>
  <si>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</si>
  <si>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</si>
  <si>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</si>
  <si>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</si>
  <si>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"ჰეშ ბანკი"</t>
  </si>
  <si>
    <t>ლაშა პაპაშვილი</t>
  </si>
  <si>
    <t>არმენ მატევოსიანი</t>
  </si>
  <si>
    <t>https://hashbank.ge</t>
  </si>
  <si>
    <t xml:space="preserve">ლაშა პაპაშვილი </t>
  </si>
  <si>
    <t>არადამოუკიდებელი თავმჯდომარე</t>
  </si>
  <si>
    <t xml:space="preserve">მერაბ კაკულია </t>
  </si>
  <si>
    <t>დამოუკიდებელი წევრი</t>
  </si>
  <si>
    <t xml:space="preserve">გოჩა მაცაბერიძე </t>
  </si>
  <si>
    <t xml:space="preserve">თეონა მაკალათია </t>
  </si>
  <si>
    <t>არადამოუკიდებელ წევრი</t>
  </si>
  <si>
    <t xml:space="preserve">ნანა ქებურია </t>
  </si>
  <si>
    <t>გენერალური დირექტორი</t>
  </si>
  <si>
    <t>ირაკლი ჩახნაშვილი</t>
  </si>
  <si>
    <t>ფინანსური დირექტორი</t>
  </si>
  <si>
    <t>გიორგი ჩანადირი</t>
  </si>
  <si>
    <t>ტექნოლოგიების დირექტორი</t>
  </si>
  <si>
    <t>გიორგი ქეშელაშვილი</t>
  </si>
  <si>
    <t>რისკების დირექტორი</t>
  </si>
  <si>
    <t>ვოლოდიმირ ნოსოვი</t>
  </si>
  <si>
    <t>სულხან პაპაშვილი</t>
  </si>
  <si>
    <t>ირაკლი გოგიშვილი</t>
  </si>
  <si>
    <t>კომერციული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</si>
</sst>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 numFmtId="200" formatCode="_-* #,##0.00\ _₾_-;\-* #,##0.00\ _₾_-;_-* &quot;-&quot;??\ _₾_-;_-@_-"/>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1"/>
      <color theme="1"/>
      <name val="Arial"/>
      <family val="2"/>
    </font>
    <font>
      <sz val="11"/>
      <color rgb="FFFF0000"/>
      <name val="Calibri"/>
      <family val="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172" fontId="94" fillId="0" borderId="105" applyNumberFormat="0" applyFill="0" applyAlignment="0" applyProtection="0"/>
    <xf numFmtId="173" fontId="94"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3"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72"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92"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172" fontId="85" fillId="63" borderId="104" applyNumberFormat="0" applyAlignment="0" applyProtection="0"/>
    <xf numFmtId="173" fontId="85"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3"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72"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172" fontId="68" fillId="42" borderId="102" applyNumberFormat="0" applyAlignment="0" applyProtection="0"/>
    <xf numFmtId="173" fontId="68"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3"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72"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72"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172" fontId="40" fillId="63" borderId="102" applyNumberFormat="0" applyAlignment="0" applyProtection="0"/>
    <xf numFmtId="173" fontId="40"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3"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72"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8" fillId="0" borderId="0"/>
    <xf numFmtId="0" fontId="1" fillId="0" borderId="0"/>
    <xf numFmtId="0" fontId="1" fillId="0" borderId="0"/>
  </cellStyleXfs>
  <cellXfs count="101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1" fontId="3" fillId="0" borderId="0" xfId="0" applyNumberFormat="1" applyFont="1" applyFill="1" applyBorder="1" applyAlignment="1">
      <alignment horizontal="center"/>
    </xf>
    <xf numFmtId="171" fontId="0" fillId="0" borderId="0" xfId="0" applyNumberFormat="1" applyBorder="1" applyAlignment="1">
      <alignment horizontal="center"/>
    </xf>
    <xf numFmtId="171"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6" xfId="0" applyNumberFormat="1" applyFont="1" applyFill="1" applyBorder="1" applyAlignment="1">
      <alignment horizontal="right" vertical="center"/>
    </xf>
    <xf numFmtId="49" fontId="105" fillId="0" borderId="79" xfId="0" applyNumberFormat="1" applyFont="1" applyFill="1" applyBorder="1" applyAlignment="1">
      <alignment horizontal="right" vertical="center"/>
    </xf>
    <xf numFmtId="49" fontId="105" fillId="0" borderId="84"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4"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7"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applyAlignment="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applyAlignment="1"/>
    <xf numFmtId="197" fontId="4" fillId="35" borderId="23" xfId="0" applyNumberFormat="1" applyFont="1" applyFill="1" applyBorder="1"/>
    <xf numFmtId="197" fontId="4" fillId="0" borderId="19" xfId="0" applyNumberFormat="1" applyFont="1" applyBorder="1" applyAlignment="1"/>
    <xf numFmtId="197" fontId="4" fillId="0" borderId="20" xfId="0" applyNumberFormat="1" applyFont="1" applyBorder="1" applyAlignment="1"/>
    <xf numFmtId="197" fontId="4" fillId="35" borderId="51" xfId="0" applyNumberFormat="1" applyFont="1" applyFill="1" applyBorder="1" applyAlignment="1"/>
    <xf numFmtId="197" fontId="4" fillId="35" borderId="22" xfId="0" applyNumberFormat="1" applyFont="1" applyFill="1" applyBorder="1"/>
    <xf numFmtId="197" fontId="4" fillId="35" borderId="24" xfId="0" applyNumberFormat="1" applyFont="1" applyFill="1" applyBorder="1"/>
    <xf numFmtId="197" fontId="4" fillId="35" borderId="52" xfId="0" applyNumberFormat="1" applyFont="1" applyFill="1" applyBorder="1"/>
    <xf numFmtId="197" fontId="4" fillId="0" borderId="3" xfId="0" applyNumberFormat="1" applyFont="1" applyBorder="1"/>
    <xf numFmtId="197" fontId="4" fillId="0" borderId="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applyAlignment="1"/>
    <xf numFmtId="0" fontId="4" fillId="0" borderId="26" xfId="0" applyFont="1" applyBorder="1" applyAlignment="1">
      <alignment wrapText="1"/>
    </xf>
    <xf numFmtId="197" fontId="4" fillId="0" borderId="8" xfId="0" applyNumberFormat="1" applyFont="1" applyBorder="1"/>
    <xf numFmtId="197" fontId="4" fillId="0" borderId="21" xfId="0" applyNumberFormat="1" applyFont="1" applyBorder="1" applyAlignment="1"/>
    <xf numFmtId="197"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71" fontId="4" fillId="0" borderId="20" xfId="0" applyNumberFormat="1" applyFont="1" applyBorder="1" applyAlignment="1"/>
    <xf numFmtId="171"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3" fontId="26" fillId="36" borderId="0" xfId="20" applyBorder="1"/>
    <xf numFmtId="173"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93"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0" fontId="4" fillId="0" borderId="110" xfId="0" applyFont="1" applyFill="1" applyBorder="1" applyAlignment="1">
      <alignment vertical="center"/>
    </xf>
    <xf numFmtId="173" fontId="26" fillId="36" borderId="29" xfId="20" applyBorder="1"/>
    <xf numFmtId="173" fontId="26" fillId="36" borderId="111" xfId="20" applyBorder="1"/>
    <xf numFmtId="173" fontId="26" fillId="36" borderId="101"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5"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73"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7"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8" fillId="0" borderId="116" xfId="0" applyFont="1" applyFill="1" applyBorder="1" applyAlignment="1">
      <alignment horizontal="right" vertical="center" wrapText="1"/>
    </xf>
    <xf numFmtId="0" fontId="108"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8"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2"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8"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8"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7" fontId="7" fillId="0" borderId="99" xfId="0" applyNumberFormat="1" applyFont="1" applyFill="1" applyBorder="1" applyAlignment="1" applyProtection="1">
      <alignment vertical="center" wrapText="1"/>
      <protection locked="0"/>
    </xf>
    <xf numFmtId="197" fontId="4" fillId="0" borderId="99" xfId="0" applyNumberFormat="1" applyFont="1" applyFill="1" applyBorder="1" applyAlignment="1" applyProtection="1">
      <alignment vertical="center" wrapText="1"/>
      <protection locked="0"/>
    </xf>
    <xf numFmtId="197" fontId="4" fillId="0" borderId="114" xfId="0" applyNumberFormat="1" applyFont="1" applyFill="1" applyBorder="1" applyAlignment="1" applyProtection="1">
      <alignment vertical="center" wrapText="1"/>
      <protection locked="0"/>
    </xf>
    <xf numFmtId="197"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7"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9" fontId="4" fillId="0" borderId="99" xfId="7" applyNumberFormat="1" applyFont="1" applyBorder="1"/>
    <xf numFmtId="169" fontId="4" fillId="0" borderId="114" xfId="7" applyNumberFormat="1" applyFont="1" applyBorder="1"/>
    <xf numFmtId="0" fontId="14" fillId="0" borderId="99" xfId="0" applyFont="1" applyBorder="1" applyAlignment="1">
      <alignment horizontal="left" wrapText="1" indent="2"/>
    </xf>
    <xf numFmtId="173" fontId="26" fillId="36" borderId="99" xfId="20" applyBorder="1"/>
    <xf numFmtId="169"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9" fontId="6" fillId="0" borderId="11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2" xfId="7" applyNumberFormat="1" applyFont="1" applyFill="1" applyBorder="1"/>
    <xf numFmtId="169" fontId="4" fillId="0" borderId="99" xfId="7" applyNumberFormat="1" applyFont="1" applyFill="1" applyBorder="1"/>
    <xf numFmtId="169"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3"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5" fillId="0" borderId="86" xfId="0" applyFont="1" applyFill="1" applyBorder="1" applyAlignment="1">
      <alignment horizontal="left" vertical="center"/>
    </xf>
    <xf numFmtId="0" fontId="105" fillId="0" borderId="84" xfId="0" applyFont="1" applyFill="1" applyBorder="1" applyAlignment="1">
      <alignment vertical="center" wrapText="1"/>
    </xf>
    <xf numFmtId="0" fontId="105" fillId="0" borderId="84"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30" xfId="0" applyNumberFormat="1" applyFont="1" applyFill="1" applyBorder="1" applyAlignment="1">
      <alignment horizontal="left" vertical="center" wrapText="1"/>
    </xf>
    <xf numFmtId="0" fontId="124" fillId="0" borderId="0" xfId="0" applyFont="1"/>
    <xf numFmtId="49" fontId="105" fillId="0" borderId="99"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197"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9" fillId="3" borderId="99" xfId="21414" applyFont="1" applyFill="1" applyBorder="1" applyAlignment="1">
      <alignment horizontal="left" vertical="center" wrapText="1"/>
    </xf>
    <xf numFmtId="0" fontId="130" fillId="0" borderId="99" xfId="21414" applyFont="1" applyFill="1" applyBorder="1" applyAlignment="1">
      <alignment horizontal="left" vertical="center" wrapText="1" indent="1"/>
    </xf>
    <xf numFmtId="0" fontId="131" fillId="3" borderId="99" xfId="21414" applyFont="1" applyFill="1" applyBorder="1" applyAlignment="1">
      <alignment horizontal="left" vertical="center" wrapText="1"/>
    </xf>
    <xf numFmtId="0" fontId="130" fillId="3" borderId="99" xfId="21414" applyFont="1" applyFill="1" applyBorder="1" applyAlignment="1">
      <alignment horizontal="left" vertical="center" wrapText="1" indent="1"/>
    </xf>
    <xf numFmtId="0" fontId="129" fillId="0" borderId="137" xfId="0" applyFont="1" applyFill="1" applyBorder="1" applyAlignment="1">
      <alignment horizontal="left" vertical="center" wrapText="1"/>
    </xf>
    <xf numFmtId="0" fontId="131" fillId="0" borderId="137" xfId="0" applyFont="1" applyFill="1" applyBorder="1" applyAlignment="1">
      <alignment horizontal="left" vertical="center" wrapText="1"/>
    </xf>
    <xf numFmtId="0" fontId="132" fillId="3" borderId="137" xfId="0" applyFont="1" applyFill="1" applyBorder="1" applyAlignment="1">
      <alignment horizontal="left" vertical="center" wrapText="1" indent="1"/>
    </xf>
    <xf numFmtId="0" fontId="131" fillId="3" borderId="137" xfId="0" applyFont="1" applyFill="1" applyBorder="1" applyAlignment="1">
      <alignment horizontal="left" vertical="center" wrapText="1"/>
    </xf>
    <xf numFmtId="0" fontId="131" fillId="3" borderId="138" xfId="0" applyFont="1" applyFill="1" applyBorder="1" applyAlignment="1">
      <alignment horizontal="left" vertical="center" wrapText="1"/>
    </xf>
    <xf numFmtId="0" fontId="132" fillId="0" borderId="137" xfId="0" applyFont="1" applyFill="1" applyBorder="1" applyAlignment="1">
      <alignment horizontal="left" vertical="center" wrapText="1" indent="1"/>
    </xf>
    <xf numFmtId="0" fontId="132" fillId="0" borderId="99" xfId="21414" applyFont="1" applyFill="1" applyBorder="1" applyAlignment="1">
      <alignment horizontal="left" vertical="center" wrapText="1" indent="1"/>
    </xf>
    <xf numFmtId="0" fontId="131" fillId="0" borderId="99" xfId="21414" applyFont="1" applyFill="1" applyBorder="1" applyAlignment="1">
      <alignment horizontal="left" vertical="center" wrapText="1"/>
    </xf>
    <xf numFmtId="0" fontId="133" fillId="0" borderId="99" xfId="21414" applyFont="1" applyFill="1" applyBorder="1" applyAlignment="1">
      <alignment horizontal="center" vertical="center" wrapText="1"/>
    </xf>
    <xf numFmtId="0" fontId="131" fillId="3" borderId="139" xfId="0" applyFont="1" applyFill="1" applyBorder="1" applyAlignment="1">
      <alignment horizontal="left" vertical="center" wrapText="1"/>
    </xf>
    <xf numFmtId="0" fontId="130" fillId="3" borderId="140" xfId="21414"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40" xfId="21414" applyFont="1" applyFill="1" applyBorder="1" applyAlignment="1">
      <alignment horizontal="left" vertical="center" wrapText="1" indent="1"/>
    </xf>
    <xf numFmtId="0" fontId="131" fillId="0" borderId="137" xfId="0" applyFont="1" applyBorder="1" applyAlignment="1">
      <alignment horizontal="left" vertical="center" wrapText="1"/>
    </xf>
    <xf numFmtId="0" fontId="130" fillId="0" borderId="137" xfId="0" applyFont="1" applyBorder="1" applyAlignment="1">
      <alignment horizontal="left" vertical="center" wrapText="1" indent="1"/>
    </xf>
    <xf numFmtId="0" fontId="130" fillId="0" borderId="138" xfId="0" applyFont="1" applyBorder="1" applyAlignment="1">
      <alignment horizontal="left" vertical="center" wrapText="1" indent="1"/>
    </xf>
    <xf numFmtId="0" fontId="131" fillId="0" borderId="140" xfId="21414" applyFont="1" applyFill="1" applyBorder="1" applyAlignment="1">
      <alignment horizontal="left" vertical="center" wrapText="1"/>
    </xf>
    <xf numFmtId="0" fontId="131" fillId="3" borderId="140" xfId="21414" applyFont="1" applyFill="1" applyBorder="1" applyAlignment="1">
      <alignment horizontal="left" vertical="center" wrapText="1"/>
    </xf>
    <xf numFmtId="0" fontId="133" fillId="0" borderId="140" xfId="21414" applyFont="1" applyFill="1" applyBorder="1" applyAlignment="1">
      <alignment horizontal="center" vertical="center" wrapText="1"/>
    </xf>
    <xf numFmtId="0" fontId="131" fillId="0" borderId="140" xfId="21414" applyFont="1" applyBorder="1" applyAlignment="1">
      <alignment horizontal="left" vertical="center" wrapText="1"/>
    </xf>
    <xf numFmtId="0" fontId="130" fillId="0" borderId="137" xfId="0" applyFont="1" applyFill="1" applyBorder="1" applyAlignment="1">
      <alignment horizontal="left" vertical="center" wrapText="1" indent="1"/>
    </xf>
    <xf numFmtId="0" fontId="134" fillId="0" borderId="140" xfId="0" applyFont="1" applyBorder="1" applyAlignment="1">
      <alignment horizontal="left"/>
    </xf>
    <xf numFmtId="0" fontId="131"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1" fillId="0" borderId="145" xfId="0" applyFont="1" applyFill="1" applyBorder="1" applyAlignment="1">
      <alignment horizontal="justify" vertical="center" wrapText="1"/>
    </xf>
    <xf numFmtId="0" fontId="130" fillId="0" borderId="139"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1" fillId="0" borderId="137" xfId="0" applyFont="1" applyFill="1" applyBorder="1" applyAlignment="1">
      <alignment horizontal="justify" vertical="center" wrapText="1"/>
    </xf>
    <xf numFmtId="0" fontId="129" fillId="0" borderId="137" xfId="0" applyFont="1" applyFill="1" applyBorder="1" applyAlignment="1">
      <alignment horizontal="justify" vertical="center" wrapText="1"/>
    </xf>
    <xf numFmtId="0" fontId="131" fillId="3" borderId="137" xfId="0" applyFont="1" applyFill="1" applyBorder="1" applyAlignment="1">
      <alignment horizontal="justify" vertical="center" wrapText="1"/>
    </xf>
    <xf numFmtId="0" fontId="131" fillId="0" borderId="138" xfId="0" applyFont="1" applyFill="1" applyBorder="1" applyAlignment="1">
      <alignment horizontal="justify" vertical="center" wrapText="1"/>
    </xf>
    <xf numFmtId="0" fontId="131" fillId="0" borderId="139" xfId="0" applyFont="1" applyFill="1" applyBorder="1" applyAlignment="1">
      <alignment horizontal="justify" vertical="center" wrapText="1"/>
    </xf>
    <xf numFmtId="0" fontId="131" fillId="0" borderId="140" xfId="21414" applyFont="1" applyFill="1" applyBorder="1" applyAlignment="1">
      <alignment horizontal="justify" vertical="center" wrapText="1"/>
    </xf>
    <xf numFmtId="0" fontId="132" fillId="0" borderId="131" xfId="0" applyFont="1" applyFill="1" applyBorder="1" applyAlignment="1">
      <alignment horizontal="left" vertical="center" wrapText="1" indent="1"/>
    </xf>
    <xf numFmtId="0" fontId="129" fillId="0" borderId="137" xfId="0" applyFont="1" applyFill="1" applyBorder="1" applyAlignment="1">
      <alignment vertical="center" wrapText="1"/>
    </xf>
    <xf numFmtId="0" fontId="131" fillId="0" borderId="137" xfId="0" applyFont="1" applyFill="1" applyBorder="1" applyAlignment="1">
      <alignment vertical="center" wrapText="1"/>
    </xf>
    <xf numFmtId="0" fontId="131"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7" fontId="9" fillId="0" borderId="140" xfId="0" applyNumberFormat="1" applyFont="1" applyFill="1" applyBorder="1" applyAlignment="1" applyProtection="1">
      <alignment horizontal="right"/>
    </xf>
    <xf numFmtId="197" fontId="9" fillId="35" borderId="140" xfId="0" applyNumberFormat="1" applyFont="1" applyFill="1" applyBorder="1" applyAlignment="1" applyProtection="1">
      <alignment horizontal="right"/>
    </xf>
    <xf numFmtId="197"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5" fillId="0" borderId="140" xfId="0" applyFont="1" applyFill="1" applyBorder="1" applyAlignment="1" applyProtection="1">
      <alignment horizontal="left" vertical="center" indent="1"/>
      <protection locked="0"/>
    </xf>
    <xf numFmtId="0" fontId="136" fillId="0" borderId="140" xfId="0" applyFont="1" applyFill="1" applyBorder="1" applyAlignment="1" applyProtection="1">
      <alignment horizontal="left" vertical="center" indent="3"/>
      <protection locked="0"/>
    </xf>
    <xf numFmtId="0" fontId="137"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7" fontId="9" fillId="0" borderId="0" xfId="0" applyNumberFormat="1" applyFont="1" applyFill="1" applyBorder="1" applyAlignment="1" applyProtection="1">
      <alignment horizontal="right"/>
    </xf>
    <xf numFmtId="49" fontId="105" fillId="0" borderId="140" xfId="0" applyNumberFormat="1" applyFont="1" applyFill="1" applyBorder="1" applyAlignment="1">
      <alignment horizontal="right" vertical="center"/>
    </xf>
    <xf numFmtId="0" fontId="0" fillId="0" borderId="140" xfId="0" applyBorder="1" applyAlignment="1">
      <alignment horizontal="center" vertical="center"/>
    </xf>
    <xf numFmtId="168" fontId="4" fillId="0" borderId="140" xfId="7" applyFont="1" applyFill="1" applyBorder="1" applyAlignment="1">
      <alignment vertical="center" wrapText="1"/>
    </xf>
    <xf numFmtId="168" fontId="4" fillId="0" borderId="99" xfId="7" applyFont="1" applyBorder="1" applyAlignment="1">
      <alignment vertical="center"/>
    </xf>
    <xf numFmtId="168" fontId="4" fillId="0" borderId="140" xfId="7" applyFont="1" applyBorder="1" applyAlignment="1">
      <alignment vertical="center"/>
    </xf>
    <xf numFmtId="0" fontId="0" fillId="0" borderId="144" xfId="0" applyBorder="1" applyAlignment="1">
      <alignment horizontal="center"/>
    </xf>
    <xf numFmtId="0" fontId="130" fillId="0" borderId="144" xfId="21414" applyFont="1" applyFill="1" applyBorder="1" applyAlignment="1">
      <alignment horizontal="left" vertical="center" wrapText="1" indent="1"/>
    </xf>
    <xf numFmtId="0" fontId="130" fillId="3" borderId="140" xfId="0" applyFont="1" applyFill="1" applyBorder="1" applyAlignment="1">
      <alignment horizontal="left" vertical="center" wrapText="1" indent="1"/>
    </xf>
    <xf numFmtId="171" fontId="23" fillId="0" borderId="140" xfId="0" applyNumberFormat="1" applyFont="1" applyBorder="1" applyAlignment="1">
      <alignment horizontal="center"/>
    </xf>
    <xf numFmtId="0" fontId="131" fillId="0" borderId="140" xfId="0" applyFont="1" applyBorder="1" applyAlignment="1">
      <alignment horizontal="left" vertical="center" wrapText="1"/>
    </xf>
    <xf numFmtId="0" fontId="23" fillId="0" borderId="140" xfId="0" applyFont="1" applyBorder="1"/>
    <xf numFmtId="0" fontId="130" fillId="0" borderId="140" xfId="0" applyFont="1" applyBorder="1" applyAlignment="1">
      <alignment horizontal="left" vertical="center" wrapText="1" indent="1"/>
    </xf>
    <xf numFmtId="0" fontId="130" fillId="0" borderId="140" xfId="0" applyFont="1" applyFill="1" applyBorder="1" applyAlignment="1">
      <alignment horizontal="left" vertical="center" wrapText="1" indent="1"/>
    </xf>
    <xf numFmtId="0" fontId="132" fillId="3" borderId="140" xfId="0" applyFont="1" applyFill="1" applyBorder="1" applyAlignment="1">
      <alignment horizontal="left" vertical="center" wrapText="1" indent="1"/>
    </xf>
    <xf numFmtId="0" fontId="132" fillId="0" borderId="140" xfId="0" applyFont="1" applyFill="1" applyBorder="1" applyAlignment="1">
      <alignment horizontal="left" vertical="center" wrapText="1" indent="1"/>
    </xf>
    <xf numFmtId="171" fontId="23" fillId="0" borderId="140" xfId="0" applyNumberFormat="1" applyFont="1" applyFill="1" applyBorder="1" applyAlignment="1">
      <alignment horizontal="center"/>
    </xf>
    <xf numFmtId="171" fontId="22" fillId="0" borderId="56" xfId="0" applyNumberFormat="1" applyFont="1" applyFill="1" applyBorder="1" applyAlignment="1">
      <alignment horizontal="center"/>
    </xf>
    <xf numFmtId="171" fontId="18" fillId="0" borderId="58" xfId="0" applyNumberFormat="1" applyFont="1" applyFill="1" applyBorder="1" applyAlignment="1">
      <alignment horizontal="center"/>
    </xf>
    <xf numFmtId="0" fontId="119" fillId="0" borderId="140" xfId="0" applyFont="1" applyBorder="1"/>
    <xf numFmtId="49" fontId="121" fillId="0" borderId="140" xfId="5" applyNumberFormat="1" applyFont="1" applyFill="1" applyBorder="1" applyAlignment="1" applyProtection="1">
      <alignment horizontal="right" vertical="center"/>
      <protection locked="0"/>
    </xf>
    <xf numFmtId="0" fontId="120" fillId="3" borderId="140" xfId="13" applyFont="1" applyFill="1" applyBorder="1" applyAlignment="1" applyProtection="1">
      <alignment horizontal="left" vertical="center" wrapText="1"/>
      <protection locked="0"/>
    </xf>
    <xf numFmtId="49" fontId="120" fillId="3" borderId="140" xfId="5" applyNumberFormat="1" applyFont="1" applyFill="1" applyBorder="1" applyAlignment="1" applyProtection="1">
      <alignment horizontal="right" vertical="center"/>
      <protection locked="0"/>
    </xf>
    <xf numFmtId="0" fontId="120" fillId="0" borderId="140" xfId="13" applyFont="1" applyFill="1" applyBorder="1" applyAlignment="1" applyProtection="1">
      <alignment horizontal="left" vertical="center" wrapText="1"/>
      <protection locked="0"/>
    </xf>
    <xf numFmtId="49" fontId="120" fillId="0" borderId="140" xfId="5" applyNumberFormat="1" applyFont="1" applyFill="1" applyBorder="1" applyAlignment="1" applyProtection="1">
      <alignment horizontal="right" vertical="center"/>
      <protection locked="0"/>
    </xf>
    <xf numFmtId="0" fontId="122" fillId="0" borderId="140" xfId="13" applyFont="1" applyFill="1" applyBorder="1" applyAlignment="1" applyProtection="1">
      <alignment horizontal="left" vertical="center" wrapText="1"/>
      <protection locked="0"/>
    </xf>
    <xf numFmtId="0" fontId="119" fillId="0" borderId="140" xfId="0" applyFont="1" applyBorder="1" applyAlignment="1">
      <alignment horizontal="center" vertical="center" wrapText="1"/>
    </xf>
    <xf numFmtId="0" fontId="119" fillId="0" borderId="140" xfId="0" applyFont="1" applyFill="1" applyBorder="1" applyAlignment="1">
      <alignment horizontal="center" vertical="center" wrapText="1"/>
    </xf>
    <xf numFmtId="43" fontId="115" fillId="35" borderId="148" xfId="21413" applyFont="1" applyFill="1" applyBorder="1"/>
    <xf numFmtId="0" fontId="115" fillId="0" borderId="148" xfId="0" applyFont="1" applyBorder="1"/>
    <xf numFmtId="0" fontId="115" fillId="0" borderId="148" xfId="0" applyFont="1" applyFill="1" applyBorder="1"/>
    <xf numFmtId="0" fontId="115" fillId="0" borderId="148" xfId="0" applyFont="1" applyBorder="1" applyAlignment="1">
      <alignment horizontal="left" indent="8"/>
    </xf>
    <xf numFmtId="0" fontId="115" fillId="0" borderId="148" xfId="0" applyFont="1" applyBorder="1" applyAlignment="1">
      <alignment wrapText="1"/>
    </xf>
    <xf numFmtId="0" fontId="118" fillId="0" borderId="148" xfId="0" applyFont="1" applyBorder="1"/>
    <xf numFmtId="49" fontId="121" fillId="0" borderId="148" xfId="5" applyNumberFormat="1" applyFont="1" applyFill="1" applyBorder="1" applyAlignment="1" applyProtection="1">
      <alignment horizontal="right" vertical="center" wrapText="1"/>
      <protection locked="0"/>
    </xf>
    <xf numFmtId="49" fontId="120" fillId="3" borderId="148" xfId="5" applyNumberFormat="1" applyFont="1" applyFill="1" applyBorder="1" applyAlignment="1" applyProtection="1">
      <alignment horizontal="right" vertical="center" wrapText="1"/>
      <protection locked="0"/>
    </xf>
    <xf numFmtId="49" fontId="120" fillId="0" borderId="148" xfId="5" applyNumberFormat="1" applyFont="1" applyFill="1" applyBorder="1" applyAlignment="1" applyProtection="1">
      <alignment horizontal="right" vertical="center" wrapText="1"/>
      <protection locked="0"/>
    </xf>
    <xf numFmtId="0" fontId="115" fillId="0" borderId="148" xfId="0" applyFont="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8" xfId="0" applyFont="1" applyFill="1" applyBorder="1"/>
    <xf numFmtId="0" fontId="115" fillId="0" borderId="148" xfId="0" applyNumberFormat="1" applyFont="1" applyFill="1" applyBorder="1" applyAlignment="1">
      <alignment horizontal="left" vertical="center" wrapText="1"/>
    </xf>
    <xf numFmtId="0" fontId="119" fillId="0" borderId="148" xfId="0" applyFont="1" applyBorder="1"/>
    <xf numFmtId="0" fontId="118" fillId="0" borderId="148" xfId="0" applyFont="1" applyFill="1" applyBorder="1" applyAlignment="1">
      <alignment horizontal="left" wrapText="1" indent="1"/>
    </xf>
    <xf numFmtId="0" fontId="118" fillId="0" borderId="148" xfId="0" applyFont="1" applyFill="1" applyBorder="1" applyAlignment="1">
      <alignment horizontal="left" vertical="center" indent="1"/>
    </xf>
    <xf numFmtId="0" fontId="116" fillId="0" borderId="148" xfId="0" applyFont="1" applyBorder="1"/>
    <xf numFmtId="0" fontId="115" fillId="0" borderId="148" xfId="0" applyFont="1" applyFill="1" applyBorder="1" applyAlignment="1">
      <alignment horizontal="left" wrapText="1" indent="1"/>
    </xf>
    <xf numFmtId="0" fontId="115" fillId="0" borderId="148" xfId="0" applyFont="1" applyFill="1" applyBorder="1" applyAlignment="1">
      <alignment horizontal="left" indent="1"/>
    </xf>
    <xf numFmtId="0" fontId="115" fillId="0" borderId="148" xfId="0" applyFont="1" applyFill="1" applyBorder="1" applyAlignment="1">
      <alignment horizontal="left" wrapText="1" indent="4"/>
    </xf>
    <xf numFmtId="0" fontId="115" fillId="0" borderId="148" xfId="0" applyNumberFormat="1" applyFont="1" applyFill="1" applyBorder="1" applyAlignment="1">
      <alignment horizontal="left" indent="3"/>
    </xf>
    <xf numFmtId="0" fontId="118" fillId="0" borderId="148" xfId="0" applyFont="1" applyFill="1" applyBorder="1" applyAlignment="1">
      <alignment horizontal="left" indent="1"/>
    </xf>
    <xf numFmtId="0" fontId="119" fillId="0" borderId="148" xfId="0" applyFont="1" applyFill="1" applyBorder="1" applyAlignment="1">
      <alignment horizontal="center" vertical="center" wrapText="1"/>
    </xf>
    <xf numFmtId="0" fontId="115" fillId="78" borderId="148" xfId="0" applyFont="1" applyFill="1" applyBorder="1"/>
    <xf numFmtId="0" fontId="118" fillId="0" borderId="7" xfId="0" applyFont="1" applyBorder="1"/>
    <xf numFmtId="0" fontId="115" fillId="0" borderId="148" xfId="0" applyFont="1" applyFill="1" applyBorder="1" applyAlignment="1">
      <alignment horizontal="left" wrapText="1" indent="2"/>
    </xf>
    <xf numFmtId="0" fontId="115" fillId="0" borderId="148" xfId="0" applyFont="1" applyFill="1" applyBorder="1" applyAlignment="1">
      <alignment horizontal="left" wrapText="1"/>
    </xf>
    <xf numFmtId="0" fontId="115" fillId="0" borderId="0" xfId="0" applyFont="1" applyBorder="1"/>
    <xf numFmtId="0" fontId="118" fillId="80" borderId="148" xfId="0" applyFont="1" applyFill="1" applyBorder="1"/>
    <xf numFmtId="0" fontId="115" fillId="0" borderId="148" xfId="0" applyFont="1" applyBorder="1" applyAlignment="1">
      <alignment horizontal="left" indent="1"/>
    </xf>
    <xf numFmtId="0" fontId="115" fillId="0" borderId="148" xfId="0" applyFont="1" applyBorder="1" applyAlignment="1">
      <alignment horizontal="center"/>
    </xf>
    <xf numFmtId="0" fontId="115" fillId="0" borderId="0" xfId="0" applyFont="1" applyBorder="1" applyAlignment="1">
      <alignment horizontal="center" vertical="center"/>
    </xf>
    <xf numFmtId="0" fontId="115" fillId="0" borderId="148"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0" xfId="0" applyFont="1" applyFill="1"/>
    <xf numFmtId="0" fontId="115" fillId="0" borderId="154" xfId="0" applyFont="1" applyFill="1" applyBorder="1"/>
    <xf numFmtId="0" fontId="115" fillId="0" borderId="155" xfId="0" applyFont="1" applyFill="1" applyBorder="1"/>
    <xf numFmtId="49" fontId="115" fillId="0" borderId="156" xfId="0" applyNumberFormat="1" applyFont="1" applyFill="1" applyBorder="1" applyAlignment="1">
      <alignment horizontal="left" wrapText="1" indent="1"/>
    </xf>
    <xf numFmtId="49" fontId="115" fillId="0" borderId="154"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0" fontId="115" fillId="0" borderId="157" xfId="0" applyFont="1" applyFill="1" applyBorder="1"/>
    <xf numFmtId="49" fontId="115" fillId="0" borderId="158" xfId="0" applyNumberFormat="1" applyFont="1" applyFill="1" applyBorder="1" applyAlignment="1">
      <alignment horizontal="left" wrapText="1" indent="1"/>
    </xf>
    <xf numFmtId="49" fontId="115" fillId="0" borderId="157" xfId="0" applyNumberFormat="1" applyFont="1" applyFill="1" applyBorder="1" applyAlignment="1">
      <alignment horizontal="left" wrapText="1" indent="1"/>
    </xf>
    <xf numFmtId="0" fontId="115" fillId="0" borderId="158" xfId="0" applyNumberFormat="1" applyFont="1" applyFill="1" applyBorder="1" applyAlignment="1">
      <alignment horizontal="left" wrapText="1" indent="1"/>
    </xf>
    <xf numFmtId="49" fontId="115" fillId="0" borderId="158" xfId="0" applyNumberFormat="1" applyFont="1" applyFill="1" applyBorder="1" applyAlignment="1">
      <alignment horizontal="left" wrapText="1" indent="3"/>
    </xf>
    <xf numFmtId="49" fontId="115" fillId="0" borderId="157" xfId="0" applyNumberFormat="1" applyFont="1" applyFill="1" applyBorder="1" applyAlignment="1">
      <alignment horizontal="left" wrapText="1" indent="3"/>
    </xf>
    <xf numFmtId="49" fontId="115" fillId="0" borderId="158" xfId="0" applyNumberFormat="1" applyFont="1" applyFill="1" applyBorder="1" applyAlignment="1">
      <alignment horizontal="left" wrapText="1" indent="2"/>
    </xf>
    <xf numFmtId="49" fontId="115" fillId="0" borderId="157" xfId="0" applyNumberFormat="1" applyFont="1" applyFill="1" applyBorder="1" applyAlignment="1">
      <alignment horizontal="left" wrapText="1" indent="2"/>
    </xf>
    <xf numFmtId="49" fontId="115" fillId="0" borderId="158" xfId="0" applyNumberFormat="1" applyFont="1" applyBorder="1" applyAlignment="1">
      <alignment horizontal="left" wrapText="1" indent="2"/>
    </xf>
    <xf numFmtId="49" fontId="115" fillId="0" borderId="158" xfId="0" applyNumberFormat="1" applyFont="1" applyFill="1" applyBorder="1" applyAlignment="1">
      <alignment horizontal="left" vertical="top" wrapText="1" indent="2"/>
    </xf>
    <xf numFmtId="49" fontId="115" fillId="0" borderId="157" xfId="0" applyNumberFormat="1" applyFont="1" applyFill="1" applyBorder="1" applyAlignment="1">
      <alignment horizontal="left" vertical="top" wrapText="1" indent="2"/>
    </xf>
    <xf numFmtId="0" fontId="115" fillId="79" borderId="157" xfId="0" applyFont="1" applyFill="1" applyBorder="1"/>
    <xf numFmtId="0" fontId="115" fillId="79" borderId="148" xfId="0" applyFont="1" applyFill="1" applyBorder="1"/>
    <xf numFmtId="0" fontId="115" fillId="79" borderId="158" xfId="0" applyFont="1" applyFill="1" applyBorder="1"/>
    <xf numFmtId="49" fontId="115" fillId="0" borderId="157" xfId="0" applyNumberFormat="1" applyFont="1" applyFill="1" applyBorder="1" applyAlignment="1">
      <alignment horizontal="left" indent="1"/>
    </xf>
    <xf numFmtId="0" fontId="115" fillId="0" borderId="158" xfId="0" applyNumberFormat="1" applyFont="1" applyBorder="1" applyAlignment="1">
      <alignment horizontal="left" indent="1"/>
    </xf>
    <xf numFmtId="0" fontId="115" fillId="0" borderId="157" xfId="0" applyFont="1" applyBorder="1"/>
    <xf numFmtId="49" fontId="115" fillId="0" borderId="158" xfId="0" applyNumberFormat="1" applyFont="1" applyFill="1" applyBorder="1" applyAlignment="1">
      <alignment horizontal="left" indent="1"/>
    </xf>
    <xf numFmtId="49" fontId="115" fillId="0" borderId="158" xfId="0" applyNumberFormat="1" applyFont="1" applyBorder="1" applyAlignment="1">
      <alignment horizontal="left" indent="1"/>
    </xf>
    <xf numFmtId="49" fontId="115" fillId="0" borderId="158" xfId="0" applyNumberFormat="1" applyFont="1" applyFill="1" applyBorder="1" applyAlignment="1">
      <alignment horizontal="left" indent="3"/>
    </xf>
    <xf numFmtId="49" fontId="115" fillId="0" borderId="157" xfId="0" applyNumberFormat="1" applyFont="1" applyFill="1" applyBorder="1" applyAlignment="1">
      <alignment horizontal="left" indent="3"/>
    </xf>
    <xf numFmtId="49" fontId="115" fillId="0" borderId="158" xfId="0" applyNumberFormat="1" applyFont="1" applyBorder="1" applyAlignment="1">
      <alignment horizontal="left" indent="3"/>
    </xf>
    <xf numFmtId="0" fontId="115" fillId="0" borderId="158" xfId="0" applyFont="1" applyBorder="1" applyAlignment="1">
      <alignment horizontal="left" indent="2"/>
    </xf>
    <xf numFmtId="0" fontId="115" fillId="0" borderId="157" xfId="0" applyFont="1" applyBorder="1" applyAlignment="1">
      <alignment horizontal="left" indent="2"/>
    </xf>
    <xf numFmtId="0" fontId="115" fillId="0" borderId="158" xfId="0" applyFont="1" applyBorder="1" applyAlignment="1">
      <alignment horizontal="left" indent="1"/>
    </xf>
    <xf numFmtId="0" fontId="115" fillId="0" borderId="157" xfId="0" applyFont="1" applyBorder="1" applyAlignment="1">
      <alignment horizontal="left" indent="1"/>
    </xf>
    <xf numFmtId="0" fontId="118" fillId="0" borderId="69" xfId="0" applyFont="1" applyBorder="1"/>
    <xf numFmtId="0" fontId="118" fillId="0" borderId="64" xfId="0" applyFont="1" applyBorder="1"/>
    <xf numFmtId="0" fontId="115" fillId="0" borderId="69"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8" xfId="0" applyNumberFormat="1" applyFont="1" applyFill="1" applyBorder="1" applyAlignment="1">
      <alignment horizontal="left" vertical="center" wrapText="1"/>
    </xf>
    <xf numFmtId="0" fontId="115" fillId="0" borderId="148" xfId="0" applyFont="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8" xfId="0" applyFont="1" applyBorder="1"/>
    <xf numFmtId="0" fontId="118" fillId="0" borderId="148"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5" xfId="0" applyNumberFormat="1" applyFont="1" applyFill="1" applyBorder="1" applyAlignment="1">
      <alignment horizontal="left" vertical="center" wrapText="1" indent="1" readingOrder="1"/>
    </xf>
    <xf numFmtId="0" fontId="120" fillId="0" borderId="148" xfId="0" applyFont="1" applyBorder="1" applyAlignment="1">
      <alignment horizontal="left" indent="3"/>
    </xf>
    <xf numFmtId="0" fontId="118" fillId="0" borderId="148" xfId="0" applyNumberFormat="1" applyFont="1" applyFill="1" applyBorder="1" applyAlignment="1">
      <alignment vertical="center" wrapText="1" readingOrder="1"/>
    </xf>
    <xf numFmtId="0" fontId="120" fillId="0" borderId="148" xfId="0" applyFont="1" applyFill="1" applyBorder="1" applyAlignment="1">
      <alignment horizontal="left" indent="2"/>
    </xf>
    <xf numFmtId="0" fontId="120" fillId="0" borderId="149" xfId="0" applyFont="1" applyBorder="1"/>
    <xf numFmtId="0" fontId="115" fillId="0" borderId="136" xfId="0" applyNumberFormat="1" applyFont="1" applyFill="1" applyBorder="1" applyAlignment="1">
      <alignment vertical="center" wrapText="1" readingOrder="1"/>
    </xf>
    <xf numFmtId="0" fontId="120" fillId="0" borderId="149" xfId="0" applyFont="1" applyBorder="1" applyAlignment="1">
      <alignment horizontal="left" indent="2"/>
    </xf>
    <xf numFmtId="0" fontId="115" fillId="0" borderId="135" xfId="0" applyNumberFormat="1" applyFont="1" applyFill="1" applyBorder="1" applyAlignment="1">
      <alignment vertical="center" wrapText="1" readingOrder="1"/>
    </xf>
    <xf numFmtId="0" fontId="120" fillId="0" borderId="148" xfId="0" applyFont="1" applyBorder="1" applyAlignment="1">
      <alignment horizontal="left" indent="2"/>
    </xf>
    <xf numFmtId="0" fontId="115" fillId="0" borderId="134" xfId="0" applyNumberFormat="1" applyFont="1" applyFill="1" applyBorder="1" applyAlignment="1">
      <alignment vertical="center" wrapText="1" readingOrder="1"/>
    </xf>
    <xf numFmtId="0" fontId="138" fillId="0" borderId="7" xfId="0" applyFont="1" applyBorder="1"/>
    <xf numFmtId="0" fontId="105" fillId="0" borderId="148" xfId="0" applyFont="1" applyFill="1" applyBorder="1" applyAlignment="1">
      <alignment vertical="center" wrapText="1"/>
    </xf>
    <xf numFmtId="0" fontId="105" fillId="0" borderId="148" xfId="0" applyFont="1" applyBorder="1" applyAlignment="1">
      <alignment horizontal="left" vertical="center" wrapText="1"/>
    </xf>
    <xf numFmtId="0" fontId="105" fillId="0" borderId="148" xfId="0" applyFont="1" applyBorder="1" applyAlignment="1">
      <alignment horizontal="left" indent="2"/>
    </xf>
    <xf numFmtId="0" fontId="105" fillId="0" borderId="148" xfId="0" applyNumberFormat="1" applyFont="1" applyFill="1" applyBorder="1" applyAlignment="1">
      <alignment vertical="center" wrapText="1"/>
    </xf>
    <xf numFmtId="0" fontId="105" fillId="0" borderId="148" xfId="0" applyNumberFormat="1" applyFont="1" applyFill="1" applyBorder="1" applyAlignment="1">
      <alignment horizontal="left" vertical="center" indent="1"/>
    </xf>
    <xf numFmtId="0" fontId="105" fillId="0" borderId="148" xfId="0" applyNumberFormat="1" applyFont="1" applyFill="1" applyBorder="1" applyAlignment="1">
      <alignment horizontal="left" vertical="center" wrapText="1" indent="1"/>
    </xf>
    <xf numFmtId="0"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horizontal="right" vertical="center"/>
    </xf>
    <xf numFmtId="49" fontId="105" fillId="0" borderId="148" xfId="0" applyNumberFormat="1" applyFont="1" applyFill="1" applyBorder="1" applyAlignment="1">
      <alignment vertical="top" wrapText="1"/>
    </xf>
    <xf numFmtId="49" fontId="105" fillId="0" borderId="148" xfId="0" applyNumberFormat="1" applyFont="1" applyFill="1" applyBorder="1" applyAlignment="1">
      <alignment horizontal="left" vertical="top" wrapText="1" indent="2"/>
    </xf>
    <xf numFmtId="49" fontId="105" fillId="0" borderId="148" xfId="0" applyNumberFormat="1" applyFont="1" applyFill="1" applyBorder="1" applyAlignment="1">
      <alignment horizontal="left" vertical="center" wrapText="1" indent="3"/>
    </xf>
    <xf numFmtId="49" fontId="105" fillId="0" borderId="148" xfId="0" applyNumberFormat="1" applyFont="1" applyFill="1" applyBorder="1" applyAlignment="1">
      <alignment horizontal="left" wrapText="1" indent="2"/>
    </xf>
    <xf numFmtId="49" fontId="105" fillId="0" borderId="148" xfId="0" applyNumberFormat="1" applyFont="1" applyFill="1" applyBorder="1" applyAlignment="1">
      <alignment horizontal="left" vertical="top" wrapText="1"/>
    </xf>
    <xf numFmtId="49" fontId="105" fillId="0" borderId="148" xfId="0" applyNumberFormat="1" applyFont="1" applyFill="1" applyBorder="1" applyAlignment="1">
      <alignment horizontal="left" wrapText="1" indent="3"/>
    </xf>
    <xf numFmtId="49" fontId="105" fillId="0" borderId="148" xfId="0" applyNumberFormat="1" applyFont="1" applyFill="1" applyBorder="1" applyAlignment="1">
      <alignment vertical="center"/>
    </xf>
    <xf numFmtId="0" fontId="105" fillId="0" borderId="148" xfId="0" applyFont="1" applyFill="1" applyBorder="1" applyAlignment="1">
      <alignment horizontal="left" vertical="center" wrapText="1"/>
    </xf>
    <xf numFmtId="49" fontId="105" fillId="0" borderId="148" xfId="0" applyNumberFormat="1" applyFont="1" applyFill="1" applyBorder="1" applyAlignment="1">
      <alignment horizontal="left" indent="3"/>
    </xf>
    <xf numFmtId="0" fontId="105" fillId="0" borderId="148" xfId="0" applyFont="1" applyBorder="1" applyAlignment="1">
      <alignment horizontal="left" indent="1"/>
    </xf>
    <xf numFmtId="0" fontId="105" fillId="0" borderId="148" xfId="0" applyNumberFormat="1" applyFont="1" applyFill="1" applyBorder="1" applyAlignment="1">
      <alignment horizontal="left" vertical="center" wrapText="1"/>
    </xf>
    <xf numFmtId="0" fontId="105" fillId="0" borderId="148" xfId="0" applyFont="1" applyFill="1" applyBorder="1" applyAlignment="1">
      <alignment horizontal="left" wrapText="1" indent="2"/>
    </xf>
    <xf numFmtId="0" fontId="105" fillId="0" borderId="148" xfId="0" applyFont="1" applyBorder="1" applyAlignment="1">
      <alignment horizontal="left" vertical="top" wrapText="1"/>
    </xf>
    <xf numFmtId="0" fontId="104" fillId="0" borderId="7" xfId="0" applyFont="1" applyBorder="1" applyAlignment="1">
      <alignment wrapText="1"/>
    </xf>
    <xf numFmtId="0" fontId="105" fillId="0" borderId="148" xfId="0" applyFont="1" applyBorder="1" applyAlignment="1">
      <alignment horizontal="left" vertical="top" wrapText="1" indent="2"/>
    </xf>
    <xf numFmtId="0" fontId="105" fillId="0" borderId="148" xfId="0" applyFont="1" applyBorder="1" applyAlignment="1">
      <alignment horizontal="left" wrapText="1"/>
    </xf>
    <xf numFmtId="0" fontId="105" fillId="0" borderId="148" xfId="12672" applyFont="1" applyFill="1" applyBorder="1" applyAlignment="1">
      <alignment horizontal="left" vertical="center" wrapText="1" indent="2"/>
    </xf>
    <xf numFmtId="0" fontId="105" fillId="0" borderId="148" xfId="0" applyFont="1" applyBorder="1" applyAlignment="1">
      <alignment horizontal="left" wrapText="1" indent="2"/>
    </xf>
    <xf numFmtId="0" fontId="105" fillId="0" borderId="148" xfId="0" applyFont="1" applyBorder="1" applyAlignment="1">
      <alignment wrapText="1"/>
    </xf>
    <xf numFmtId="0" fontId="105" fillId="0" borderId="148" xfId="0" applyFont="1" applyBorder="1"/>
    <xf numFmtId="0" fontId="105" fillId="0" borderId="148" xfId="12672" applyFont="1" applyFill="1" applyBorder="1" applyAlignment="1">
      <alignment horizontal="left" vertical="center" wrapText="1"/>
    </xf>
    <xf numFmtId="0" fontId="104" fillId="0" borderId="148" xfId="0" applyFont="1" applyBorder="1" applyAlignment="1">
      <alignment wrapText="1"/>
    </xf>
    <xf numFmtId="0" fontId="105" fillId="0" borderId="150" xfId="0" applyNumberFormat="1" applyFont="1" applyFill="1" applyBorder="1" applyAlignment="1">
      <alignment horizontal="left" vertical="center" wrapText="1"/>
    </xf>
    <xf numFmtId="0" fontId="105" fillId="3" borderId="148" xfId="5" applyNumberFormat="1" applyFont="1" applyFill="1" applyBorder="1" applyAlignment="1" applyProtection="1">
      <alignment horizontal="right" vertical="center"/>
      <protection locked="0"/>
    </xf>
    <xf numFmtId="2" fontId="105" fillId="3" borderId="148" xfId="5" applyNumberFormat="1" applyFont="1" applyFill="1" applyBorder="1" applyAlignment="1" applyProtection="1">
      <alignment horizontal="right" vertical="center"/>
      <protection locked="0"/>
    </xf>
    <xf numFmtId="0" fontId="105" fillId="0" borderId="148" xfId="0" applyNumberFormat="1" applyFont="1" applyFill="1" applyBorder="1" applyAlignment="1">
      <alignment vertical="center"/>
    </xf>
    <xf numFmtId="0" fontId="105" fillId="0" borderId="150" xfId="13" applyFont="1" applyFill="1" applyBorder="1" applyAlignment="1" applyProtection="1">
      <alignment horizontal="left" vertical="top" wrapText="1"/>
      <protection locked="0"/>
    </xf>
    <xf numFmtId="0" fontId="105" fillId="0" borderId="151" xfId="13" applyFont="1" applyFill="1" applyBorder="1" applyAlignment="1" applyProtection="1">
      <alignment horizontal="left" vertical="top" wrapText="1"/>
      <protection locked="0"/>
    </xf>
    <xf numFmtId="0" fontId="105" fillId="0" borderId="149"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9" xfId="0" applyFont="1" applyBorder="1" applyAlignment="1">
      <alignment horizontal="left" indent="2"/>
    </xf>
    <xf numFmtId="0" fontId="105" fillId="0" borderId="136" xfId="0" applyNumberFormat="1" applyFont="1" applyFill="1" applyBorder="1" applyAlignment="1">
      <alignment horizontal="left" vertical="center" wrapText="1" readingOrder="1"/>
    </xf>
    <xf numFmtId="0" fontId="105" fillId="0" borderId="148" xfId="0" applyNumberFormat="1" applyFont="1" applyFill="1" applyBorder="1" applyAlignment="1">
      <alignment horizontal="left" vertical="center" wrapText="1" readingOrder="1"/>
    </xf>
    <xf numFmtId="171"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8" xfId="0" applyFont="1" applyFill="1" applyBorder="1" applyAlignment="1">
      <alignment horizontal="left" vertical="center"/>
    </xf>
    <xf numFmtId="49" fontId="144" fillId="0" borderId="148" xfId="0" applyNumberFormat="1" applyFont="1" applyFill="1" applyBorder="1" applyAlignment="1">
      <alignment horizontal="left" vertical="center"/>
    </xf>
    <xf numFmtId="0" fontId="144" fillId="0" borderId="148" xfId="0" applyFont="1" applyFill="1" applyBorder="1" applyAlignment="1">
      <alignment horizontal="left" vertical="center"/>
    </xf>
    <xf numFmtId="0" fontId="143" fillId="0" borderId="148" xfId="0" applyFont="1" applyFill="1" applyBorder="1" applyAlignment="1">
      <alignment horizontal="left" vertical="center"/>
    </xf>
    <xf numFmtId="0" fontId="143" fillId="83" borderId="17" xfId="0" applyFont="1" applyFill="1" applyBorder="1" applyAlignment="1">
      <alignment horizontal="center" vertical="center"/>
    </xf>
    <xf numFmtId="0" fontId="143" fillId="83" borderId="18" xfId="0" applyFont="1" applyFill="1" applyBorder="1" applyAlignment="1">
      <alignment horizontal="center" vertical="center"/>
    </xf>
    <xf numFmtId="198" fontId="143" fillId="82" borderId="157" xfId="7" applyNumberFormat="1" applyFont="1" applyFill="1" applyBorder="1" applyAlignment="1">
      <alignment horizontal="left" vertical="center"/>
    </xf>
    <xf numFmtId="198" fontId="144"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7" fillId="84" borderId="155" xfId="0" applyFont="1" applyFill="1" applyBorder="1" applyAlignment="1">
      <alignment horizontal="left" vertical="center"/>
    </xf>
    <xf numFmtId="10" fontId="148"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8" fontId="6" fillId="86" borderId="148" xfId="7" applyNumberFormat="1" applyFont="1" applyFill="1" applyBorder="1" applyAlignment="1">
      <alignment vertical="center"/>
    </xf>
    <xf numFmtId="198" fontId="6" fillId="86" borderId="157" xfId="7" applyNumberFormat="1" applyFont="1" applyFill="1" applyBorder="1" applyAlignment="1">
      <alignment vertical="center"/>
    </xf>
    <xf numFmtId="0" fontId="144" fillId="82" borderId="148" xfId="0" applyFont="1" applyFill="1" applyBorder="1" applyAlignment="1">
      <alignment horizontal="left" vertical="center" wrapText="1" indent="3"/>
    </xf>
    <xf numFmtId="198" fontId="6" fillId="35" borderId="148" xfId="7" applyNumberFormat="1" applyFont="1" applyFill="1" applyBorder="1" applyAlignment="1">
      <alignment vertical="center"/>
    </xf>
    <xf numFmtId="0" fontId="151" fillId="82" borderId="148" xfId="0" applyFont="1" applyFill="1" applyBorder="1" applyAlignment="1">
      <alignment horizontal="left" vertical="center" wrapText="1" indent="5"/>
    </xf>
    <xf numFmtId="0" fontId="152" fillId="83" borderId="148" xfId="0" applyFont="1" applyFill="1" applyBorder="1" applyAlignment="1" applyProtection="1">
      <alignment horizontal="left" vertical="center" wrapText="1" indent="1"/>
    </xf>
    <xf numFmtId="198" fontId="152" fillId="83" borderId="148" xfId="7" applyNumberFormat="1" applyFont="1" applyFill="1" applyBorder="1" applyAlignment="1">
      <alignment vertical="center"/>
    </xf>
    <xf numFmtId="198" fontId="152" fillId="84" borderId="157" xfId="7" applyNumberFormat="1" applyFont="1" applyFill="1" applyBorder="1" applyAlignment="1">
      <alignment vertical="center"/>
    </xf>
    <xf numFmtId="198" fontId="153" fillId="82" borderId="148" xfId="7" applyNumberFormat="1" applyFont="1" applyFill="1" applyBorder="1" applyAlignment="1">
      <alignment vertical="center"/>
    </xf>
    <xf numFmtId="198" fontId="153" fillId="84" borderId="157" xfId="7" applyNumberFormat="1" applyFont="1" applyFill="1" applyBorder="1" applyAlignment="1">
      <alignment vertical="center"/>
    </xf>
    <xf numFmtId="0" fontId="151" fillId="82" borderId="155" xfId="0" applyFont="1" applyFill="1" applyBorder="1" applyAlignment="1">
      <alignment horizontal="left" vertical="center" wrapText="1" indent="5"/>
    </xf>
    <xf numFmtId="198" fontId="153" fillId="82" borderId="155" xfId="7" applyNumberFormat="1" applyFont="1" applyFill="1" applyBorder="1" applyAlignment="1">
      <alignment vertical="center"/>
    </xf>
    <xf numFmtId="198" fontId="153"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9" xfId="0" applyNumberFormat="1" applyFont="1" applyFill="1" applyBorder="1" applyAlignment="1">
      <alignment horizontal="right" vertical="center"/>
    </xf>
    <xf numFmtId="0" fontId="154" fillId="0" borderId="148" xfId="12672" applyFont="1" applyFill="1" applyBorder="1" applyAlignment="1">
      <alignment horizontal="left" vertical="center" wrapText="1"/>
    </xf>
    <xf numFmtId="0" fontId="154" fillId="0" borderId="149" xfId="0" applyNumberFormat="1" applyFont="1" applyFill="1" applyBorder="1" applyAlignment="1">
      <alignment horizontal="left" vertical="top" wrapText="1"/>
    </xf>
    <xf numFmtId="0" fontId="154" fillId="0" borderId="148" xfId="0" applyFont="1" applyFill="1" applyBorder="1" applyAlignment="1">
      <alignment vertical="center" wrapText="1"/>
    </xf>
    <xf numFmtId="0" fontId="131" fillId="0" borderId="148" xfId="21414" applyFont="1" applyFill="1" applyBorder="1" applyAlignment="1">
      <alignment horizontal="left" vertical="center" wrapText="1"/>
    </xf>
    <xf numFmtId="197"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8" fillId="3" borderId="148" xfId="5" applyFont="1" applyFill="1" applyBorder="1" applyProtection="1">
      <protection locked="0"/>
    </xf>
    <xf numFmtId="0" fontId="138" fillId="0" borderId="148" xfId="21416" applyFont="1" applyFill="1" applyBorder="1" applyAlignment="1" applyProtection="1">
      <alignment horizontal="center" vertical="top" wrapText="1"/>
      <protection locked="0"/>
    </xf>
    <xf numFmtId="0" fontId="155" fillId="3" borderId="148" xfId="21416" applyFont="1" applyFill="1" applyBorder="1" applyAlignment="1" applyProtection="1">
      <alignment wrapText="1"/>
      <protection locked="0"/>
    </xf>
    <xf numFmtId="3" fontId="138" fillId="80" borderId="148" xfId="5" applyNumberFormat="1" applyFont="1" applyFill="1" applyBorder="1" applyAlignment="1" applyProtection="1"/>
    <xf numFmtId="0" fontId="136" fillId="3" borderId="148" xfId="21416" applyFont="1" applyFill="1" applyBorder="1" applyAlignment="1" applyProtection="1">
      <alignment horizontal="right" wrapText="1"/>
      <protection locked="0"/>
    </xf>
    <xf numFmtId="3" fontId="138" fillId="0" borderId="148" xfId="5" applyNumberFormat="1" applyFont="1" applyFill="1" applyBorder="1" applyProtection="1"/>
    <xf numFmtId="0" fontId="156" fillId="0" borderId="0" xfId="21415" applyFont="1" applyFill="1" applyAlignment="1" applyProtection="1">
      <alignment vertical="center"/>
      <protection locked="0"/>
    </xf>
    <xf numFmtId="0" fontId="111"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2" fillId="69" borderId="149" xfId="21412" applyFont="1" applyFill="1" applyBorder="1" applyAlignment="1" applyProtection="1">
      <alignment horizontal="center" vertical="center"/>
      <protection locked="0"/>
    </xf>
    <xf numFmtId="0" fontId="112" fillId="0" borderId="150" xfId="21412" applyFont="1" applyFill="1" applyBorder="1" applyAlignment="1" applyProtection="1">
      <alignment horizontal="left" vertical="center" wrapText="1"/>
      <protection locked="0"/>
    </xf>
    <xf numFmtId="169" fontId="112" fillId="0" borderId="148" xfId="948" applyNumberFormat="1" applyFont="1" applyFill="1" applyBorder="1" applyAlignment="1" applyProtection="1">
      <alignment horizontal="right" vertical="center"/>
      <protection locked="0"/>
    </xf>
    <xf numFmtId="0" fontId="111"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top" wrapText="1"/>
      <protection locked="0"/>
    </xf>
    <xf numFmtId="169" fontId="112" fillId="77" borderId="148" xfId="948" applyNumberFormat="1" applyFont="1" applyFill="1" applyBorder="1" applyAlignment="1" applyProtection="1">
      <alignment horizontal="right" vertical="center"/>
    </xf>
    <xf numFmtId="0" fontId="111" fillId="76" borderId="151" xfId="21412" applyFont="1" applyFill="1" applyBorder="1" applyAlignment="1" applyProtection="1">
      <alignment vertical="center"/>
      <protection locked="0"/>
    </xf>
    <xf numFmtId="169" fontId="62" fillId="76" borderId="150" xfId="948" applyNumberFormat="1" applyFont="1" applyFill="1" applyBorder="1" applyAlignment="1" applyProtection="1">
      <alignment horizontal="right" vertical="center"/>
      <protection locked="0"/>
    </xf>
    <xf numFmtId="0" fontId="113" fillId="69" borderId="149" xfId="21412" applyFont="1" applyFill="1" applyBorder="1" applyAlignment="1" applyProtection="1">
      <alignment horizontal="center" vertical="center"/>
      <protection locked="0"/>
    </xf>
    <xf numFmtId="0" fontId="112" fillId="69" borderId="148" xfId="21412" applyFont="1" applyFill="1" applyBorder="1" applyAlignment="1" applyProtection="1">
      <alignment vertical="center" wrapText="1"/>
      <protection locked="0"/>
    </xf>
    <xf numFmtId="0" fontId="112" fillId="69" borderId="148" xfId="21412" applyFont="1" applyFill="1" applyBorder="1" applyAlignment="1" applyProtection="1">
      <alignment horizontal="left" vertical="center" wrapText="1"/>
      <protection locked="0"/>
    </xf>
    <xf numFmtId="0" fontId="112" fillId="0" borderId="148" xfId="21412" applyFont="1" applyFill="1" applyBorder="1" applyAlignment="1" applyProtection="1">
      <alignment horizontal="left" vertical="center" wrapText="1"/>
      <protection locked="0"/>
    </xf>
    <xf numFmtId="0" fontId="113" fillId="3" borderId="149" xfId="21412" applyFont="1" applyFill="1" applyBorder="1" applyAlignment="1" applyProtection="1">
      <alignment horizontal="center" vertical="center"/>
      <protection locked="0"/>
    </xf>
    <xf numFmtId="0" fontId="112" fillId="0" borderId="148" xfId="21412" applyFont="1" applyFill="1" applyBorder="1" applyAlignment="1" applyProtection="1">
      <alignment vertical="center" wrapText="1"/>
      <protection locked="0"/>
    </xf>
    <xf numFmtId="0" fontId="114" fillId="77" borderId="148" xfId="21412" applyFont="1" applyFill="1" applyBorder="1" applyAlignment="1" applyProtection="1">
      <alignment horizontal="center" vertical="center"/>
      <protection locked="0"/>
    </xf>
    <xf numFmtId="0" fontId="111" fillId="77" borderId="150" xfId="21412" applyFont="1" applyFill="1" applyBorder="1" applyAlignment="1" applyProtection="1">
      <alignment vertical="center" wrapText="1"/>
      <protection locked="0"/>
    </xf>
    <xf numFmtId="169" fontId="111" fillId="76" borderId="150" xfId="948" applyNumberFormat="1" applyFont="1" applyFill="1" applyBorder="1" applyAlignment="1" applyProtection="1">
      <alignment horizontal="right" vertical="center"/>
      <protection locked="0"/>
    </xf>
    <xf numFmtId="0" fontId="112"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9" fontId="112" fillId="3" borderId="148" xfId="948" applyNumberFormat="1" applyFont="1" applyFill="1" applyBorder="1" applyAlignment="1" applyProtection="1">
      <alignment horizontal="right" vertical="center"/>
      <protection locked="0"/>
    </xf>
    <xf numFmtId="0" fontId="113" fillId="3" borderId="148" xfId="21412" applyFont="1" applyFill="1" applyBorder="1" applyAlignment="1" applyProtection="1">
      <alignment horizontal="center" vertical="center"/>
      <protection locked="0"/>
    </xf>
    <xf numFmtId="0" fontId="112" fillId="69" borderId="150"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8" xfId="5" applyFont="1" applyFill="1" applyBorder="1" applyAlignment="1" applyProtection="1">
      <alignment vertical="center" wrapText="1"/>
      <protection locked="0"/>
    </xf>
    <xf numFmtId="0" fontId="138" fillId="0" borderId="148" xfId="21416" applyFont="1" applyFill="1" applyBorder="1" applyAlignment="1" applyProtection="1">
      <alignment horizontal="center" vertical="center" wrapText="1"/>
      <protection locked="0"/>
    </xf>
    <xf numFmtId="3" fontId="138" fillId="3" borderId="148" xfId="1" applyNumberFormat="1" applyFont="1" applyFill="1" applyBorder="1" applyAlignment="1" applyProtection="1">
      <alignment horizontal="center" vertical="center" wrapText="1"/>
      <protection locked="0"/>
    </xf>
    <xf numFmtId="9" fontId="138" fillId="3" borderId="148" xfId="15" applyNumberFormat="1" applyFont="1" applyFill="1" applyBorder="1" applyAlignment="1" applyProtection="1">
      <alignment horizontal="center" vertical="center" wrapText="1"/>
      <protection locked="0"/>
    </xf>
    <xf numFmtId="0" fontId="138" fillId="3" borderId="148" xfId="21416" applyFont="1" applyFill="1" applyBorder="1" applyAlignment="1" applyProtection="1">
      <alignment horizontal="center" vertical="center" wrapText="1"/>
      <protection locked="0"/>
    </xf>
    <xf numFmtId="0" fontId="155" fillId="3" borderId="148" xfId="21416" applyFont="1" applyFill="1" applyBorder="1" applyAlignment="1" applyProtection="1">
      <protection locked="0"/>
    </xf>
    <xf numFmtId="0" fontId="158" fillId="3" borderId="148" xfId="21416" applyFont="1" applyFill="1" applyBorder="1" applyAlignment="1" applyProtection="1">
      <alignment horizontal="right"/>
      <protection locked="0"/>
    </xf>
    <xf numFmtId="199" fontId="138" fillId="80" borderId="148" xfId="5" applyNumberFormat="1" applyFont="1" applyFill="1" applyBorder="1" applyAlignment="1" applyProtection="1">
      <protection locked="0"/>
    </xf>
    <xf numFmtId="169" fontId="138" fillId="80" borderId="148" xfId="1" applyNumberFormat="1" applyFont="1" applyFill="1" applyBorder="1" applyAlignment="1" applyProtection="1"/>
    <xf numFmtId="0" fontId="138" fillId="3" borderId="148" xfId="21416" applyFont="1" applyFill="1" applyBorder="1" applyAlignment="1" applyProtection="1">
      <alignment horizontal="left" vertical="center"/>
      <protection locked="0"/>
    </xf>
    <xf numFmtId="3" fontId="138" fillId="3" borderId="148" xfId="5" applyNumberFormat="1" applyFont="1" applyFill="1" applyBorder="1" applyAlignment="1" applyProtection="1">
      <protection locked="0"/>
    </xf>
    <xf numFmtId="0" fontId="138" fillId="3" borderId="148" xfId="5" applyFont="1" applyFill="1" applyBorder="1" applyAlignment="1" applyProtection="1">
      <protection locked="0"/>
    </xf>
    <xf numFmtId="0" fontId="136" fillId="3" borderId="148" xfId="21416" applyFont="1" applyFill="1" applyBorder="1" applyAlignment="1" applyProtection="1">
      <alignment horizontal="right"/>
      <protection locked="0"/>
    </xf>
    <xf numFmtId="0" fontId="138" fillId="0" borderId="148" xfId="21416" applyFont="1" applyFill="1" applyBorder="1" applyAlignment="1" applyProtection="1">
      <alignment horizontal="left" vertical="center"/>
      <protection locked="0"/>
    </xf>
    <xf numFmtId="0" fontId="155" fillId="3" borderId="148" xfId="16" applyFont="1" applyFill="1" applyBorder="1" applyAlignment="1" applyProtection="1">
      <protection locked="0"/>
    </xf>
    <xf numFmtId="3" fontId="155" fillId="76" borderId="148" xfId="16" applyNumberFormat="1" applyFont="1" applyFill="1" applyBorder="1" applyAlignment="1" applyProtection="1"/>
    <xf numFmtId="0" fontId="105" fillId="0" borderId="99" xfId="0" applyFont="1" applyFill="1" applyBorder="1" applyAlignment="1">
      <alignment horizontal="left" vertical="center" wrapText="1"/>
    </xf>
    <xf numFmtId="0" fontId="162" fillId="0" borderId="148" xfId="0" applyFont="1" applyBorder="1"/>
    <xf numFmtId="0" fontId="11" fillId="0" borderId="148" xfId="17" applyBorder="1" applyAlignment="1" applyProtection="1"/>
    <xf numFmtId="14" fontId="4" fillId="0" borderId="0" xfId="0" applyNumberFormat="1" applyFont="1" applyAlignment="1">
      <alignment horizontal="left"/>
    </xf>
    <xf numFmtId="9" fontId="9" fillId="2" borderId="99" xfId="20961" applyFont="1" applyFill="1" applyBorder="1" applyAlignment="1" applyProtection="1">
      <alignment vertical="center"/>
      <protection locked="0"/>
    </xf>
    <xf numFmtId="9" fontId="17" fillId="2" borderId="99" xfId="20961" applyFont="1" applyFill="1" applyBorder="1" applyAlignment="1" applyProtection="1">
      <alignment vertical="center"/>
      <protection locked="0"/>
    </xf>
    <xf numFmtId="9" fontId="17" fillId="2" borderId="114" xfId="20961" applyFont="1" applyFill="1" applyBorder="1" applyAlignment="1" applyProtection="1">
      <alignment vertical="center"/>
      <protection locked="0"/>
    </xf>
    <xf numFmtId="9" fontId="26" fillId="36" borderId="0" xfId="20961" applyFont="1" applyFill="1" applyBorder="1"/>
    <xf numFmtId="9" fontId="26" fillId="36" borderId="92" xfId="20961" applyFont="1" applyFill="1" applyBorder="1"/>
    <xf numFmtId="9" fontId="9" fillId="2" borderId="114" xfId="20961" applyFont="1" applyFill="1" applyBorder="1" applyAlignment="1" applyProtection="1">
      <alignment vertical="center"/>
      <protection locked="0"/>
    </xf>
    <xf numFmtId="9" fontId="9" fillId="2" borderId="23" xfId="20961" applyFont="1" applyFill="1" applyBorder="1" applyAlignment="1" applyProtection="1">
      <alignment vertical="center"/>
      <protection locked="0"/>
    </xf>
    <xf numFmtId="169" fontId="9" fillId="2" borderId="94" xfId="7" applyNumberFormat="1" applyFont="1" applyFill="1" applyBorder="1" applyAlignment="1" applyProtection="1">
      <alignment vertical="center"/>
      <protection locked="0"/>
    </xf>
    <xf numFmtId="169" fontId="17" fillId="2" borderId="94" xfId="7" applyNumberFormat="1" applyFont="1" applyFill="1" applyBorder="1" applyAlignment="1" applyProtection="1">
      <alignment vertical="center"/>
      <protection locked="0"/>
    </xf>
    <xf numFmtId="169" fontId="17" fillId="2" borderId="108" xfId="7" applyNumberFormat="1" applyFont="1" applyFill="1" applyBorder="1" applyAlignment="1" applyProtection="1">
      <alignment vertical="center"/>
      <protection locked="0"/>
    </xf>
    <xf numFmtId="9" fontId="4" fillId="0" borderId="99" xfId="20961" applyNumberFormat="1" applyFont="1" applyFill="1" applyBorder="1" applyAlignment="1" applyProtection="1">
      <alignment horizontal="right" vertical="center" wrapText="1"/>
      <protection locked="0"/>
    </xf>
    <xf numFmtId="9" fontId="4" fillId="0" borderId="99" xfId="20961" applyNumberFormat="1" applyFont="1" applyBorder="1" applyAlignment="1" applyProtection="1">
      <alignment vertical="center" wrapText="1"/>
      <protection locked="0"/>
    </xf>
    <xf numFmtId="9" fontId="4" fillId="0" borderId="114" xfId="20961" applyNumberFormat="1" applyFont="1" applyBorder="1" applyAlignment="1" applyProtection="1">
      <alignment vertical="center" wrapText="1"/>
      <protection locked="0"/>
    </xf>
    <xf numFmtId="0" fontId="105" fillId="0" borderId="99" xfId="0" applyFont="1" applyFill="1" applyBorder="1" applyAlignment="1">
      <alignment horizontal="left"/>
    </xf>
    <xf numFmtId="14" fontId="116" fillId="0" borderId="0" xfId="0" applyNumberFormat="1" applyFont="1" applyAlignment="1">
      <alignment horizontal="left"/>
    </xf>
    <xf numFmtId="169" fontId="0" fillId="0" borderId="148" xfId="7" applyNumberFormat="1" applyFont="1" applyBorder="1"/>
    <xf numFmtId="169" fontId="0" fillId="0" borderId="99" xfId="7" applyNumberFormat="1" applyFont="1" applyBorder="1"/>
    <xf numFmtId="169" fontId="0" fillId="35" borderId="99" xfId="7" applyNumberFormat="1" applyFont="1" applyFill="1" applyBorder="1"/>
    <xf numFmtId="169" fontId="0" fillId="0" borderId="99" xfId="7" applyNumberFormat="1" applyFont="1" applyBorder="1" applyAlignment="1">
      <alignment vertical="center"/>
    </xf>
    <xf numFmtId="169" fontId="0" fillId="35" borderId="99" xfId="7" applyNumberFormat="1" applyFont="1" applyFill="1" applyBorder="1" applyAlignment="1">
      <alignment vertical="center"/>
    </xf>
    <xf numFmtId="169" fontId="0" fillId="0" borderId="140" xfId="7" applyNumberFormat="1" applyFont="1" applyBorder="1"/>
    <xf numFmtId="169" fontId="0" fillId="35" borderId="140" xfId="7" applyNumberFormat="1" applyFont="1" applyFill="1" applyBorder="1"/>
    <xf numFmtId="169" fontId="0" fillId="0" borderId="140" xfId="7" applyNumberFormat="1" applyFont="1" applyBorder="1" applyProtection="1"/>
    <xf numFmtId="169" fontId="0" fillId="0" borderId="148" xfId="7" applyNumberFormat="1" applyFont="1" applyFill="1" applyBorder="1"/>
    <xf numFmtId="0" fontId="9" fillId="0" borderId="151" xfId="0" applyFont="1" applyBorder="1" applyAlignment="1">
      <alignment wrapText="1"/>
    </xf>
    <xf numFmtId="0" fontId="4" fillId="0" borderId="157" xfId="0" applyFont="1" applyBorder="1" applyAlignment="1"/>
    <xf numFmtId="0" fontId="9" fillId="0" borderId="157" xfId="0" applyFont="1" applyBorder="1"/>
    <xf numFmtId="0" fontId="9" fillId="0" borderId="158" xfId="0" applyFont="1" applyBorder="1" applyAlignment="1">
      <alignment vertical="center"/>
    </xf>
    <xf numFmtId="0" fontId="13" fillId="0" borderId="151" xfId="0" applyFont="1" applyBorder="1" applyAlignment="1">
      <alignment wrapText="1"/>
    </xf>
    <xf numFmtId="10" fontId="4" fillId="0" borderId="21" xfId="20961" applyNumberFormat="1" applyFont="1" applyBorder="1" applyAlignment="1"/>
    <xf numFmtId="0" fontId="9" fillId="0" borderId="107" xfId="0" applyFont="1" applyBorder="1" applyAlignment="1">
      <alignment vertical="center"/>
    </xf>
    <xf numFmtId="0" fontId="13" fillId="0" borderId="147" xfId="0" applyFont="1" applyBorder="1" applyAlignment="1">
      <alignment wrapText="1"/>
    </xf>
    <xf numFmtId="10" fontId="4" fillId="0" borderId="114" xfId="20961" applyNumberFormat="1" applyFont="1" applyBorder="1" applyAlignment="1"/>
    <xf numFmtId="10" fontId="4" fillId="0" borderId="108" xfId="20961" applyNumberFormat="1" applyFont="1" applyBorder="1" applyAlignment="1"/>
    <xf numFmtId="10" fontId="4" fillId="0" borderId="24" xfId="20961" applyNumberFormat="1" applyFont="1" applyBorder="1" applyAlignment="1"/>
    <xf numFmtId="197" fontId="4" fillId="0" borderId="0" xfId="0" applyNumberFormat="1" applyFont="1"/>
    <xf numFmtId="3" fontId="4" fillId="0" borderId="0" xfId="0" applyNumberFormat="1" applyFont="1"/>
    <xf numFmtId="169" fontId="0" fillId="0" borderId="0" xfId="0" applyNumberFormat="1"/>
    <xf numFmtId="1" fontId="4" fillId="0" borderId="0" xfId="0" applyNumberFormat="1" applyFont="1" applyFill="1" applyAlignment="1">
      <alignment horizontal="left" vertical="center"/>
    </xf>
    <xf numFmtId="10" fontId="112" fillId="77" borderId="148" xfId="20961" applyNumberFormat="1" applyFont="1" applyFill="1" applyBorder="1" applyAlignment="1" applyProtection="1">
      <alignment horizontal="right" vertical="center"/>
    </xf>
    <xf numFmtId="169" fontId="4" fillId="0" borderId="148" xfId="7" applyNumberFormat="1" applyFont="1" applyBorder="1"/>
    <xf numFmtId="43" fontId="116" fillId="0" borderId="0" xfId="0" applyNumberFormat="1" applyFont="1"/>
    <xf numFmtId="43" fontId="116" fillId="0" borderId="0" xfId="0" applyNumberFormat="1" applyFont="1" applyBorder="1"/>
    <xf numFmtId="169" fontId="119" fillId="0" borderId="140" xfId="7" applyNumberFormat="1" applyFont="1" applyBorder="1"/>
    <xf numFmtId="171" fontId="0" fillId="0" borderId="0" xfId="0" applyNumberFormat="1"/>
    <xf numFmtId="168" fontId="4" fillId="0" borderId="114" xfId="7" applyFont="1" applyFill="1" applyBorder="1" applyAlignment="1">
      <alignment horizontal="right" vertical="center" wrapText="1"/>
    </xf>
    <xf numFmtId="168" fontId="6" fillId="35" borderId="114" xfId="7" applyFont="1" applyFill="1" applyBorder="1" applyAlignment="1">
      <alignment horizontal="right" vertical="center" wrapText="1"/>
    </xf>
    <xf numFmtId="168" fontId="108" fillId="0" borderId="114" xfId="7" applyFont="1" applyFill="1" applyBorder="1" applyAlignment="1">
      <alignment horizontal="right" vertical="center" wrapText="1"/>
    </xf>
    <xf numFmtId="168" fontId="6" fillId="35" borderId="114" xfId="7" applyFont="1" applyFill="1" applyBorder="1" applyAlignment="1">
      <alignment horizontal="center" vertical="center" wrapText="1"/>
    </xf>
    <xf numFmtId="168" fontId="7" fillId="0" borderId="24" xfId="7" applyFont="1" applyFill="1" applyBorder="1" applyAlignment="1" applyProtection="1">
      <alignment horizontal="right" vertical="center"/>
    </xf>
    <xf numFmtId="168" fontId="4" fillId="0" borderId="0" xfId="7" applyFont="1"/>
    <xf numFmtId="168" fontId="23" fillId="0" borderId="0" xfId="7" applyFont="1"/>
    <xf numFmtId="168" fontId="9" fillId="0" borderId="0" xfId="7" applyFont="1" applyFill="1" applyBorder="1" applyAlignment="1" applyProtection="1"/>
    <xf numFmtId="168" fontId="4" fillId="0" borderId="59" xfId="7" applyFont="1" applyFill="1" applyBorder="1" applyAlignment="1">
      <alignment horizontal="center" vertical="center" wrapText="1"/>
    </xf>
    <xf numFmtId="168" fontId="22" fillId="0" borderId="30" xfId="7" applyFont="1" applyBorder="1" applyAlignment="1">
      <alignment horizontal="center" vertical="center"/>
    </xf>
    <xf numFmtId="168" fontId="23" fillId="0" borderId="12" xfId="7" applyFont="1" applyBorder="1" applyAlignment="1">
      <alignment horizontal="center" vertical="center"/>
    </xf>
    <xf numFmtId="168" fontId="22" fillId="0" borderId="12" xfId="7" applyFont="1" applyBorder="1" applyAlignment="1">
      <alignment horizontal="center" vertical="center"/>
    </xf>
    <xf numFmtId="168" fontId="19" fillId="0" borderId="12" xfId="7" applyFont="1" applyBorder="1" applyAlignment="1">
      <alignment horizontal="center" vertical="center"/>
    </xf>
    <xf numFmtId="168" fontId="103" fillId="0" borderId="12" xfId="7" applyFont="1" applyBorder="1" applyAlignment="1">
      <alignment horizontal="center" vertical="center"/>
    </xf>
    <xf numFmtId="168" fontId="23" fillId="0" borderId="12" xfId="7" applyFont="1" applyFill="1" applyBorder="1" applyAlignment="1">
      <alignment horizontal="center" vertical="center"/>
    </xf>
    <xf numFmtId="168" fontId="23" fillId="0" borderId="13" xfId="7" applyFont="1" applyBorder="1" applyAlignment="1">
      <alignment horizontal="center" vertical="center"/>
    </xf>
    <xf numFmtId="168" fontId="22" fillId="0" borderId="14" xfId="7" applyFont="1" applyFill="1" applyBorder="1" applyAlignment="1">
      <alignment horizontal="center" vertical="center"/>
    </xf>
    <xf numFmtId="168" fontId="22" fillId="0" borderId="15" xfId="7" applyFont="1" applyBorder="1" applyAlignment="1">
      <alignment horizontal="center" vertical="center"/>
    </xf>
    <xf numFmtId="168" fontId="22" fillId="0" borderId="13" xfId="7" applyFont="1" applyBorder="1" applyAlignment="1">
      <alignment horizontal="center" vertical="center"/>
    </xf>
    <xf numFmtId="168" fontId="19" fillId="0" borderId="13" xfId="7" applyFont="1" applyBorder="1" applyAlignment="1">
      <alignment vertical="center"/>
    </xf>
    <xf numFmtId="168" fontId="23" fillId="0" borderId="140" xfId="7" applyFont="1" applyBorder="1" applyAlignment="1">
      <alignment horizontal="center" vertical="center"/>
    </xf>
    <xf numFmtId="168" fontId="22" fillId="0" borderId="140" xfId="7" applyFont="1" applyFill="1" applyBorder="1" applyAlignment="1">
      <alignment horizontal="center" vertical="center"/>
    </xf>
    <xf numFmtId="168" fontId="22" fillId="0" borderId="140" xfId="7" applyFont="1" applyBorder="1" applyAlignment="1">
      <alignment horizontal="center"/>
    </xf>
    <xf numFmtId="168" fontId="23" fillId="0" borderId="140" xfId="7" applyFont="1" applyBorder="1" applyAlignment="1">
      <alignment horizontal="center"/>
    </xf>
    <xf numFmtId="168" fontId="23" fillId="0" borderId="140" xfId="7" applyFont="1" applyBorder="1"/>
    <xf numFmtId="168" fontId="22" fillId="0" borderId="140" xfId="7" applyFont="1" applyBorder="1" applyAlignment="1">
      <alignment horizontal="center" vertical="center"/>
    </xf>
    <xf numFmtId="169" fontId="4" fillId="0" borderId="0" xfId="7" applyNumberFormat="1" applyFont="1"/>
    <xf numFmtId="197" fontId="0" fillId="0" borderId="0" xfId="0" applyNumberFormat="1"/>
    <xf numFmtId="168" fontId="0" fillId="0" borderId="0" xfId="7" applyFont="1"/>
    <xf numFmtId="200" fontId="0" fillId="0" borderId="0" xfId="0" applyNumberFormat="1"/>
    <xf numFmtId="169" fontId="0" fillId="0" borderId="0" xfId="7" applyNumberFormat="1" applyFont="1"/>
    <xf numFmtId="169" fontId="163" fillId="0" borderId="0" xfId="0" applyNumberFormat="1" applyFont="1"/>
    <xf numFmtId="169" fontId="4" fillId="0" borderId="20" xfId="7" applyNumberFormat="1" applyFont="1" applyBorder="1" applyAlignment="1"/>
    <xf numFmtId="169" fontId="4" fillId="35" borderId="24" xfId="7" applyNumberFormat="1" applyFont="1" applyFill="1" applyBorder="1"/>
    <xf numFmtId="168" fontId="116" fillId="0" borderId="0" xfId="7" applyFont="1"/>
    <xf numFmtId="168" fontId="115" fillId="0" borderId="148" xfId="7" applyFont="1" applyBorder="1"/>
    <xf numFmtId="168" fontId="115" fillId="0" borderId="148" xfId="7" applyFont="1" applyFill="1" applyBorder="1"/>
    <xf numFmtId="168" fontId="118" fillId="0" borderId="148" xfId="7" applyFont="1" applyBorder="1"/>
    <xf numFmtId="168" fontId="116" fillId="0" borderId="0" xfId="7" applyFont="1" applyBorder="1"/>
    <xf numFmtId="169" fontId="116" fillId="0" borderId="148" xfId="7" applyNumberFormat="1" applyFont="1" applyBorder="1"/>
    <xf numFmtId="169" fontId="119" fillId="0" borderId="148" xfId="7" applyNumberFormat="1" applyFont="1" applyBorder="1"/>
    <xf numFmtId="169" fontId="116" fillId="0" borderId="0" xfId="7" applyNumberFormat="1" applyFont="1"/>
    <xf numFmtId="169" fontId="115" fillId="0" borderId="148" xfId="7" applyNumberFormat="1" applyFont="1" applyBorder="1" applyAlignment="1">
      <alignment horizontal="left" indent="1"/>
    </xf>
    <xf numFmtId="169" fontId="115" fillId="0" borderId="148" xfId="7" applyNumberFormat="1" applyFont="1" applyBorder="1"/>
    <xf numFmtId="169" fontId="118" fillId="0" borderId="148" xfId="7" applyNumberFormat="1" applyFont="1" applyBorder="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40" fillId="0" borderId="161" xfId="0" applyFont="1" applyBorder="1" applyAlignment="1">
      <alignment horizontal="center" vertical="center"/>
    </xf>
    <xf numFmtId="0" fontId="140" fillId="0" borderId="29" xfId="0" applyFont="1" applyBorder="1" applyAlignment="1">
      <alignment horizontal="center" vertical="center"/>
    </xf>
    <xf numFmtId="0" fontId="140" fillId="0" borderId="162" xfId="0" applyFont="1" applyBorder="1" applyAlignment="1">
      <alignment horizontal="center" vertical="center"/>
    </xf>
    <xf numFmtId="169" fontId="0" fillId="0" borderId="100" xfId="7" applyNumberFormat="1" applyFont="1" applyBorder="1" applyAlignment="1">
      <alignment horizontal="center"/>
    </xf>
    <xf numFmtId="169" fontId="0" fillId="0" borderId="97" xfId="7" applyNumberFormat="1" applyFont="1" applyBorder="1" applyAlignment="1">
      <alignment horizontal="center"/>
    </xf>
    <xf numFmtId="169" fontId="0" fillId="0" borderId="98" xfId="7" applyNumberFormat="1" applyFont="1" applyBorder="1" applyAlignment="1">
      <alignment horizontal="center"/>
    </xf>
    <xf numFmtId="169" fontId="0" fillId="0" borderId="141" xfId="7" applyNumberFormat="1" applyFont="1" applyBorder="1" applyAlignment="1">
      <alignment horizontal="center"/>
    </xf>
    <xf numFmtId="169" fontId="0" fillId="0" borderId="142" xfId="7" applyNumberFormat="1" applyFont="1" applyBorder="1" applyAlignment="1">
      <alignment horizontal="center"/>
    </xf>
    <xf numFmtId="169" fontId="0" fillId="0" borderId="143" xfId="7" applyNumberFormat="1" applyFont="1" applyBorder="1" applyAlignment="1">
      <alignment horizontal="center"/>
    </xf>
    <xf numFmtId="0" fontId="0" fillId="0" borderId="140" xfId="0" applyBorder="1" applyAlignment="1">
      <alignment horizontal="center" vertical="center"/>
    </xf>
    <xf numFmtId="0" fontId="127" fillId="0" borderId="94"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7" fillId="0" borderId="144"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90" xfId="1" applyNumberFormat="1" applyFont="1" applyFill="1" applyBorder="1" applyAlignment="1" applyProtection="1">
      <alignment horizontal="center" vertical="center" wrapText="1"/>
      <protection locked="0"/>
    </xf>
    <xf numFmtId="169"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8" fillId="0" borderId="121"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7" xfId="0" applyNumberFormat="1" applyFont="1" applyFill="1" applyBorder="1" applyAlignment="1">
      <alignment horizontal="left" vertical="center" wrapText="1"/>
    </xf>
    <xf numFmtId="0" fontId="118" fillId="0" borderId="128" xfId="0" applyNumberFormat="1" applyFont="1" applyFill="1" applyBorder="1" applyAlignment="1">
      <alignment horizontal="left" vertical="center" wrapText="1"/>
    </xf>
    <xf numFmtId="0" fontId="119" fillId="0" borderId="147" xfId="0" applyFont="1" applyFill="1" applyBorder="1" applyAlignment="1">
      <alignment horizontal="center" vertical="center" wrapText="1"/>
    </xf>
    <xf numFmtId="0" fontId="119" fillId="0" borderId="146" xfId="0" applyFont="1" applyFill="1" applyBorder="1" applyAlignment="1">
      <alignment horizontal="center" vertical="center" wrapText="1"/>
    </xf>
    <xf numFmtId="0" fontId="119" fillId="0" borderId="123"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6"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9"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51" xfId="0" applyFont="1" applyBorder="1" applyAlignment="1">
      <alignment horizontal="center" vertical="center" wrapText="1"/>
    </xf>
    <xf numFmtId="0" fontId="115" fillId="0" borderId="150" xfId="0" applyFont="1" applyBorder="1" applyAlignment="1">
      <alignment horizontal="center" vertical="center" wrapText="1"/>
    </xf>
    <xf numFmtId="0" fontId="123" fillId="0" borderId="148" xfId="0" applyFont="1" applyFill="1" applyBorder="1" applyAlignment="1">
      <alignment horizontal="center" vertical="center"/>
    </xf>
    <xf numFmtId="0" fontId="117" fillId="0" borderId="147" xfId="0" applyFont="1" applyFill="1" applyBorder="1" applyAlignment="1">
      <alignment horizontal="center" vertical="center"/>
    </xf>
    <xf numFmtId="0" fontId="117" fillId="0" borderId="152"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8" xfId="0" applyFont="1" applyFill="1" applyBorder="1" applyAlignment="1">
      <alignment horizontal="center" vertical="center" wrapText="1"/>
    </xf>
    <xf numFmtId="0" fontId="118" fillId="0" borderId="147" xfId="0" applyFont="1" applyFill="1" applyBorder="1" applyAlignment="1">
      <alignment horizontal="center" vertical="center" wrapText="1"/>
    </xf>
    <xf numFmtId="0" fontId="118" fillId="0" borderId="152"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5" fillId="0" borderId="153" xfId="0" applyFont="1" applyFill="1" applyBorder="1" applyAlignment="1">
      <alignment horizontal="center" vertical="center" wrapText="1"/>
    </xf>
    <xf numFmtId="0" fontId="118" fillId="0" borderId="13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3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52"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7" xfId="0" applyFont="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8" fillId="0" borderId="54" xfId="0" applyNumberFormat="1" applyFont="1" applyFill="1" applyBorder="1" applyAlignment="1">
      <alignment horizontal="left" vertical="top" wrapText="1"/>
    </xf>
    <xf numFmtId="0" fontId="118" fillId="0" borderId="106" xfId="0" applyNumberFormat="1" applyFont="1" applyFill="1" applyBorder="1" applyAlignment="1">
      <alignment horizontal="left" vertical="top" wrapText="1"/>
    </xf>
    <xf numFmtId="0" fontId="118" fillId="0" borderId="63"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120" xfId="0" applyNumberFormat="1" applyFont="1" applyFill="1" applyBorder="1" applyAlignment="1">
      <alignment horizontal="left" vertical="top" wrapText="1"/>
    </xf>
    <xf numFmtId="0" fontId="118" fillId="0" borderId="159" xfId="0" applyNumberFormat="1" applyFont="1" applyFill="1" applyBorder="1" applyAlignment="1">
      <alignment horizontal="left" vertical="top" wrapText="1"/>
    </xf>
    <xf numFmtId="0" fontId="115" fillId="0" borderId="149" xfId="0" applyFont="1" applyFill="1" applyBorder="1" applyAlignment="1">
      <alignment horizontal="center" vertical="center" wrapText="1"/>
    </xf>
    <xf numFmtId="0" fontId="118" fillId="0" borderId="160" xfId="0" applyFont="1" applyFill="1" applyBorder="1" applyAlignment="1">
      <alignment horizontal="center" vertical="center" wrapText="1"/>
    </xf>
    <xf numFmtId="0" fontId="118" fillId="0" borderId="69" xfId="0" applyFont="1" applyFill="1" applyBorder="1" applyAlignment="1">
      <alignment horizontal="center" vertical="center" wrapText="1"/>
    </xf>
    <xf numFmtId="0" fontId="115" fillId="0" borderId="147" xfId="0" applyFont="1" applyBorder="1" applyAlignment="1">
      <alignment horizontal="center" vertical="top" wrapText="1"/>
    </xf>
    <xf numFmtId="0" fontId="115" fillId="0" borderId="146" xfId="0" applyFont="1" applyBorder="1" applyAlignment="1">
      <alignment horizontal="center" vertical="top" wrapText="1"/>
    </xf>
    <xf numFmtId="0" fontId="115" fillId="0" borderId="147" xfId="0" applyFont="1" applyFill="1" applyBorder="1" applyAlignment="1">
      <alignment horizontal="center" vertical="top" wrapText="1"/>
    </xf>
    <xf numFmtId="0" fontId="115" fillId="0" borderId="153" xfId="0" applyFont="1" applyFill="1" applyBorder="1" applyAlignment="1">
      <alignment horizontal="center" vertical="top" wrapText="1"/>
    </xf>
    <xf numFmtId="0" fontId="115" fillId="0" borderId="150" xfId="0" applyFont="1" applyFill="1" applyBorder="1" applyAlignment="1">
      <alignment horizontal="center" vertical="top" wrapText="1"/>
    </xf>
    <xf numFmtId="0" fontId="104" fillId="0" borderId="132" xfId="0" applyNumberFormat="1" applyFont="1" applyFill="1" applyBorder="1" applyAlignment="1">
      <alignment horizontal="left" vertical="top" wrapText="1"/>
    </xf>
    <xf numFmtId="0" fontId="104" fillId="0" borderId="133" xfId="0" applyNumberFormat="1" applyFont="1" applyFill="1" applyBorder="1" applyAlignment="1">
      <alignment horizontal="left" vertical="top" wrapText="1"/>
    </xf>
    <xf numFmtId="0" fontId="121" fillId="0" borderId="148" xfId="0" applyFont="1" applyBorder="1" applyAlignment="1">
      <alignment horizontal="center" vertical="center"/>
    </xf>
    <xf numFmtId="0" fontId="120" fillId="0" borderId="148" xfId="0" applyFont="1" applyBorder="1" applyAlignment="1">
      <alignment horizontal="center" vertical="center" wrapText="1"/>
    </xf>
    <xf numFmtId="0" fontId="120" fillId="0" borderId="149" xfId="0" applyFont="1" applyBorder="1" applyAlignment="1">
      <alignment horizontal="center" vertical="center" wrapText="1"/>
    </xf>
    <xf numFmtId="0" fontId="104" fillId="0" borderId="70" xfId="0" applyFont="1" applyFill="1" applyBorder="1" applyAlignment="1">
      <alignment horizontal="center" vertical="center"/>
    </xf>
    <xf numFmtId="0" fontId="104" fillId="0" borderId="71" xfId="0" applyFont="1" applyFill="1" applyBorder="1" applyAlignment="1">
      <alignment horizontal="center" vertical="center"/>
    </xf>
    <xf numFmtId="0" fontId="104" fillId="0" borderId="72" xfId="0" applyFont="1" applyFill="1" applyBorder="1" applyAlignment="1">
      <alignment horizontal="center" vertical="center"/>
    </xf>
    <xf numFmtId="0" fontId="105" fillId="0" borderId="99" xfId="0" applyFont="1" applyFill="1" applyBorder="1" applyAlignment="1">
      <alignment horizontal="left" vertical="center" wrapText="1"/>
    </xf>
    <xf numFmtId="0" fontId="104" fillId="75" borderId="73" xfId="0" applyFont="1" applyFill="1" applyBorder="1" applyAlignment="1">
      <alignment horizontal="center" vertical="center" wrapText="1"/>
    </xf>
    <xf numFmtId="0" fontId="104" fillId="75" borderId="74" xfId="0" applyFont="1" applyFill="1" applyBorder="1" applyAlignment="1">
      <alignment horizontal="center" vertical="center" wrapText="1"/>
    </xf>
    <xf numFmtId="0" fontId="104" fillId="75" borderId="75" xfId="0" applyFont="1" applyFill="1" applyBorder="1" applyAlignment="1">
      <alignment horizontal="center" vertical="center" wrapText="1"/>
    </xf>
    <xf numFmtId="0" fontId="105" fillId="0" borderId="53"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100" xfId="0" applyFont="1" applyFill="1" applyBorder="1" applyAlignment="1">
      <alignment horizontal="left" vertical="center" wrapText="1"/>
    </xf>
    <xf numFmtId="0" fontId="105" fillId="0" borderId="98" xfId="0" applyFont="1" applyFill="1" applyBorder="1" applyAlignment="1">
      <alignment horizontal="left" vertical="center" wrapText="1"/>
    </xf>
    <xf numFmtId="0" fontId="154" fillId="3" borderId="100" xfId="0" applyFont="1" applyFill="1" applyBorder="1" applyAlignment="1">
      <alignment vertical="center" wrapText="1"/>
    </xf>
    <xf numFmtId="0" fontId="154" fillId="3" borderId="98" xfId="0" applyFont="1" applyFill="1" applyBorder="1" applyAlignment="1">
      <alignment vertical="center" wrapText="1"/>
    </xf>
    <xf numFmtId="0" fontId="105" fillId="3" borderId="100" xfId="0" applyFont="1" applyFill="1" applyBorder="1" applyAlignment="1">
      <alignment vertical="center" wrapText="1"/>
    </xf>
    <xf numFmtId="0" fontId="105" fillId="3" borderId="98" xfId="0" applyFont="1" applyFill="1" applyBorder="1" applyAlignment="1">
      <alignment vertical="center" wrapText="1"/>
    </xf>
    <xf numFmtId="0" fontId="105" fillId="0" borderId="100" xfId="0" applyFont="1" applyFill="1" applyBorder="1" applyAlignment="1">
      <alignment horizontal="left"/>
    </xf>
    <xf numFmtId="0" fontId="105" fillId="0" borderId="98" xfId="0" applyFont="1" applyFill="1" applyBorder="1" applyAlignment="1">
      <alignment horizontal="left"/>
    </xf>
    <xf numFmtId="0" fontId="105" fillId="0" borderId="100" xfId="0" applyFont="1" applyFill="1" applyBorder="1" applyAlignment="1">
      <alignment vertical="center" wrapText="1"/>
    </xf>
    <xf numFmtId="0" fontId="105" fillId="0" borderId="98" xfId="0" applyFont="1" applyFill="1" applyBorder="1" applyAlignment="1">
      <alignment vertical="center" wrapText="1"/>
    </xf>
    <xf numFmtId="0" fontId="105" fillId="0" borderId="141" xfId="0" applyFont="1" applyFill="1" applyBorder="1" applyAlignment="1">
      <alignment horizontal="left" vertical="center" wrapText="1"/>
    </xf>
    <xf numFmtId="0" fontId="105" fillId="0" borderId="142" xfId="0" applyFont="1" applyFill="1" applyBorder="1" applyAlignment="1">
      <alignment horizontal="left" vertical="center" wrapText="1"/>
    </xf>
    <xf numFmtId="0" fontId="105" fillId="0" borderId="143"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3" borderId="78" xfId="0" applyFont="1" applyFill="1" applyBorder="1" applyAlignment="1">
      <alignment horizontal="left" vertical="center" wrapText="1"/>
    </xf>
    <xf numFmtId="0" fontId="105" fillId="0" borderId="80" xfId="0" applyFont="1" applyFill="1" applyBorder="1" applyAlignment="1">
      <alignment horizontal="left" vertical="center" wrapText="1"/>
    </xf>
    <xf numFmtId="0" fontId="105" fillId="0" borderId="81" xfId="0" applyFont="1" applyFill="1" applyBorder="1" applyAlignment="1">
      <alignment horizontal="left" vertical="center" wrapText="1"/>
    </xf>
    <xf numFmtId="0" fontId="105" fillId="0" borderId="53" xfId="0" applyFont="1" applyFill="1" applyBorder="1" applyAlignment="1">
      <alignment vertical="center" wrapText="1"/>
    </xf>
    <xf numFmtId="0" fontId="105" fillId="0" borderId="11" xfId="0" applyFont="1" applyFill="1" applyBorder="1" applyAlignment="1">
      <alignment vertical="center" wrapText="1"/>
    </xf>
    <xf numFmtId="0" fontId="105" fillId="0" borderId="77"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54" fillId="3" borderId="100"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05" fillId="3" borderId="100"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0" borderId="151" xfId="0" applyFont="1" applyFill="1" applyBorder="1" applyAlignment="1">
      <alignment horizontal="left" vertical="center" wrapText="1"/>
    </xf>
    <xf numFmtId="0" fontId="105" fillId="0" borderId="150" xfId="0" applyFont="1" applyFill="1" applyBorder="1" applyAlignment="1">
      <alignment horizontal="left" vertical="center" wrapText="1"/>
    </xf>
    <xf numFmtId="0" fontId="104" fillId="75" borderId="82"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3" xfId="0" applyFont="1" applyFill="1" applyBorder="1" applyAlignment="1">
      <alignment horizontal="center" vertical="center" wrapText="1"/>
    </xf>
    <xf numFmtId="0" fontId="104" fillId="75" borderId="87" xfId="0" applyFont="1" applyFill="1" applyBorder="1" applyAlignment="1">
      <alignment horizontal="center" vertical="center"/>
    </xf>
    <xf numFmtId="0" fontId="104" fillId="75" borderId="88" xfId="0" applyFont="1" applyFill="1" applyBorder="1" applyAlignment="1">
      <alignment horizontal="center" vertical="center"/>
    </xf>
    <xf numFmtId="0" fontId="104" fillId="75" borderId="89" xfId="0" applyFont="1" applyFill="1" applyBorder="1" applyAlignment="1">
      <alignment horizontal="center" vertical="center"/>
    </xf>
    <xf numFmtId="0" fontId="104" fillId="75" borderId="148" xfId="0" applyFont="1" applyFill="1" applyBorder="1" applyAlignment="1">
      <alignment horizontal="center" vertical="center" wrapText="1"/>
    </xf>
    <xf numFmtId="0" fontId="104" fillId="0" borderId="148" xfId="0" applyFont="1" applyFill="1" applyBorder="1" applyAlignment="1">
      <alignment horizontal="center" vertical="center"/>
    </xf>
    <xf numFmtId="0" fontId="105" fillId="0" borderId="151" xfId="13" applyFont="1" applyFill="1" applyBorder="1" applyAlignment="1" applyProtection="1">
      <alignment horizontal="left" vertical="top" wrapText="1"/>
      <protection locked="0"/>
    </xf>
    <xf numFmtId="0" fontId="105" fillId="0" borderId="150" xfId="13" applyFont="1" applyFill="1" applyBorder="1" applyAlignment="1" applyProtection="1">
      <alignment horizontal="left" vertical="top" wrapText="1"/>
      <protection locked="0"/>
    </xf>
    <xf numFmtId="0" fontId="105" fillId="3" borderId="151" xfId="13" applyFont="1" applyFill="1" applyBorder="1" applyAlignment="1" applyProtection="1">
      <alignment horizontal="left" vertical="top" wrapText="1"/>
      <protection locked="0"/>
    </xf>
    <xf numFmtId="0" fontId="105" fillId="3" borderId="150" xfId="13" applyFont="1" applyFill="1" applyBorder="1" applyAlignment="1" applyProtection="1">
      <alignment horizontal="left" vertical="top" wrapText="1"/>
      <protection locked="0"/>
    </xf>
    <xf numFmtId="0" fontId="104" fillId="0" borderId="85"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51" xfId="0" applyFont="1" applyFill="1" applyBorder="1" applyAlignment="1">
      <alignment horizontal="center" vertical="center" wrapText="1"/>
    </xf>
    <xf numFmtId="0" fontId="104" fillId="75" borderId="150" xfId="0" applyFont="1" applyFill="1" applyBorder="1" applyAlignment="1">
      <alignment horizontal="center" vertical="center" wrapText="1"/>
    </xf>
    <xf numFmtId="0" fontId="105" fillId="0" borderId="151" xfId="0" applyNumberFormat="1" applyFont="1" applyFill="1" applyBorder="1" applyAlignment="1">
      <alignment horizontal="left" vertical="center" wrapText="1"/>
    </xf>
    <xf numFmtId="0" fontId="105" fillId="0" borderId="150" xfId="0" applyNumberFormat="1" applyFont="1" applyFill="1" applyBorder="1" applyAlignment="1">
      <alignment horizontal="left" vertical="center" wrapText="1"/>
    </xf>
    <xf numFmtId="0" fontId="105" fillId="0" borderId="148" xfId="0" applyFont="1" applyFill="1" applyBorder="1" applyAlignment="1">
      <alignment horizontal="left" vertical="top" wrapText="1"/>
    </xf>
    <xf numFmtId="0" fontId="105" fillId="0" borderId="151" xfId="0" applyFont="1" applyFill="1" applyBorder="1" applyAlignment="1">
      <alignment horizontal="left" vertical="top" wrapText="1"/>
    </xf>
    <xf numFmtId="0" fontId="105" fillId="0" borderId="148" xfId="0" applyFont="1" applyFill="1" applyBorder="1" applyAlignment="1">
      <alignment horizontal="left" vertical="center" wrapText="1"/>
    </xf>
    <xf numFmtId="0" fontId="105" fillId="0" borderId="148" xfId="0" applyNumberFormat="1" applyFont="1" applyFill="1" applyBorder="1" applyAlignment="1">
      <alignment horizontal="left" vertical="top" wrapText="1"/>
    </xf>
    <xf numFmtId="0" fontId="105" fillId="0" borderId="148" xfId="0" applyFont="1" applyBorder="1" applyAlignment="1">
      <alignment horizontal="center"/>
    </xf>
    <xf numFmtId="0" fontId="154" fillId="0" borderId="151" xfId="13" applyFont="1" applyFill="1" applyBorder="1" applyAlignment="1" applyProtection="1">
      <alignment horizontal="left" vertical="top" wrapText="1"/>
      <protection locked="0"/>
    </xf>
    <xf numFmtId="0" fontId="154" fillId="0" borderId="150" xfId="13" applyFont="1" applyFill="1" applyBorder="1" applyAlignment="1" applyProtection="1">
      <alignment horizontal="left" vertical="top" wrapText="1"/>
      <protection locked="0"/>
    </xf>
    <xf numFmtId="0" fontId="105" fillId="0" borderId="151" xfId="0" applyNumberFormat="1" applyFont="1" applyFill="1" applyBorder="1" applyAlignment="1">
      <alignment horizontal="left" vertical="top" wrapText="1"/>
    </xf>
    <xf numFmtId="0" fontId="105" fillId="0" borderId="150" xfId="0" applyNumberFormat="1" applyFont="1" applyFill="1" applyBorder="1" applyAlignment="1">
      <alignment horizontal="left" vertical="top"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tsutskiridze/Desktop/Working%20files%20(Hash%20Reporting)/06.2025/FSF-BHS-MM-202506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CR-CVA"/>
      <sheetName val="CR-RWA"/>
      <sheetName val="CICR Buffer"/>
      <sheetName val="HHI Buffer"/>
      <sheetName val="CRA Buffer"/>
      <sheetName val="CRM"/>
      <sheetName val="LR"/>
    </sheetNames>
    <sheetDataSet>
      <sheetData sheetId="0"/>
      <sheetData sheetId="1">
        <row r="4">
          <cell r="D4" t="str">
            <v>სს "ჰეშ ბანკი"</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48">
          <cell r="G48">
            <v>31893031</v>
          </cell>
        </row>
      </sheetData>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sh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6" t="s">
        <v>148</v>
      </c>
      <c r="C1" s="54"/>
    </row>
    <row r="2" spans="1:3" s="103" customFormat="1" ht="15.75">
      <c r="A2" s="147">
        <v>1</v>
      </c>
      <c r="B2" s="104" t="s">
        <v>149</v>
      </c>
      <c r="C2" s="724" t="s">
        <v>1000</v>
      </c>
    </row>
    <row r="3" spans="1:3" s="103" customFormat="1" ht="15.75">
      <c r="A3" s="147">
        <v>2</v>
      </c>
      <c r="B3" s="105" t="s">
        <v>150</v>
      </c>
      <c r="C3" s="724" t="s">
        <v>1001</v>
      </c>
    </row>
    <row r="4" spans="1:3" s="103" customFormat="1" ht="15.75">
      <c r="A4" s="147">
        <v>3</v>
      </c>
      <c r="B4" s="105" t="s">
        <v>151</v>
      </c>
      <c r="C4" s="724" t="s">
        <v>1002</v>
      </c>
    </row>
    <row r="5" spans="1:3" s="103" customFormat="1" ht="15.75">
      <c r="A5" s="148">
        <v>4</v>
      </c>
      <c r="B5" s="108" t="s">
        <v>152</v>
      </c>
      <c r="C5" s="725" t="s">
        <v>1003</v>
      </c>
    </row>
    <row r="6" spans="1:3" s="107" customFormat="1" ht="65.25" customHeight="1">
      <c r="A6" s="817" t="s">
        <v>309</v>
      </c>
      <c r="B6" s="818"/>
      <c r="C6" s="818"/>
    </row>
    <row r="7" spans="1:3">
      <c r="A7" s="270" t="s">
        <v>240</v>
      </c>
      <c r="B7" s="271" t="s">
        <v>153</v>
      </c>
    </row>
    <row r="8" spans="1:3">
      <c r="A8" s="272">
        <v>1</v>
      </c>
      <c r="B8" s="268" t="s">
        <v>128</v>
      </c>
    </row>
    <row r="9" spans="1:3">
      <c r="A9" s="272">
        <v>2</v>
      </c>
      <c r="B9" s="268" t="s">
        <v>154</v>
      </c>
    </row>
    <row r="10" spans="1:3">
      <c r="A10" s="272">
        <v>3</v>
      </c>
      <c r="B10" s="268" t="s">
        <v>155</v>
      </c>
    </row>
    <row r="11" spans="1:3">
      <c r="A11" s="272">
        <v>4</v>
      </c>
      <c r="B11" s="268" t="s">
        <v>156</v>
      </c>
      <c r="C11" s="102"/>
    </row>
    <row r="12" spans="1:3">
      <c r="A12" s="272">
        <v>5</v>
      </c>
      <c r="B12" s="268" t="s">
        <v>96</v>
      </c>
    </row>
    <row r="13" spans="1:3">
      <c r="A13" s="272">
        <v>6</v>
      </c>
      <c r="B13" s="273" t="s">
        <v>80</v>
      </c>
    </row>
    <row r="14" spans="1:3">
      <c r="A14" s="272">
        <v>7</v>
      </c>
      <c r="B14" s="268" t="s">
        <v>157</v>
      </c>
    </row>
    <row r="15" spans="1:3">
      <c r="A15" s="272">
        <v>8</v>
      </c>
      <c r="B15" s="268" t="s">
        <v>160</v>
      </c>
    </row>
    <row r="16" spans="1:3">
      <c r="A16" s="272">
        <v>9</v>
      </c>
      <c r="B16" s="268" t="s">
        <v>74</v>
      </c>
    </row>
    <row r="17" spans="1:2">
      <c r="A17" s="274" t="s">
        <v>366</v>
      </c>
      <c r="B17" s="268" t="s">
        <v>346</v>
      </c>
    </row>
    <row r="18" spans="1:2" s="3" customFormat="1">
      <c r="A18" s="276">
        <v>9.1999999999999993</v>
      </c>
      <c r="B18" s="673" t="s">
        <v>946</v>
      </c>
    </row>
    <row r="19" spans="1:2" s="3" customFormat="1">
      <c r="A19" s="276">
        <v>9.3000000000000007</v>
      </c>
      <c r="B19" s="673" t="s">
        <v>947</v>
      </c>
    </row>
    <row r="20" spans="1:2">
      <c r="A20" s="272">
        <v>10</v>
      </c>
      <c r="B20" s="268" t="s">
        <v>161</v>
      </c>
    </row>
    <row r="21" spans="1:2">
      <c r="A21" s="272">
        <v>11</v>
      </c>
      <c r="B21" s="273" t="s">
        <v>144</v>
      </c>
    </row>
    <row r="22" spans="1:2">
      <c r="A22" s="272">
        <v>12</v>
      </c>
      <c r="B22" s="273" t="s">
        <v>141</v>
      </c>
    </row>
    <row r="23" spans="1:2">
      <c r="A23" s="272">
        <v>13</v>
      </c>
      <c r="B23" s="275" t="s">
        <v>285</v>
      </c>
    </row>
    <row r="24" spans="1:2">
      <c r="A24" s="272">
        <v>14</v>
      </c>
      <c r="B24" s="268" t="s">
        <v>339</v>
      </c>
    </row>
    <row r="25" spans="1:2">
      <c r="A25" s="276">
        <v>15</v>
      </c>
      <c r="B25" s="268" t="s">
        <v>73</v>
      </c>
    </row>
    <row r="26" spans="1:2">
      <c r="A26" s="276">
        <v>15.1</v>
      </c>
      <c r="B26" s="268" t="s">
        <v>375</v>
      </c>
    </row>
    <row r="27" spans="1:2">
      <c r="A27" s="672">
        <v>15.2</v>
      </c>
      <c r="B27" s="673" t="s">
        <v>970</v>
      </c>
    </row>
    <row r="28" spans="1:2">
      <c r="A28" s="276">
        <v>16</v>
      </c>
      <c r="B28" s="268" t="s">
        <v>422</v>
      </c>
    </row>
    <row r="29" spans="1:2">
      <c r="A29" s="276">
        <v>17</v>
      </c>
      <c r="B29" s="268" t="s">
        <v>646</v>
      </c>
    </row>
    <row r="30" spans="1:2">
      <c r="A30" s="276">
        <v>18</v>
      </c>
      <c r="B30" s="268" t="s">
        <v>906</v>
      </c>
    </row>
    <row r="31" spans="1:2">
      <c r="A31" s="276">
        <v>19</v>
      </c>
      <c r="B31" s="268" t="s">
        <v>907</v>
      </c>
    </row>
    <row r="32" spans="1:2">
      <c r="A32" s="276">
        <v>20</v>
      </c>
      <c r="B32" s="268" t="s">
        <v>908</v>
      </c>
    </row>
    <row r="33" spans="1:2">
      <c r="A33" s="276">
        <v>21</v>
      </c>
      <c r="B33" s="268" t="s">
        <v>515</v>
      </c>
    </row>
    <row r="34" spans="1:2">
      <c r="A34" s="276">
        <v>22</v>
      </c>
      <c r="B34" s="268" t="s">
        <v>909</v>
      </c>
    </row>
    <row r="35" spans="1:2" ht="25.5">
      <c r="A35" s="276">
        <v>23</v>
      </c>
      <c r="B35" s="628" t="s">
        <v>905</v>
      </c>
    </row>
    <row r="36" spans="1:2">
      <c r="A36" s="276">
        <v>24</v>
      </c>
      <c r="B36" s="268" t="s">
        <v>910</v>
      </c>
    </row>
    <row r="37" spans="1:2">
      <c r="A37" s="276">
        <v>25</v>
      </c>
      <c r="B37" s="268" t="s">
        <v>911</v>
      </c>
    </row>
    <row r="38" spans="1:2">
      <c r="A38" s="272">
        <v>26</v>
      </c>
      <c r="B38" s="268"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activeCell="C6" sqref="C6"/>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"ჰეშ ბანკი"</v>
      </c>
      <c r="D1" s="2"/>
      <c r="E1" s="2"/>
      <c r="F1" s="2"/>
    </row>
    <row r="2" spans="1:6" s="21" customFormat="1" ht="15.75" customHeight="1">
      <c r="A2" s="21" t="s">
        <v>98</v>
      </c>
      <c r="B2" s="726">
        <f>'1. key ratios'!B2</f>
        <v>45838</v>
      </c>
    </row>
    <row r="3" spans="1:6" s="21" customFormat="1" ht="15.75" customHeight="1"/>
    <row r="4" spans="1:6" ht="15.75" thickBot="1">
      <c r="A4" s="5" t="s">
        <v>246</v>
      </c>
      <c r="B4" s="29" t="s">
        <v>74</v>
      </c>
    </row>
    <row r="5" spans="1:6">
      <c r="A5" s="75" t="s">
        <v>25</v>
      </c>
      <c r="B5" s="76"/>
      <c r="C5" s="77" t="s">
        <v>26</v>
      </c>
    </row>
    <row r="6" spans="1:6">
      <c r="A6" s="78">
        <v>1</v>
      </c>
      <c r="B6" s="50" t="s">
        <v>27</v>
      </c>
      <c r="C6" s="157">
        <f>SUM(C7:C11)</f>
        <v>28154858</v>
      </c>
    </row>
    <row r="7" spans="1:6">
      <c r="A7" s="78">
        <v>2</v>
      </c>
      <c r="B7" s="47" t="s">
        <v>28</v>
      </c>
      <c r="C7" s="158">
        <v>41223750</v>
      </c>
    </row>
    <row r="8" spans="1:6">
      <c r="A8" s="78">
        <v>3</v>
      </c>
      <c r="B8" s="41" t="s">
        <v>29</v>
      </c>
      <c r="C8" s="158"/>
    </row>
    <row r="9" spans="1:6">
      <c r="A9" s="78">
        <v>4</v>
      </c>
      <c r="B9" s="41" t="s">
        <v>30</v>
      </c>
      <c r="C9" s="158"/>
    </row>
    <row r="10" spans="1:6">
      <c r="A10" s="78">
        <v>5</v>
      </c>
      <c r="B10" s="41" t="s">
        <v>31</v>
      </c>
      <c r="C10" s="158"/>
    </row>
    <row r="11" spans="1:6">
      <c r="A11" s="78">
        <v>6</v>
      </c>
      <c r="B11" s="48" t="s">
        <v>32</v>
      </c>
      <c r="C11" s="158">
        <v>-13068892</v>
      </c>
    </row>
    <row r="12" spans="1:6" s="4" customFormat="1">
      <c r="A12" s="78">
        <v>7</v>
      </c>
      <c r="B12" s="50" t="s">
        <v>33</v>
      </c>
      <c r="C12" s="159">
        <f>SUM(C13:C28)</f>
        <v>5342957</v>
      </c>
    </row>
    <row r="13" spans="1:6" s="4" customFormat="1">
      <c r="A13" s="78">
        <v>8</v>
      </c>
      <c r="B13" s="49" t="s">
        <v>34</v>
      </c>
      <c r="C13" s="160">
        <v>0</v>
      </c>
    </row>
    <row r="14" spans="1:6" s="4" customFormat="1" ht="25.5">
      <c r="A14" s="78">
        <v>9</v>
      </c>
      <c r="B14" s="42" t="s">
        <v>35</v>
      </c>
      <c r="C14" s="160"/>
    </row>
    <row r="15" spans="1:6" s="4" customFormat="1">
      <c r="A15" s="78">
        <v>10</v>
      </c>
      <c r="B15" s="43" t="s">
        <v>36</v>
      </c>
      <c r="C15" s="160">
        <v>5342957</v>
      </c>
    </row>
    <row r="16" spans="1:6" s="4" customFormat="1">
      <c r="A16" s="78">
        <v>11</v>
      </c>
      <c r="B16" s="44" t="s">
        <v>37</v>
      </c>
      <c r="C16" s="160"/>
    </row>
    <row r="17" spans="1:3" s="4" customFormat="1">
      <c r="A17" s="78">
        <v>12</v>
      </c>
      <c r="B17" s="43" t="s">
        <v>38</v>
      </c>
      <c r="C17" s="160"/>
    </row>
    <row r="18" spans="1:3" s="4" customFormat="1">
      <c r="A18" s="78">
        <v>13</v>
      </c>
      <c r="B18" s="43" t="s">
        <v>39</v>
      </c>
      <c r="C18" s="160"/>
    </row>
    <row r="19" spans="1:3" s="4" customFormat="1">
      <c r="A19" s="78">
        <v>14</v>
      </c>
      <c r="B19" s="43" t="s">
        <v>40</v>
      </c>
      <c r="C19" s="160"/>
    </row>
    <row r="20" spans="1:3" s="4" customFormat="1" ht="25.5">
      <c r="A20" s="78">
        <v>15</v>
      </c>
      <c r="B20" s="43" t="s">
        <v>41</v>
      </c>
      <c r="C20" s="160">
        <v>0</v>
      </c>
    </row>
    <row r="21" spans="1:3" s="4" customFormat="1" ht="25.5">
      <c r="A21" s="78">
        <v>16</v>
      </c>
      <c r="B21" s="42" t="s">
        <v>42</v>
      </c>
      <c r="C21" s="160"/>
    </row>
    <row r="22" spans="1:3" s="4" customFormat="1">
      <c r="A22" s="78">
        <v>17</v>
      </c>
      <c r="B22" s="79" t="s">
        <v>43</v>
      </c>
      <c r="C22" s="160"/>
    </row>
    <row r="23" spans="1:3" s="4" customFormat="1">
      <c r="A23" s="78">
        <v>18</v>
      </c>
      <c r="B23" s="664" t="s">
        <v>694</v>
      </c>
      <c r="C23" s="389"/>
    </row>
    <row r="24" spans="1:3" s="4" customFormat="1" ht="25.5">
      <c r="A24" s="78">
        <v>19</v>
      </c>
      <c r="B24" s="42" t="s">
        <v>44</v>
      </c>
      <c r="C24" s="160"/>
    </row>
    <row r="25" spans="1:3" s="4" customFormat="1" ht="25.5">
      <c r="A25" s="78">
        <v>20</v>
      </c>
      <c r="B25" s="42" t="s">
        <v>45</v>
      </c>
      <c r="C25" s="160"/>
    </row>
    <row r="26" spans="1:3" s="4" customFormat="1" ht="25.5">
      <c r="A26" s="78">
        <v>21</v>
      </c>
      <c r="B26" s="45" t="s">
        <v>46</v>
      </c>
      <c r="C26" s="160">
        <v>0</v>
      </c>
    </row>
    <row r="27" spans="1:3" s="4" customFormat="1">
      <c r="A27" s="78">
        <v>22</v>
      </c>
      <c r="B27" s="45" t="s">
        <v>47</v>
      </c>
      <c r="C27" s="160"/>
    </row>
    <row r="28" spans="1:3" s="4" customFormat="1" ht="25.5">
      <c r="A28" s="78">
        <v>23</v>
      </c>
      <c r="B28" s="45" t="s">
        <v>48</v>
      </c>
      <c r="C28" s="160"/>
    </row>
    <row r="29" spans="1:3" s="4" customFormat="1">
      <c r="A29" s="78">
        <v>24</v>
      </c>
      <c r="B29" s="51" t="s">
        <v>22</v>
      </c>
      <c r="C29" s="159">
        <f>C6-C12</f>
        <v>22811901</v>
      </c>
    </row>
    <row r="30" spans="1:3" s="4" customFormat="1">
      <c r="A30" s="80"/>
      <c r="B30" s="46"/>
      <c r="C30" s="160"/>
    </row>
    <row r="31" spans="1:3" s="4" customFormat="1">
      <c r="A31" s="80">
        <v>25</v>
      </c>
      <c r="B31" s="51" t="s">
        <v>49</v>
      </c>
      <c r="C31" s="159">
        <f>C32+C35</f>
        <v>2100</v>
      </c>
    </row>
    <row r="32" spans="1:3" s="4" customFormat="1">
      <c r="A32" s="80">
        <v>26</v>
      </c>
      <c r="B32" s="41" t="s">
        <v>50</v>
      </c>
      <c r="C32" s="161">
        <f>C33+C34</f>
        <v>2100</v>
      </c>
    </row>
    <row r="33" spans="1:3" s="4" customFormat="1">
      <c r="A33" s="80">
        <v>27</v>
      </c>
      <c r="B33" s="100" t="s">
        <v>51</v>
      </c>
      <c r="C33" s="160">
        <v>2100</v>
      </c>
    </row>
    <row r="34" spans="1:3" s="4" customFormat="1">
      <c r="A34" s="80">
        <v>28</v>
      </c>
      <c r="B34" s="100" t="s">
        <v>52</v>
      </c>
      <c r="C34" s="160"/>
    </row>
    <row r="35" spans="1:3" s="4" customFormat="1">
      <c r="A35" s="80">
        <v>29</v>
      </c>
      <c r="B35" s="41" t="s">
        <v>53</v>
      </c>
      <c r="C35" s="160"/>
    </row>
    <row r="36" spans="1:3" s="4" customFormat="1">
      <c r="A36" s="80">
        <v>30</v>
      </c>
      <c r="B36" s="51" t="s">
        <v>54</v>
      </c>
      <c r="C36" s="159">
        <f>SUM(C37:C41)</f>
        <v>0</v>
      </c>
    </row>
    <row r="37" spans="1:3" s="4" customFormat="1">
      <c r="A37" s="80">
        <v>31</v>
      </c>
      <c r="B37" s="42" t="s">
        <v>55</v>
      </c>
      <c r="C37" s="160"/>
    </row>
    <row r="38" spans="1:3" s="4" customFormat="1">
      <c r="A38" s="80">
        <v>32</v>
      </c>
      <c r="B38" s="43" t="s">
        <v>56</v>
      </c>
      <c r="C38" s="160"/>
    </row>
    <row r="39" spans="1:3" s="4" customFormat="1" ht="25.5">
      <c r="A39" s="80">
        <v>33</v>
      </c>
      <c r="B39" s="42" t="s">
        <v>57</v>
      </c>
      <c r="C39" s="160"/>
    </row>
    <row r="40" spans="1:3" s="4" customFormat="1" ht="25.5">
      <c r="A40" s="80">
        <v>34</v>
      </c>
      <c r="B40" s="42" t="s">
        <v>45</v>
      </c>
      <c r="C40" s="160"/>
    </row>
    <row r="41" spans="1:3" s="4" customFormat="1" ht="25.5">
      <c r="A41" s="80">
        <v>35</v>
      </c>
      <c r="B41" s="45" t="s">
        <v>58</v>
      </c>
      <c r="C41" s="160"/>
    </row>
    <row r="42" spans="1:3" s="4" customFormat="1">
      <c r="A42" s="80">
        <v>36</v>
      </c>
      <c r="B42" s="51" t="s">
        <v>23</v>
      </c>
      <c r="C42" s="159">
        <f>C31-C36</f>
        <v>2100</v>
      </c>
    </row>
    <row r="43" spans="1:3" s="4" customFormat="1">
      <c r="A43" s="80"/>
      <c r="B43" s="46"/>
      <c r="C43" s="160"/>
    </row>
    <row r="44" spans="1:3" s="4" customFormat="1">
      <c r="A44" s="80">
        <v>37</v>
      </c>
      <c r="B44" s="52" t="s">
        <v>59</v>
      </c>
      <c r="C44" s="159">
        <f>SUM(C45:C47)</f>
        <v>0</v>
      </c>
    </row>
    <row r="45" spans="1:3" s="4" customFormat="1">
      <c r="A45" s="80">
        <v>38</v>
      </c>
      <c r="B45" s="41" t="s">
        <v>60</v>
      </c>
      <c r="C45" s="160"/>
    </row>
    <row r="46" spans="1:3" s="4" customFormat="1">
      <c r="A46" s="80">
        <v>39</v>
      </c>
      <c r="B46" s="41" t="s">
        <v>61</v>
      </c>
      <c r="C46" s="160"/>
    </row>
    <row r="47" spans="1:3" s="4" customFormat="1">
      <c r="A47" s="80">
        <v>40</v>
      </c>
      <c r="B47" s="665" t="s">
        <v>693</v>
      </c>
      <c r="C47" s="160"/>
    </row>
    <row r="48" spans="1:3" s="4" customFormat="1">
      <c r="A48" s="80">
        <v>41</v>
      </c>
      <c r="B48" s="52" t="s">
        <v>62</v>
      </c>
      <c r="C48" s="159">
        <f>SUM(C49:C52)</f>
        <v>0</v>
      </c>
    </row>
    <row r="49" spans="1:3" s="4" customFormat="1">
      <c r="A49" s="80">
        <v>42</v>
      </c>
      <c r="B49" s="42" t="s">
        <v>63</v>
      </c>
      <c r="C49" s="160"/>
    </row>
    <row r="50" spans="1:3" s="4" customFormat="1">
      <c r="A50" s="80">
        <v>43</v>
      </c>
      <c r="B50" s="43" t="s">
        <v>64</v>
      </c>
      <c r="C50" s="160"/>
    </row>
    <row r="51" spans="1:3" s="4" customFormat="1" ht="25.5">
      <c r="A51" s="80">
        <v>44</v>
      </c>
      <c r="B51" s="42" t="s">
        <v>65</v>
      </c>
      <c r="C51" s="160"/>
    </row>
    <row r="52" spans="1:3" s="4" customFormat="1" ht="25.5">
      <c r="A52" s="80">
        <v>45</v>
      </c>
      <c r="B52" s="42" t="s">
        <v>45</v>
      </c>
      <c r="C52" s="160"/>
    </row>
    <row r="53" spans="1:3" s="4" customFormat="1" ht="15.75" thickBot="1">
      <c r="A53" s="80">
        <v>46</v>
      </c>
      <c r="B53" s="81" t="s">
        <v>24</v>
      </c>
      <c r="C53" s="162">
        <f>C44-C48</f>
        <v>0</v>
      </c>
    </row>
    <row r="55" spans="1:3">
      <c r="C55" s="762">
        <f>C29+C31+C44-'1. key ratios'!C10</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0"/>
  <sheetViews>
    <sheetView zoomScale="120" zoomScaleNormal="120" workbookViewId="0">
      <selection activeCell="E19" sqref="E19"/>
    </sheetView>
  </sheetViews>
  <sheetFormatPr defaultColWidth="9.140625" defaultRowHeight="12.75"/>
  <cols>
    <col min="1" max="1" width="10.85546875" style="221" bestFit="1" customWidth="1"/>
    <col min="2" max="2" width="59" style="221" customWidth="1"/>
    <col min="3" max="3" width="16.85546875" style="221" bestFit="1" customWidth="1"/>
    <col min="4" max="4" width="22.140625" style="221" customWidth="1"/>
    <col min="5" max="16384" width="9.140625" style="221"/>
  </cols>
  <sheetData>
    <row r="1" spans="1:4" ht="15">
      <c r="A1" s="17" t="s">
        <v>97</v>
      </c>
      <c r="B1" s="16" t="str">
        <f>Info!C2</f>
        <v>სს "ჰეშ ბანკი"</v>
      </c>
    </row>
    <row r="2" spans="1:4" s="21" customFormat="1" ht="15.75" customHeight="1">
      <c r="A2" s="21" t="s">
        <v>98</v>
      </c>
      <c r="B2" s="726">
        <f>'1. key ratios'!B2</f>
        <v>45838</v>
      </c>
    </row>
    <row r="3" spans="1:4" s="21" customFormat="1" ht="15.75" customHeight="1"/>
    <row r="4" spans="1:4" ht="13.5" thickBot="1">
      <c r="A4" s="222" t="s">
        <v>345</v>
      </c>
      <c r="B4" s="255" t="s">
        <v>346</v>
      </c>
    </row>
    <row r="5" spans="1:4" s="256" customFormat="1">
      <c r="A5" s="850" t="s">
        <v>347</v>
      </c>
      <c r="B5" s="851"/>
      <c r="C5" s="245" t="s">
        <v>348</v>
      </c>
      <c r="D5" s="246" t="s">
        <v>349</v>
      </c>
    </row>
    <row r="6" spans="1:4" s="257" customFormat="1">
      <c r="A6" s="247">
        <v>1</v>
      </c>
      <c r="B6" s="248" t="s">
        <v>350</v>
      </c>
      <c r="C6" s="248"/>
      <c r="D6" s="249"/>
    </row>
    <row r="7" spans="1:4" s="257" customFormat="1">
      <c r="A7" s="250" t="s">
        <v>351</v>
      </c>
      <c r="B7" s="251" t="s">
        <v>352</v>
      </c>
      <c r="C7" s="278">
        <v>4.4999999999999998E-2</v>
      </c>
      <c r="D7" s="772">
        <f>C7*'5. RWA'!$C$13</f>
        <v>940334.99222632498</v>
      </c>
    </row>
    <row r="8" spans="1:4" s="257" customFormat="1">
      <c r="A8" s="250" t="s">
        <v>353</v>
      </c>
      <c r="B8" s="251" t="s">
        <v>354</v>
      </c>
      <c r="C8" s="279">
        <v>0.06</v>
      </c>
      <c r="D8" s="772">
        <f>C8*'5. RWA'!$C$13</f>
        <v>1253779.9896351001</v>
      </c>
    </row>
    <row r="9" spans="1:4" s="257" customFormat="1">
      <c r="A9" s="250" t="s">
        <v>355</v>
      </c>
      <c r="B9" s="251" t="s">
        <v>356</v>
      </c>
      <c r="C9" s="279">
        <v>0.08</v>
      </c>
      <c r="D9" s="772">
        <f>C9*'5. RWA'!$C$13</f>
        <v>1671706.6528468002</v>
      </c>
    </row>
    <row r="10" spans="1:4" s="257" customFormat="1">
      <c r="A10" s="247" t="s">
        <v>357</v>
      </c>
      <c r="B10" s="248" t="s">
        <v>358</v>
      </c>
      <c r="C10" s="280"/>
      <c r="D10" s="773"/>
    </row>
    <row r="11" spans="1:4" s="258" customFormat="1">
      <c r="A11" s="252" t="s">
        <v>359</v>
      </c>
      <c r="B11" s="253" t="s">
        <v>997</v>
      </c>
      <c r="C11" s="281">
        <v>2.5000000000000001E-2</v>
      </c>
      <c r="D11" s="774">
        <f>C11*'5. RWA'!$C$13</f>
        <v>522408.32901462505</v>
      </c>
    </row>
    <row r="12" spans="1:4" s="258" customFormat="1">
      <c r="A12" s="252" t="s">
        <v>360</v>
      </c>
      <c r="B12" s="253" t="s">
        <v>361</v>
      </c>
      <c r="C12" s="281">
        <v>5.0000000000000001E-3</v>
      </c>
      <c r="D12" s="774">
        <f>C12*'5. RWA'!$C$13</f>
        <v>104481.66580292501</v>
      </c>
    </row>
    <row r="13" spans="1:4" s="258" customFormat="1">
      <c r="A13" s="252" t="s">
        <v>362</v>
      </c>
      <c r="B13" s="253" t="s">
        <v>363</v>
      </c>
      <c r="C13" s="281"/>
      <c r="D13" s="774">
        <f>C13*'5. RWA'!$C$13</f>
        <v>0</v>
      </c>
    </row>
    <row r="14" spans="1:4" s="257" customFormat="1">
      <c r="A14" s="247" t="s">
        <v>364</v>
      </c>
      <c r="B14" s="248" t="s">
        <v>409</v>
      </c>
      <c r="C14" s="282"/>
      <c r="D14" s="773"/>
    </row>
    <row r="15" spans="1:4" s="257" customFormat="1">
      <c r="A15" s="269" t="s">
        <v>367</v>
      </c>
      <c r="B15" s="253" t="s">
        <v>410</v>
      </c>
      <c r="C15" s="281">
        <v>1.1652650966500156E-5</v>
      </c>
      <c r="D15" s="774">
        <f>C15*'5. RWA'!$C$13</f>
        <v>243.49767680000008</v>
      </c>
    </row>
    <row r="16" spans="1:4" s="257" customFormat="1">
      <c r="A16" s="269" t="s">
        <v>368</v>
      </c>
      <c r="B16" s="253" t="s">
        <v>370</v>
      </c>
      <c r="C16" s="281">
        <v>1.5606228972991276E-5</v>
      </c>
      <c r="D16" s="774">
        <f>C16*'5. RWA'!$C$13</f>
        <v>326.11295999999999</v>
      </c>
    </row>
    <row r="17" spans="1:6" s="257" customFormat="1">
      <c r="A17" s="269" t="s">
        <v>369</v>
      </c>
      <c r="B17" s="253" t="s">
        <v>407</v>
      </c>
      <c r="C17" s="281">
        <v>2.0808305297321703E-5</v>
      </c>
      <c r="D17" s="774">
        <f>C17*'5. RWA'!$C$13</f>
        <v>434.81728000000004</v>
      </c>
    </row>
    <row r="18" spans="1:6" s="256" customFormat="1">
      <c r="A18" s="852" t="s">
        <v>408</v>
      </c>
      <c r="B18" s="853"/>
      <c r="C18" s="283" t="s">
        <v>348</v>
      </c>
      <c r="D18" s="775" t="s">
        <v>349</v>
      </c>
    </row>
    <row r="19" spans="1:6" s="257" customFormat="1">
      <c r="A19" s="254">
        <v>4</v>
      </c>
      <c r="B19" s="253" t="s">
        <v>22</v>
      </c>
      <c r="C19" s="281">
        <f>C7+C11+C12+C13+C15</f>
        <v>7.5011652650966515E-2</v>
      </c>
      <c r="D19" s="772">
        <f>C19*'5. RWA'!$C$13</f>
        <v>1567468.4847206755</v>
      </c>
      <c r="E19" s="765">
        <f>D19-'1. key ratios'!C11</f>
        <v>0</v>
      </c>
    </row>
    <row r="20" spans="1:6" s="257" customFormat="1">
      <c r="A20" s="254">
        <v>5</v>
      </c>
      <c r="B20" s="253" t="s">
        <v>75</v>
      </c>
      <c r="C20" s="281">
        <f>C8+C11+C12+C13+C16</f>
        <v>9.0015606228972991E-2</v>
      </c>
      <c r="D20" s="772">
        <f>C20*'5. RWA'!$C$13</f>
        <v>1880996.09741265</v>
      </c>
      <c r="E20" s="765">
        <f>D20-'1. key ratios'!C12</f>
        <v>0</v>
      </c>
    </row>
    <row r="21" spans="1:6" s="257" customFormat="1" ht="13.5" thickBot="1">
      <c r="A21" s="259" t="s">
        <v>365</v>
      </c>
      <c r="B21" s="260" t="s">
        <v>74</v>
      </c>
      <c r="C21" s="284">
        <f>C9+C11+C12+C13+C17</f>
        <v>0.11002080830529734</v>
      </c>
      <c r="D21" s="776">
        <f>C21*'5. RWA'!$C$13</f>
        <v>2299031.4649443505</v>
      </c>
      <c r="E21" s="765">
        <f>D21-'1. key ratios'!C13</f>
        <v>0</v>
      </c>
    </row>
    <row r="22" spans="1:6">
      <c r="D22" s="777"/>
      <c r="F22" s="222"/>
    </row>
    <row r="23" spans="1:6">
      <c r="B23" s="23"/>
      <c r="D23" s="777"/>
    </row>
    <row r="24" spans="1:6">
      <c r="D24" s="777"/>
    </row>
    <row r="25" spans="1:6">
      <c r="D25" s="777"/>
    </row>
    <row r="26" spans="1:6">
      <c r="D26" s="777"/>
    </row>
    <row r="27" spans="1:6">
      <c r="D27" s="777"/>
    </row>
    <row r="28" spans="1:6">
      <c r="D28" s="777"/>
    </row>
    <row r="29" spans="1:6">
      <c r="D29" s="777"/>
    </row>
    <row r="30" spans="1:6">
      <c r="D30" s="77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1" sqref="B1:B2"/>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34" t="s">
        <v>97</v>
      </c>
      <c r="B1" s="16"/>
    </row>
    <row r="2" spans="1:2">
      <c r="A2" s="635" t="s">
        <v>98</v>
      </c>
      <c r="B2" s="726"/>
    </row>
    <row r="3" spans="1:2">
      <c r="A3" s="636" t="s">
        <v>948</v>
      </c>
      <c r="B3" s="630" t="s">
        <v>919</v>
      </c>
    </row>
    <row r="4" spans="1:2" ht="15.75" thickBot="1"/>
    <row r="5" spans="1:2">
      <c r="A5" s="641"/>
      <c r="B5" s="642" t="s">
        <v>920</v>
      </c>
    </row>
    <row r="6" spans="1:2">
      <c r="A6" s="637" t="s">
        <v>921</v>
      </c>
      <c r="B6" s="643"/>
    </row>
    <row r="7" spans="1:2">
      <c r="A7" s="637" t="s">
        <v>954</v>
      </c>
      <c r="B7" s="643"/>
    </row>
    <row r="8" spans="1:2">
      <c r="A8" s="638" t="s">
        <v>922</v>
      </c>
      <c r="B8" s="644"/>
    </row>
    <row r="9" spans="1:2">
      <c r="A9" s="638" t="s">
        <v>923</v>
      </c>
      <c r="B9" s="644"/>
    </row>
    <row r="10" spans="1:2">
      <c r="A10" s="638" t="s">
        <v>924</v>
      </c>
      <c r="B10" s="644"/>
    </row>
    <row r="11" spans="1:2">
      <c r="A11" s="637" t="s">
        <v>925</v>
      </c>
      <c r="B11" s="643"/>
    </row>
    <row r="12" spans="1:2">
      <c r="A12" s="638" t="s">
        <v>955</v>
      </c>
      <c r="B12" s="644"/>
    </row>
    <row r="13" spans="1:2">
      <c r="A13" s="638" t="s">
        <v>956</v>
      </c>
      <c r="B13" s="644"/>
    </row>
    <row r="14" spans="1:2">
      <c r="A14" s="637" t="s">
        <v>926</v>
      </c>
      <c r="B14" s="643"/>
    </row>
    <row r="15" spans="1:2">
      <c r="A15" s="639" t="s">
        <v>927</v>
      </c>
      <c r="B15" s="644"/>
    </row>
    <row r="16" spans="1:2">
      <c r="A16" s="639" t="s">
        <v>74</v>
      </c>
      <c r="B16" s="644"/>
    </row>
    <row r="17" spans="1:5">
      <c r="A17" s="637" t="s">
        <v>928</v>
      </c>
      <c r="B17" s="643"/>
    </row>
    <row r="18" spans="1:5">
      <c r="A18" s="639" t="s">
        <v>929</v>
      </c>
      <c r="B18" s="644"/>
    </row>
    <row r="19" spans="1:5">
      <c r="A19" s="639" t="s">
        <v>930</v>
      </c>
      <c r="B19" s="644"/>
    </row>
    <row r="20" spans="1:5">
      <c r="A20" s="637" t="s">
        <v>931</v>
      </c>
      <c r="B20" s="643"/>
    </row>
    <row r="21" spans="1:5">
      <c r="A21" s="640" t="s">
        <v>932</v>
      </c>
      <c r="B21" s="645"/>
    </row>
    <row r="22" spans="1:5">
      <c r="A22" s="640" t="s">
        <v>933</v>
      </c>
      <c r="B22" s="645"/>
    </row>
    <row r="23" spans="1:5" ht="15.75" thickBot="1">
      <c r="A23" s="646" t="s">
        <v>934</v>
      </c>
      <c r="B23" s="647">
        <f>IFERROR(B6/B14,0)</f>
        <v>0</v>
      </c>
    </row>
    <row r="24" spans="1:5" ht="16.5" customHeight="1">
      <c r="A24" s="633" t="s">
        <v>957</v>
      </c>
      <c r="B24" s="631"/>
      <c r="C24" s="631"/>
      <c r="D24" s="631"/>
      <c r="E24" s="631"/>
    </row>
    <row r="25" spans="1:5" ht="25.5" customHeight="1">
      <c r="A25" s="633" t="s">
        <v>958</v>
      </c>
    </row>
    <row r="26" spans="1:5" ht="57" customHeight="1">
      <c r="A26" s="633" t="s">
        <v>959</v>
      </c>
    </row>
    <row r="27" spans="1:5">
      <c r="A27" s="632"/>
    </row>
  </sheetData>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1" sqref="B1:B2"/>
    </sheetView>
  </sheetViews>
  <sheetFormatPr defaultRowHeight="15"/>
  <cols>
    <col min="1" max="1" width="82" customWidth="1"/>
    <col min="2" max="2" width="28.140625" bestFit="1" customWidth="1"/>
    <col min="3" max="6" width="28.140625" customWidth="1"/>
  </cols>
  <sheetData>
    <row r="1" spans="1:6">
      <c r="A1" s="634" t="s">
        <v>97</v>
      </c>
      <c r="B1" s="16"/>
      <c r="C1" s="221"/>
    </row>
    <row r="2" spans="1:6">
      <c r="A2" s="635" t="s">
        <v>98</v>
      </c>
      <c r="B2" s="726"/>
      <c r="C2" s="221"/>
    </row>
    <row r="3" spans="1:6">
      <c r="A3" s="636" t="s">
        <v>949</v>
      </c>
      <c r="B3" s="630" t="s">
        <v>919</v>
      </c>
      <c r="C3" s="221"/>
    </row>
    <row r="5" spans="1:6">
      <c r="A5" s="632"/>
    </row>
    <row r="6" spans="1:6" ht="15.75" thickBot="1">
      <c r="A6" s="648"/>
      <c r="B6" s="648"/>
      <c r="C6" s="648"/>
      <c r="D6" s="648"/>
      <c r="E6" s="648"/>
      <c r="F6" s="648"/>
    </row>
    <row r="7" spans="1:6">
      <c r="A7" s="854"/>
      <c r="B7" s="856" t="s">
        <v>935</v>
      </c>
      <c r="C7" s="856"/>
      <c r="D7" s="856"/>
      <c r="E7" s="856"/>
      <c r="F7" s="857" t="s">
        <v>936</v>
      </c>
    </row>
    <row r="8" spans="1:6" ht="25.5">
      <c r="A8" s="855"/>
      <c r="B8" s="649" t="s">
        <v>937</v>
      </c>
      <c r="C8" s="649" t="s">
        <v>938</v>
      </c>
      <c r="D8" s="649" t="s">
        <v>939</v>
      </c>
      <c r="E8" s="649" t="s">
        <v>940</v>
      </c>
      <c r="F8" s="858"/>
    </row>
    <row r="9" spans="1:6">
      <c r="A9" s="650" t="s">
        <v>941</v>
      </c>
      <c r="B9" s="651">
        <f>B13+B17</f>
        <v>0</v>
      </c>
      <c r="C9" s="651">
        <f t="shared" ref="C9:E9" si="0">C13+C17</f>
        <v>0</v>
      </c>
      <c r="D9" s="651">
        <f t="shared" si="0"/>
        <v>0</v>
      </c>
      <c r="E9" s="651">
        <f t="shared" si="0"/>
        <v>0</v>
      </c>
      <c r="F9" s="652">
        <f>F13+F17</f>
        <v>0</v>
      </c>
    </row>
    <row r="10" spans="1:6">
      <c r="A10" s="653" t="s">
        <v>942</v>
      </c>
      <c r="B10" s="654">
        <f t="shared" ref="B10:E12" si="1">B14+B18</f>
        <v>0</v>
      </c>
      <c r="C10" s="654">
        <f t="shared" si="1"/>
        <v>0</v>
      </c>
      <c r="D10" s="654">
        <f t="shared" si="1"/>
        <v>0</v>
      </c>
      <c r="E10" s="654">
        <f t="shared" si="1"/>
        <v>0</v>
      </c>
      <c r="F10" s="652">
        <f>SUM(B10:E10)</f>
        <v>0</v>
      </c>
    </row>
    <row r="11" spans="1:6">
      <c r="A11" s="653" t="s">
        <v>943</v>
      </c>
      <c r="B11" s="654">
        <f t="shared" si="1"/>
        <v>0</v>
      </c>
      <c r="C11" s="654">
        <f t="shared" si="1"/>
        <v>0</v>
      </c>
      <c r="D11" s="654">
        <f t="shared" si="1"/>
        <v>0</v>
      </c>
      <c r="E11" s="654">
        <f t="shared" si="1"/>
        <v>0</v>
      </c>
      <c r="F11" s="652">
        <f t="shared" ref="F11:F12" si="2">SUM(B11:E11)</f>
        <v>0</v>
      </c>
    </row>
    <row r="12" spans="1:6">
      <c r="A12" s="655" t="s">
        <v>944</v>
      </c>
      <c r="B12" s="654">
        <f t="shared" si="1"/>
        <v>0</v>
      </c>
      <c r="C12" s="654">
        <f t="shared" si="1"/>
        <v>0</v>
      </c>
      <c r="D12" s="654">
        <f t="shared" si="1"/>
        <v>0</v>
      </c>
      <c r="E12" s="654">
        <f t="shared" si="1"/>
        <v>0</v>
      </c>
      <c r="F12" s="652">
        <f t="shared" si="2"/>
        <v>0</v>
      </c>
    </row>
    <row r="13" spans="1:6">
      <c r="A13" s="656" t="s">
        <v>945</v>
      </c>
      <c r="B13" s="657"/>
      <c r="C13" s="657"/>
      <c r="D13" s="657"/>
      <c r="E13" s="657"/>
      <c r="F13" s="658"/>
    </row>
    <row r="14" spans="1:6">
      <c r="A14" s="653" t="s">
        <v>942</v>
      </c>
      <c r="B14" s="659"/>
      <c r="C14" s="659"/>
      <c r="D14" s="659"/>
      <c r="E14" s="659"/>
      <c r="F14" s="660"/>
    </row>
    <row r="15" spans="1:6">
      <c r="A15" s="653" t="s">
        <v>943</v>
      </c>
      <c r="B15" s="659"/>
      <c r="C15" s="659"/>
      <c r="D15" s="659"/>
      <c r="E15" s="659"/>
      <c r="F15" s="660"/>
    </row>
    <row r="16" spans="1:6">
      <c r="A16" s="655" t="s">
        <v>944</v>
      </c>
      <c r="B16" s="659"/>
      <c r="C16" s="659"/>
      <c r="D16" s="659"/>
      <c r="E16" s="659"/>
      <c r="F16" s="660"/>
    </row>
    <row r="17" spans="1:6">
      <c r="A17" s="656" t="s">
        <v>925</v>
      </c>
      <c r="B17" s="657"/>
      <c r="C17" s="657"/>
      <c r="D17" s="657"/>
      <c r="E17" s="657"/>
      <c r="F17" s="660"/>
    </row>
    <row r="18" spans="1:6">
      <c r="A18" s="653" t="s">
        <v>942</v>
      </c>
      <c r="B18" s="659"/>
      <c r="C18" s="659"/>
      <c r="D18" s="659"/>
      <c r="E18" s="659"/>
      <c r="F18" s="660"/>
    </row>
    <row r="19" spans="1:6">
      <c r="A19" s="653" t="s">
        <v>943</v>
      </c>
      <c r="B19" s="659"/>
      <c r="C19" s="659"/>
      <c r="D19" s="659"/>
      <c r="E19" s="659"/>
      <c r="F19" s="660"/>
    </row>
    <row r="20" spans="1:6" ht="15.75" thickBot="1">
      <c r="A20" s="661" t="s">
        <v>944</v>
      </c>
      <c r="B20" s="662"/>
      <c r="C20" s="662"/>
      <c r="D20" s="662"/>
      <c r="E20" s="662"/>
      <c r="F20" s="663"/>
    </row>
  </sheetData>
  <mergeCells count="3">
    <mergeCell ref="A7:A8"/>
    <mergeCell ref="B7:E7"/>
    <mergeCell ref="F7:F8"/>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70"/>
  <sheetViews>
    <sheetView zoomScale="80" zoomScaleNormal="80" workbookViewId="0">
      <pane xSplit="1" ySplit="5" topLeftCell="B37" activePane="bottomRight" state="frozen"/>
      <selection activeCell="B2" sqref="B2"/>
      <selection pane="topRight" activeCell="B2" sqref="B2"/>
      <selection pane="bottomLeft" activeCell="B2" sqref="B2"/>
      <selection pane="bottomRight" activeCell="C70" sqref="C70"/>
    </sheetView>
  </sheetViews>
  <sheetFormatPr defaultRowHeight="15.75"/>
  <cols>
    <col min="1" max="1" width="10.85546875" style="38" customWidth="1"/>
    <col min="2" max="2" width="91.85546875" style="38" customWidth="1"/>
    <col min="3" max="3" width="53.140625" style="778" customWidth="1"/>
    <col min="4" max="4" width="32.140625" style="38" customWidth="1"/>
    <col min="5" max="5" width="9.42578125" customWidth="1"/>
  </cols>
  <sheetData>
    <row r="1" spans="1:6">
      <c r="A1" s="17" t="s">
        <v>97</v>
      </c>
      <c r="B1" s="19" t="str">
        <f>Info!C2</f>
        <v>სს "ჰეშ ბანკი"</v>
      </c>
      <c r="E1" s="2"/>
      <c r="F1" s="2"/>
    </row>
    <row r="2" spans="1:6" s="21" customFormat="1" ht="15.75" customHeight="1">
      <c r="A2" s="21" t="s">
        <v>98</v>
      </c>
      <c r="B2" s="726">
        <f>'1. key ratios'!B2</f>
        <v>45838</v>
      </c>
      <c r="C2" s="779"/>
    </row>
    <row r="3" spans="1:6" s="21" customFormat="1" ht="15.75" customHeight="1">
      <c r="A3" s="25"/>
      <c r="C3" s="779"/>
    </row>
    <row r="4" spans="1:6" s="21" customFormat="1" ht="15.75" customHeight="1" thickBot="1">
      <c r="A4" s="21" t="s">
        <v>247</v>
      </c>
      <c r="B4" s="123" t="s">
        <v>161</v>
      </c>
      <c r="C4" s="779"/>
      <c r="D4" s="125" t="s">
        <v>76</v>
      </c>
    </row>
    <row r="5" spans="1:6" ht="25.5">
      <c r="A5" s="87" t="s">
        <v>25</v>
      </c>
      <c r="B5" s="88" t="s">
        <v>133</v>
      </c>
      <c r="C5" s="780" t="s">
        <v>826</v>
      </c>
      <c r="D5" s="124" t="s">
        <v>162</v>
      </c>
    </row>
    <row r="6" spans="1:6">
      <c r="A6" s="435">
        <v>1</v>
      </c>
      <c r="B6" s="392" t="s">
        <v>811</v>
      </c>
      <c r="C6" s="781">
        <f>SUM(C7:C9)</f>
        <v>18040462.710000001</v>
      </c>
      <c r="D6" s="82"/>
      <c r="E6" s="7"/>
    </row>
    <row r="7" spans="1:6">
      <c r="A7" s="435">
        <v>1.1000000000000001</v>
      </c>
      <c r="B7" s="393" t="s">
        <v>85</v>
      </c>
      <c r="C7" s="782"/>
      <c r="D7" s="83"/>
      <c r="E7" s="7"/>
    </row>
    <row r="8" spans="1:6">
      <c r="A8" s="435">
        <v>1.2</v>
      </c>
      <c r="B8" s="393" t="s">
        <v>86</v>
      </c>
      <c r="C8" s="782">
        <f>'2. SOFP'!E9</f>
        <v>566820</v>
      </c>
      <c r="D8" s="83"/>
      <c r="E8" s="7"/>
    </row>
    <row r="9" spans="1:6">
      <c r="A9" s="435">
        <v>1.3</v>
      </c>
      <c r="B9" s="393" t="s">
        <v>87</v>
      </c>
      <c r="C9" s="782">
        <f>'2. SOFP'!E10</f>
        <v>17473642.710000001</v>
      </c>
      <c r="D9" s="83"/>
      <c r="E9" s="7"/>
    </row>
    <row r="10" spans="1:6">
      <c r="A10" s="435">
        <v>2</v>
      </c>
      <c r="B10" s="394" t="s">
        <v>698</v>
      </c>
      <c r="C10" s="783"/>
      <c r="D10" s="83"/>
      <c r="E10" s="7"/>
    </row>
    <row r="11" spans="1:6">
      <c r="A11" s="435">
        <v>2.1</v>
      </c>
      <c r="B11" s="395" t="s">
        <v>699</v>
      </c>
      <c r="C11" s="784"/>
      <c r="D11" s="84"/>
      <c r="E11" s="8"/>
    </row>
    <row r="12" spans="1:6" ht="23.45" customHeight="1">
      <c r="A12" s="435">
        <v>3</v>
      </c>
      <c r="B12" s="396" t="s">
        <v>700</v>
      </c>
      <c r="C12" s="785"/>
      <c r="D12" s="84"/>
      <c r="E12" s="8"/>
    </row>
    <row r="13" spans="1:6" ht="23.1" customHeight="1">
      <c r="A13" s="435">
        <v>4</v>
      </c>
      <c r="B13" s="397" t="s">
        <v>701</v>
      </c>
      <c r="C13" s="785"/>
      <c r="D13" s="84"/>
      <c r="E13" s="8"/>
    </row>
    <row r="14" spans="1:6">
      <c r="A14" s="435">
        <v>5</v>
      </c>
      <c r="B14" s="397" t="s">
        <v>702</v>
      </c>
      <c r="C14" s="785">
        <f>SUM(C15:C17)</f>
        <v>0</v>
      </c>
      <c r="D14" s="84"/>
      <c r="E14" s="8"/>
    </row>
    <row r="15" spans="1:6">
      <c r="A15" s="435">
        <v>5.0999999999999996</v>
      </c>
      <c r="B15" s="398" t="s">
        <v>703</v>
      </c>
      <c r="C15" s="786"/>
      <c r="D15" s="84"/>
      <c r="E15" s="7"/>
    </row>
    <row r="16" spans="1:6">
      <c r="A16" s="435">
        <v>5.2</v>
      </c>
      <c r="B16" s="398" t="s">
        <v>538</v>
      </c>
      <c r="C16" s="782"/>
      <c r="D16" s="83"/>
      <c r="E16" s="7"/>
    </row>
    <row r="17" spans="1:5">
      <c r="A17" s="435">
        <v>5.3</v>
      </c>
      <c r="B17" s="398" t="s">
        <v>704</v>
      </c>
      <c r="C17" s="782"/>
      <c r="D17" s="83"/>
      <c r="E17" s="7"/>
    </row>
    <row r="18" spans="1:5">
      <c r="A18" s="435">
        <v>6</v>
      </c>
      <c r="B18" s="396" t="s">
        <v>705</v>
      </c>
      <c r="C18" s="783">
        <f>SUM(C19:C20)</f>
        <v>9553935</v>
      </c>
      <c r="D18" s="83"/>
      <c r="E18" s="7"/>
    </row>
    <row r="19" spans="1:5">
      <c r="A19" s="435">
        <v>6.1</v>
      </c>
      <c r="B19" s="398" t="s">
        <v>538</v>
      </c>
      <c r="C19" s="784">
        <f>'2. SOFP'!E20</f>
        <v>9553935</v>
      </c>
      <c r="D19" s="83"/>
      <c r="E19" s="7"/>
    </row>
    <row r="20" spans="1:5">
      <c r="A20" s="435">
        <v>6.2</v>
      </c>
      <c r="B20" s="398" t="s">
        <v>704</v>
      </c>
      <c r="C20" s="784">
        <f>'2. SOFP'!E21</f>
        <v>0</v>
      </c>
      <c r="D20" s="83"/>
      <c r="E20" s="7"/>
    </row>
    <row r="21" spans="1:5">
      <c r="A21" s="435">
        <v>7</v>
      </c>
      <c r="B21" s="399" t="s">
        <v>706</v>
      </c>
      <c r="C21" s="785"/>
      <c r="D21" s="83"/>
      <c r="E21" s="7"/>
    </row>
    <row r="22" spans="1:5">
      <c r="A22" s="435">
        <v>8</v>
      </c>
      <c r="B22" s="400" t="s">
        <v>707</v>
      </c>
      <c r="C22" s="783"/>
      <c r="D22" s="83"/>
      <c r="E22" s="7"/>
    </row>
    <row r="23" spans="1:5">
      <c r="A23" s="435">
        <v>9</v>
      </c>
      <c r="B23" s="397" t="s">
        <v>708</v>
      </c>
      <c r="C23" s="783">
        <f>SUM(C24:C25)</f>
        <v>3310825</v>
      </c>
      <c r="D23" s="466"/>
      <c r="E23" s="7"/>
    </row>
    <row r="24" spans="1:5">
      <c r="A24" s="435">
        <v>9.1</v>
      </c>
      <c r="B24" s="401" t="s">
        <v>709</v>
      </c>
      <c r="C24" s="787">
        <f>'2. SOFP'!E25</f>
        <v>3310825</v>
      </c>
      <c r="D24" s="85"/>
      <c r="E24" s="7"/>
    </row>
    <row r="25" spans="1:5">
      <c r="A25" s="435">
        <v>9.1999999999999993</v>
      </c>
      <c r="B25" s="401" t="s">
        <v>710</v>
      </c>
      <c r="C25" s="788"/>
      <c r="D25" s="465"/>
      <c r="E25" s="6"/>
    </row>
    <row r="26" spans="1:5">
      <c r="A26" s="435">
        <v>10</v>
      </c>
      <c r="B26" s="397" t="s">
        <v>36</v>
      </c>
      <c r="C26" s="789">
        <f>SUM(C27:C28)</f>
        <v>5342957</v>
      </c>
      <c r="D26" s="627" t="s">
        <v>903</v>
      </c>
      <c r="E26" s="7"/>
    </row>
    <row r="27" spans="1:5">
      <c r="A27" s="435">
        <v>10.1</v>
      </c>
      <c r="B27" s="401" t="s">
        <v>711</v>
      </c>
      <c r="C27" s="782"/>
      <c r="D27" s="83"/>
      <c r="E27" s="7"/>
    </row>
    <row r="28" spans="1:5">
      <c r="A28" s="435">
        <v>10.199999999999999</v>
      </c>
      <c r="B28" s="401" t="s">
        <v>712</v>
      </c>
      <c r="C28" s="782">
        <f>'2. SOFP'!E29</f>
        <v>5342957</v>
      </c>
      <c r="D28" s="83"/>
      <c r="E28" s="7"/>
    </row>
    <row r="29" spans="1:5">
      <c r="A29" s="435">
        <v>11</v>
      </c>
      <c r="B29" s="397" t="s">
        <v>713</v>
      </c>
      <c r="C29" s="783">
        <f>SUM(C30:C31)</f>
        <v>0</v>
      </c>
      <c r="D29" s="83"/>
      <c r="E29" s="7"/>
    </row>
    <row r="30" spans="1:5">
      <c r="A30" s="435">
        <v>11.1</v>
      </c>
      <c r="B30" s="401" t="s">
        <v>714</v>
      </c>
      <c r="C30" s="782">
        <f>'2. SOFP'!E31</f>
        <v>0</v>
      </c>
      <c r="D30" s="83"/>
      <c r="E30" s="7"/>
    </row>
    <row r="31" spans="1:5">
      <c r="A31" s="435">
        <v>11.2</v>
      </c>
      <c r="B31" s="401" t="s">
        <v>715</v>
      </c>
      <c r="C31" s="782">
        <f>'2. SOFP'!E32</f>
        <v>0</v>
      </c>
      <c r="D31" s="83"/>
      <c r="E31" s="7"/>
    </row>
    <row r="32" spans="1:5">
      <c r="A32" s="435">
        <v>13</v>
      </c>
      <c r="B32" s="397" t="s">
        <v>88</v>
      </c>
      <c r="C32" s="783">
        <f>'2. SOFP'!E33</f>
        <v>987808.29</v>
      </c>
      <c r="D32" s="83"/>
      <c r="E32" s="7"/>
    </row>
    <row r="33" spans="1:5">
      <c r="A33" s="435">
        <v>13.1</v>
      </c>
      <c r="B33" s="402" t="s">
        <v>716</v>
      </c>
      <c r="C33" s="782"/>
      <c r="D33" s="83"/>
      <c r="E33" s="7"/>
    </row>
    <row r="34" spans="1:5">
      <c r="A34" s="435">
        <v>13.2</v>
      </c>
      <c r="B34" s="402" t="s">
        <v>717</v>
      </c>
      <c r="C34" s="787"/>
      <c r="D34" s="85"/>
      <c r="E34" s="7"/>
    </row>
    <row r="35" spans="1:5">
      <c r="A35" s="435">
        <v>14</v>
      </c>
      <c r="B35" s="403" t="s">
        <v>718</v>
      </c>
      <c r="C35" s="790">
        <f>SUM(C6,C10,C12,C13,C14,C18,C21,C22,C23,C26,C29,C32)</f>
        <v>37235988</v>
      </c>
      <c r="D35" s="85"/>
      <c r="E35" s="7"/>
    </row>
    <row r="36" spans="1:5">
      <c r="A36" s="435"/>
      <c r="B36" s="404" t="s">
        <v>93</v>
      </c>
      <c r="C36" s="791"/>
      <c r="D36" s="86"/>
      <c r="E36" s="7"/>
    </row>
    <row r="37" spans="1:5">
      <c r="A37" s="435">
        <v>15</v>
      </c>
      <c r="B37" s="405" t="s">
        <v>719</v>
      </c>
      <c r="C37" s="788"/>
      <c r="D37" s="465"/>
      <c r="E37" s="6"/>
    </row>
    <row r="38" spans="1:5">
      <c r="A38" s="435">
        <v>15.1</v>
      </c>
      <c r="B38" s="406" t="s">
        <v>699</v>
      </c>
      <c r="C38" s="782"/>
      <c r="D38" s="83"/>
      <c r="E38" s="7"/>
    </row>
    <row r="39" spans="1:5" ht="21">
      <c r="A39" s="435">
        <v>16</v>
      </c>
      <c r="B39" s="399" t="s">
        <v>720</v>
      </c>
      <c r="C39" s="783"/>
      <c r="D39" s="83"/>
      <c r="E39" s="7"/>
    </row>
    <row r="40" spans="1:5">
      <c r="A40" s="435">
        <v>17</v>
      </c>
      <c r="B40" s="399" t="s">
        <v>721</v>
      </c>
      <c r="C40" s="783">
        <f>SUM(C41:C44)</f>
        <v>2531764</v>
      </c>
      <c r="D40" s="83"/>
      <c r="E40" s="7"/>
    </row>
    <row r="41" spans="1:5">
      <c r="A41" s="435">
        <v>17.100000000000001</v>
      </c>
      <c r="B41" s="407" t="s">
        <v>722</v>
      </c>
      <c r="C41" s="782">
        <f>'2. SOFP'!E42</f>
        <v>402826</v>
      </c>
      <c r="D41" s="83"/>
      <c r="E41" s="7"/>
    </row>
    <row r="42" spans="1:5">
      <c r="A42" s="454">
        <v>17.2</v>
      </c>
      <c r="B42" s="455" t="s">
        <v>89</v>
      </c>
      <c r="C42" s="787"/>
      <c r="D42" s="85"/>
      <c r="E42" s="7"/>
    </row>
    <row r="43" spans="1:5">
      <c r="A43" s="435">
        <v>17.3</v>
      </c>
      <c r="B43" s="456" t="s">
        <v>723</v>
      </c>
      <c r="C43" s="792"/>
      <c r="D43" s="457"/>
      <c r="E43" s="7"/>
    </row>
    <row r="44" spans="1:5">
      <c r="A44" s="435">
        <v>17.399999999999999</v>
      </c>
      <c r="B44" s="456" t="s">
        <v>724</v>
      </c>
      <c r="C44" s="792">
        <f>'2. SOFP'!E45</f>
        <v>2128938</v>
      </c>
      <c r="D44" s="457"/>
      <c r="E44" s="7"/>
    </row>
    <row r="45" spans="1:5">
      <c r="A45" s="435">
        <v>18</v>
      </c>
      <c r="B45" s="458" t="s">
        <v>725</v>
      </c>
      <c r="C45" s="793"/>
      <c r="D45" s="464"/>
      <c r="E45" s="6"/>
    </row>
    <row r="46" spans="1:5">
      <c r="A46" s="435">
        <v>19</v>
      </c>
      <c r="B46" s="458" t="s">
        <v>726</v>
      </c>
      <c r="C46" s="794">
        <f>SUM(C47:C48)</f>
        <v>151035</v>
      </c>
      <c r="D46" s="459"/>
    </row>
    <row r="47" spans="1:5">
      <c r="A47" s="435">
        <v>19.100000000000001</v>
      </c>
      <c r="B47" s="460" t="s">
        <v>727</v>
      </c>
      <c r="C47" s="795">
        <f>'2. SOFP'!E48</f>
        <v>0</v>
      </c>
      <c r="D47" s="459"/>
    </row>
    <row r="48" spans="1:5">
      <c r="A48" s="435">
        <v>19.2</v>
      </c>
      <c r="B48" s="460" t="s">
        <v>728</v>
      </c>
      <c r="C48" s="795">
        <f>'2. SOFP'!E49</f>
        <v>151035</v>
      </c>
      <c r="D48" s="459"/>
    </row>
    <row r="49" spans="1:4">
      <c r="A49" s="435">
        <v>20</v>
      </c>
      <c r="B49" s="412" t="s">
        <v>90</v>
      </c>
      <c r="C49" s="794"/>
      <c r="D49" s="459"/>
    </row>
    <row r="50" spans="1:4">
      <c r="A50" s="435">
        <v>21</v>
      </c>
      <c r="B50" s="413" t="s">
        <v>78</v>
      </c>
      <c r="C50" s="794">
        <f>'2. SOFP'!E51</f>
        <v>845231</v>
      </c>
      <c r="D50" s="459"/>
    </row>
    <row r="51" spans="1:4">
      <c r="A51" s="435">
        <v>21.1</v>
      </c>
      <c r="B51" s="408" t="s">
        <v>729</v>
      </c>
      <c r="C51" s="795"/>
      <c r="D51" s="459"/>
    </row>
    <row r="52" spans="1:4">
      <c r="A52" s="435">
        <v>22</v>
      </c>
      <c r="B52" s="412" t="s">
        <v>730</v>
      </c>
      <c r="C52" s="794">
        <f>SUM(C37,C39,C40,C45,C46,C49,C50)</f>
        <v>3528030</v>
      </c>
      <c r="D52" s="459"/>
    </row>
    <row r="53" spans="1:4">
      <c r="A53" s="435"/>
      <c r="B53" s="414" t="s">
        <v>731</v>
      </c>
      <c r="C53" s="796"/>
      <c r="D53" s="459"/>
    </row>
    <row r="54" spans="1:4">
      <c r="A54" s="435">
        <v>23</v>
      </c>
      <c r="B54" s="412" t="s">
        <v>94</v>
      </c>
      <c r="C54" s="797">
        <f>'2. SOFP'!E55</f>
        <v>46774750</v>
      </c>
      <c r="D54" s="459"/>
    </row>
    <row r="55" spans="1:4">
      <c r="A55" s="435">
        <v>24</v>
      </c>
      <c r="B55" s="412" t="s">
        <v>732</v>
      </c>
      <c r="C55" s="797">
        <f>'2. SOFP'!E56</f>
        <v>2100</v>
      </c>
      <c r="D55" s="459"/>
    </row>
    <row r="56" spans="1:4">
      <c r="A56" s="435">
        <v>25</v>
      </c>
      <c r="B56" s="415" t="s">
        <v>91</v>
      </c>
      <c r="C56" s="797"/>
      <c r="D56" s="459"/>
    </row>
    <row r="57" spans="1:4">
      <c r="A57" s="435">
        <v>26</v>
      </c>
      <c r="B57" s="458" t="s">
        <v>733</v>
      </c>
      <c r="C57" s="797"/>
      <c r="D57" s="459"/>
    </row>
    <row r="58" spans="1:4">
      <c r="A58" s="435">
        <v>27</v>
      </c>
      <c r="B58" s="458" t="s">
        <v>734</v>
      </c>
      <c r="C58" s="797">
        <f>SUM(C59:C60)</f>
        <v>0</v>
      </c>
      <c r="D58" s="459"/>
    </row>
    <row r="59" spans="1:4">
      <c r="A59" s="435">
        <v>27.1</v>
      </c>
      <c r="B59" s="461" t="s">
        <v>735</v>
      </c>
      <c r="C59" s="792"/>
      <c r="D59" s="459"/>
    </row>
    <row r="60" spans="1:4">
      <c r="A60" s="435">
        <v>27.2</v>
      </c>
      <c r="B60" s="456" t="s">
        <v>736</v>
      </c>
      <c r="C60" s="792"/>
      <c r="D60" s="459"/>
    </row>
    <row r="61" spans="1:4">
      <c r="A61" s="435">
        <v>28</v>
      </c>
      <c r="B61" s="413" t="s">
        <v>737</v>
      </c>
      <c r="C61" s="797"/>
      <c r="D61" s="459"/>
    </row>
    <row r="62" spans="1:4">
      <c r="A62" s="435">
        <v>29</v>
      </c>
      <c r="B62" s="458" t="s">
        <v>738</v>
      </c>
      <c r="C62" s="797">
        <f>SUM(C63:C65)</f>
        <v>0</v>
      </c>
      <c r="D62" s="459"/>
    </row>
    <row r="63" spans="1:4">
      <c r="A63" s="435">
        <v>29.1</v>
      </c>
      <c r="B63" s="462" t="s">
        <v>739</v>
      </c>
      <c r="C63" s="792"/>
      <c r="D63" s="459"/>
    </row>
    <row r="64" spans="1:4" ht="24" customHeight="1">
      <c r="A64" s="435">
        <v>29.2</v>
      </c>
      <c r="B64" s="461" t="s">
        <v>740</v>
      </c>
      <c r="C64" s="792"/>
      <c r="D64" s="459"/>
    </row>
    <row r="65" spans="1:4" ht="21.95" customHeight="1">
      <c r="A65" s="435">
        <v>29.3</v>
      </c>
      <c r="B65" s="463" t="s">
        <v>741</v>
      </c>
      <c r="C65" s="792"/>
      <c r="D65" s="459"/>
    </row>
    <row r="66" spans="1:4">
      <c r="A66" s="435">
        <v>30</v>
      </c>
      <c r="B66" s="418" t="s">
        <v>92</v>
      </c>
      <c r="C66" s="797">
        <f>'2. SOFP'!E67</f>
        <v>-13068892</v>
      </c>
      <c r="D66" s="459"/>
    </row>
    <row r="67" spans="1:4">
      <c r="A67" s="435">
        <v>31</v>
      </c>
      <c r="B67" s="417" t="s">
        <v>742</v>
      </c>
      <c r="C67" s="797">
        <f>SUM(C54,C55,C56,C57,C58,C61,C62,C66)</f>
        <v>33707958</v>
      </c>
      <c r="D67" s="459"/>
    </row>
    <row r="68" spans="1:4">
      <c r="A68" s="435">
        <v>32</v>
      </c>
      <c r="B68" s="418" t="s">
        <v>743</v>
      </c>
      <c r="C68" s="797">
        <f>SUM(C52,C67)</f>
        <v>37235988</v>
      </c>
      <c r="D68" s="459"/>
    </row>
    <row r="69" spans="1:4">
      <c r="C69" s="778">
        <f>C68-C35</f>
        <v>0</v>
      </c>
    </row>
    <row r="70" spans="1:4">
      <c r="C70" s="778">
        <f>C68-'7. LI1'!C37</f>
        <v>0</v>
      </c>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4"/>
  <sheetViews>
    <sheetView zoomScaleNormal="100" workbookViewId="0">
      <pane xSplit="2" ySplit="7" topLeftCell="O8" activePane="bottomRight" state="frozen"/>
      <selection activeCell="B2" sqref="B2"/>
      <selection pane="topRight" activeCell="B2" sqref="B2"/>
      <selection pane="bottomLeft" activeCell="B2" sqref="B2"/>
      <selection pane="bottomRight" activeCell="AB22" sqref="AB22"/>
    </sheetView>
  </sheetViews>
  <sheetFormatPr defaultColWidth="9.140625" defaultRowHeight="12.75"/>
  <cols>
    <col min="1" max="1" width="10.5703125" style="2" bestFit="1" customWidth="1"/>
    <col min="2" max="2" width="97" style="2" bestFit="1" customWidth="1"/>
    <col min="3" max="3" width="9.42578125" style="2" bestFit="1" customWidth="1"/>
    <col min="4" max="4" width="13.140625" style="2" bestFit="1" customWidth="1"/>
    <col min="5" max="5" width="12.7109375" style="2" customWidth="1"/>
    <col min="6" max="6" width="13.140625" style="2" bestFit="1" customWidth="1"/>
    <col min="7" max="7" width="9.42578125" style="2" bestFit="1" customWidth="1"/>
    <col min="8" max="8" width="13.140625" style="2" bestFit="1" customWidth="1"/>
    <col min="9" max="9" width="9.42578125" style="2" bestFit="1" customWidth="1"/>
    <col min="10" max="10" width="13.140625" style="2" bestFit="1" customWidth="1"/>
    <col min="11" max="11" width="9.42578125" style="2" bestFit="1" customWidth="1"/>
    <col min="12" max="12" width="13.140625" style="2" bestFit="1" customWidth="1"/>
    <col min="13" max="13" width="13.140625" style="2" customWidth="1"/>
    <col min="14" max="14" width="13.140625" style="2" bestFit="1" customWidth="1"/>
    <col min="15" max="15" width="9.42578125" style="2" bestFit="1" customWidth="1"/>
    <col min="16" max="16" width="13.140625" style="2" bestFit="1" customWidth="1"/>
    <col min="17" max="17" width="9.42578125" style="2" bestFit="1" customWidth="1"/>
    <col min="18" max="18" width="13.140625" style="2" bestFit="1" customWidth="1"/>
    <col min="19" max="19" width="31.5703125" style="2" bestFit="1" customWidth="1"/>
    <col min="20" max="16384" width="9.140625" style="12"/>
  </cols>
  <sheetData>
    <row r="1" spans="1:19">
      <c r="A1" s="2" t="s">
        <v>97</v>
      </c>
      <c r="B1" s="221" t="str">
        <f>Info!C2</f>
        <v>სს "ჰეშ ბანკი"</v>
      </c>
    </row>
    <row r="2" spans="1:19">
      <c r="A2" s="2" t="s">
        <v>98</v>
      </c>
      <c r="B2" s="726">
        <f>'1. key ratios'!B2</f>
        <v>45838</v>
      </c>
    </row>
    <row r="4" spans="1:19" ht="26.25" thickBot="1">
      <c r="A4" s="37" t="s">
        <v>248</v>
      </c>
      <c r="B4" s="182"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73" t="s">
        <v>272</v>
      </c>
      <c r="S5" s="67" t="s">
        <v>273</v>
      </c>
    </row>
    <row r="6" spans="1:19" ht="46.5" customHeight="1">
      <c r="A6" s="90"/>
      <c r="B6" s="863" t="s">
        <v>274</v>
      </c>
      <c r="C6" s="861">
        <v>0</v>
      </c>
      <c r="D6" s="862"/>
      <c r="E6" s="861">
        <v>0.2</v>
      </c>
      <c r="F6" s="862"/>
      <c r="G6" s="861">
        <v>0.35</v>
      </c>
      <c r="H6" s="862"/>
      <c r="I6" s="861">
        <v>0.5</v>
      </c>
      <c r="J6" s="862"/>
      <c r="K6" s="861">
        <v>0.75</v>
      </c>
      <c r="L6" s="862"/>
      <c r="M6" s="861">
        <v>1</v>
      </c>
      <c r="N6" s="862"/>
      <c r="O6" s="861">
        <v>1.5</v>
      </c>
      <c r="P6" s="862"/>
      <c r="Q6" s="861">
        <v>2.5</v>
      </c>
      <c r="R6" s="862"/>
      <c r="S6" s="859" t="s">
        <v>145</v>
      </c>
    </row>
    <row r="7" spans="1:19">
      <c r="A7" s="90"/>
      <c r="B7" s="864"/>
      <c r="C7" s="181" t="s">
        <v>267</v>
      </c>
      <c r="D7" s="181" t="s">
        <v>268</v>
      </c>
      <c r="E7" s="181" t="s">
        <v>267</v>
      </c>
      <c r="F7" s="181" t="s">
        <v>268</v>
      </c>
      <c r="G7" s="181" t="s">
        <v>267</v>
      </c>
      <c r="H7" s="181" t="s">
        <v>268</v>
      </c>
      <c r="I7" s="181" t="s">
        <v>267</v>
      </c>
      <c r="J7" s="181" t="s">
        <v>268</v>
      </c>
      <c r="K7" s="181" t="s">
        <v>267</v>
      </c>
      <c r="L7" s="181" t="s">
        <v>268</v>
      </c>
      <c r="M7" s="181" t="s">
        <v>267</v>
      </c>
      <c r="N7" s="181" t="s">
        <v>268</v>
      </c>
      <c r="O7" s="181" t="s">
        <v>267</v>
      </c>
      <c r="P7" s="181" t="s">
        <v>268</v>
      </c>
      <c r="Q7" s="181" t="s">
        <v>267</v>
      </c>
      <c r="R7" s="181" t="s">
        <v>268</v>
      </c>
      <c r="S7" s="860"/>
    </row>
    <row r="8" spans="1:19" s="93" customFormat="1">
      <c r="A8" s="70">
        <v>1</v>
      </c>
      <c r="B8" s="99" t="s">
        <v>123</v>
      </c>
      <c r="C8" s="163">
        <v>566614.81999999995</v>
      </c>
      <c r="D8" s="163"/>
      <c r="E8" s="163">
        <v>0</v>
      </c>
      <c r="F8" s="174"/>
      <c r="G8" s="163">
        <v>0</v>
      </c>
      <c r="H8" s="163"/>
      <c r="I8" s="163">
        <v>0</v>
      </c>
      <c r="J8" s="163"/>
      <c r="K8" s="163">
        <v>0</v>
      </c>
      <c r="L8" s="163"/>
      <c r="M8" s="163">
        <v>205.18</v>
      </c>
      <c r="N8" s="163"/>
      <c r="O8" s="163">
        <v>0</v>
      </c>
      <c r="P8" s="163"/>
      <c r="Q8" s="163">
        <v>0</v>
      </c>
      <c r="R8" s="174"/>
      <c r="S8" s="187">
        <f>$C$6*SUM(C8:D8)+$E$6*SUM(E8:F8)+$G$6*SUM(G8:H8)+$I$6*SUM(I8:J8)+$K$6*SUM(K8:L8)+$M$6*SUM(M8:N8)+$O$6*SUM(O8:P8)+$Q$6*SUM(Q8:R8)</f>
        <v>205.18</v>
      </c>
    </row>
    <row r="9" spans="1:19" s="93" customFormat="1">
      <c r="A9" s="70">
        <v>2</v>
      </c>
      <c r="B9" s="99" t="s">
        <v>124</v>
      </c>
      <c r="C9" s="163">
        <v>0</v>
      </c>
      <c r="D9" s="163"/>
      <c r="E9" s="163">
        <v>0</v>
      </c>
      <c r="F9" s="163"/>
      <c r="G9" s="163">
        <v>0</v>
      </c>
      <c r="H9" s="163"/>
      <c r="I9" s="163">
        <v>0</v>
      </c>
      <c r="J9" s="163"/>
      <c r="K9" s="163">
        <v>0</v>
      </c>
      <c r="L9" s="163"/>
      <c r="M9" s="163">
        <v>0</v>
      </c>
      <c r="N9" s="163"/>
      <c r="O9" s="163">
        <v>0</v>
      </c>
      <c r="P9" s="163"/>
      <c r="Q9" s="163">
        <v>0</v>
      </c>
      <c r="R9" s="174"/>
      <c r="S9" s="187">
        <f t="shared" ref="S9:S21" si="0">$C$6*SUM(C9:D9)+$E$6*SUM(E9:F9)+$G$6*SUM(G9:H9)+$I$6*SUM(I9:J9)+$K$6*SUM(K9:L9)+$M$6*SUM(M9:N9)+$O$6*SUM(O9:P9)+$Q$6*SUM(Q9:R9)</f>
        <v>0</v>
      </c>
    </row>
    <row r="10" spans="1:19" s="93" customFormat="1">
      <c r="A10" s="70">
        <v>3</v>
      </c>
      <c r="B10" s="99" t="s">
        <v>125</v>
      </c>
      <c r="C10" s="163">
        <v>0</v>
      </c>
      <c r="D10" s="163"/>
      <c r="E10" s="163">
        <v>0</v>
      </c>
      <c r="F10" s="163"/>
      <c r="G10" s="163">
        <v>0</v>
      </c>
      <c r="H10" s="163"/>
      <c r="I10" s="163">
        <v>0</v>
      </c>
      <c r="J10" s="163"/>
      <c r="K10" s="163">
        <v>0</v>
      </c>
      <c r="L10" s="163"/>
      <c r="M10" s="163">
        <v>0</v>
      </c>
      <c r="N10" s="163"/>
      <c r="O10" s="163">
        <v>0</v>
      </c>
      <c r="P10" s="163"/>
      <c r="Q10" s="163">
        <v>0</v>
      </c>
      <c r="R10" s="174"/>
      <c r="S10" s="187">
        <f t="shared" si="0"/>
        <v>0</v>
      </c>
    </row>
    <row r="11" spans="1:19" s="93" customFormat="1">
      <c r="A11" s="70">
        <v>4</v>
      </c>
      <c r="B11" s="99" t="s">
        <v>126</v>
      </c>
      <c r="C11" s="163">
        <v>0</v>
      </c>
      <c r="D11" s="163"/>
      <c r="E11" s="163">
        <v>0</v>
      </c>
      <c r="F11" s="163"/>
      <c r="G11" s="163">
        <v>0</v>
      </c>
      <c r="H11" s="163"/>
      <c r="I11" s="163">
        <v>0</v>
      </c>
      <c r="J11" s="163"/>
      <c r="K11" s="163">
        <v>0</v>
      </c>
      <c r="L11" s="163"/>
      <c r="M11" s="163">
        <v>0</v>
      </c>
      <c r="N11" s="163"/>
      <c r="O11" s="163">
        <v>0</v>
      </c>
      <c r="P11" s="163"/>
      <c r="Q11" s="163">
        <v>0</v>
      </c>
      <c r="R11" s="174"/>
      <c r="S11" s="187">
        <f t="shared" si="0"/>
        <v>0</v>
      </c>
    </row>
    <row r="12" spans="1:19" s="93" customFormat="1">
      <c r="A12" s="70">
        <v>5</v>
      </c>
      <c r="B12" s="99" t="s">
        <v>912</v>
      </c>
      <c r="C12" s="163">
        <v>0</v>
      </c>
      <c r="D12" s="163"/>
      <c r="E12" s="163">
        <v>0</v>
      </c>
      <c r="F12" s="163"/>
      <c r="G12" s="163">
        <v>0</v>
      </c>
      <c r="H12" s="163"/>
      <c r="I12" s="163">
        <v>0</v>
      </c>
      <c r="J12" s="163"/>
      <c r="K12" s="163">
        <v>0</v>
      </c>
      <c r="L12" s="163"/>
      <c r="M12" s="163">
        <v>0</v>
      </c>
      <c r="N12" s="163"/>
      <c r="O12" s="163">
        <v>0</v>
      </c>
      <c r="P12" s="163"/>
      <c r="Q12" s="163">
        <v>0</v>
      </c>
      <c r="R12" s="174"/>
      <c r="S12" s="187">
        <f t="shared" si="0"/>
        <v>0</v>
      </c>
    </row>
    <row r="13" spans="1:19" s="93" customFormat="1">
      <c r="A13" s="70">
        <v>6</v>
      </c>
      <c r="B13" s="99" t="s">
        <v>127</v>
      </c>
      <c r="C13" s="163">
        <v>0</v>
      </c>
      <c r="D13" s="163"/>
      <c r="E13" s="163">
        <v>13276108.219999999</v>
      </c>
      <c r="F13" s="163"/>
      <c r="G13" s="163">
        <v>0</v>
      </c>
      <c r="H13" s="163"/>
      <c r="I13" s="163">
        <v>2231533.48</v>
      </c>
      <c r="J13" s="163"/>
      <c r="K13" s="163">
        <v>0</v>
      </c>
      <c r="L13" s="163"/>
      <c r="M13" s="163">
        <v>11519936.23</v>
      </c>
      <c r="N13" s="163">
        <v>0</v>
      </c>
      <c r="O13" s="163">
        <v>0</v>
      </c>
      <c r="P13" s="163"/>
      <c r="Q13" s="163">
        <v>0</v>
      </c>
      <c r="R13" s="174"/>
      <c r="S13" s="187">
        <f>$C$6*SUM(C13:D13)+$E$6*SUM(E13:F13)+$G$6*SUM(G13:H13)+$I$6*SUM(I13:J13)+$K$6*SUM(K13:L13)+$M$6*SUM(M13:N13)+$O$6*SUM(O13:P13)+$Q$6*SUM(Q13:R13)</f>
        <v>15290924.614</v>
      </c>
    </row>
    <row r="14" spans="1:19" s="93" customFormat="1">
      <c r="A14" s="70">
        <v>7</v>
      </c>
      <c r="B14" s="99" t="s">
        <v>71</v>
      </c>
      <c r="C14" s="163"/>
      <c r="D14" s="163"/>
      <c r="E14" s="163"/>
      <c r="F14" s="163"/>
      <c r="G14" s="163"/>
      <c r="H14" s="163"/>
      <c r="I14" s="163"/>
      <c r="J14" s="163"/>
      <c r="K14" s="163"/>
      <c r="L14" s="163"/>
      <c r="M14" s="163"/>
      <c r="N14" s="163"/>
      <c r="O14" s="163"/>
      <c r="P14" s="163"/>
      <c r="Q14" s="163"/>
      <c r="R14" s="174"/>
      <c r="S14" s="187">
        <f t="shared" si="0"/>
        <v>0</v>
      </c>
    </row>
    <row r="15" spans="1:19" s="93" customFormat="1">
      <c r="A15" s="70">
        <v>8</v>
      </c>
      <c r="B15" s="99" t="s">
        <v>72</v>
      </c>
      <c r="C15" s="163"/>
      <c r="D15" s="163"/>
      <c r="E15" s="163"/>
      <c r="F15" s="163"/>
      <c r="G15" s="163"/>
      <c r="H15" s="163"/>
      <c r="I15" s="163"/>
      <c r="J15" s="163"/>
      <c r="K15" s="163"/>
      <c r="L15" s="163"/>
      <c r="M15" s="163"/>
      <c r="N15" s="163"/>
      <c r="O15" s="163"/>
      <c r="P15" s="163"/>
      <c r="Q15" s="163"/>
      <c r="R15" s="174"/>
      <c r="S15" s="187">
        <f t="shared" si="0"/>
        <v>0</v>
      </c>
    </row>
    <row r="16" spans="1:19" s="93" customFormat="1">
      <c r="A16" s="70">
        <v>9</v>
      </c>
      <c r="B16" s="99" t="s">
        <v>913</v>
      </c>
      <c r="C16" s="163"/>
      <c r="D16" s="163"/>
      <c r="E16" s="163"/>
      <c r="F16" s="163"/>
      <c r="G16" s="163"/>
      <c r="H16" s="163"/>
      <c r="I16" s="163"/>
      <c r="J16" s="163"/>
      <c r="K16" s="163"/>
      <c r="L16" s="163"/>
      <c r="M16" s="163"/>
      <c r="N16" s="163"/>
      <c r="O16" s="163"/>
      <c r="P16" s="163"/>
      <c r="Q16" s="163"/>
      <c r="R16" s="174"/>
      <c r="S16" s="187">
        <f t="shared" si="0"/>
        <v>0</v>
      </c>
    </row>
    <row r="17" spans="1:19" s="93" customFormat="1">
      <c r="A17" s="70">
        <v>10</v>
      </c>
      <c r="B17" s="99" t="s">
        <v>67</v>
      </c>
      <c r="C17" s="163"/>
      <c r="D17" s="163"/>
      <c r="E17" s="163"/>
      <c r="F17" s="163"/>
      <c r="G17" s="163"/>
      <c r="H17" s="163"/>
      <c r="I17" s="163"/>
      <c r="J17" s="163"/>
      <c r="K17" s="163"/>
      <c r="L17" s="163"/>
      <c r="M17" s="163"/>
      <c r="N17" s="163"/>
      <c r="O17" s="163"/>
      <c r="P17" s="163"/>
      <c r="Q17" s="163"/>
      <c r="R17" s="174"/>
      <c r="S17" s="187">
        <f t="shared" si="0"/>
        <v>0</v>
      </c>
    </row>
    <row r="18" spans="1:19" s="93" customFormat="1">
      <c r="A18" s="70">
        <v>11</v>
      </c>
      <c r="B18" s="99" t="s">
        <v>68</v>
      </c>
      <c r="C18" s="163"/>
      <c r="D18" s="163"/>
      <c r="E18" s="163"/>
      <c r="F18" s="163"/>
      <c r="G18" s="163"/>
      <c r="H18" s="163"/>
      <c r="I18" s="163"/>
      <c r="J18" s="163"/>
      <c r="K18" s="163"/>
      <c r="L18" s="163"/>
      <c r="M18" s="163"/>
      <c r="N18" s="163"/>
      <c r="O18" s="163"/>
      <c r="P18" s="163"/>
      <c r="Q18" s="163"/>
      <c r="R18" s="174"/>
      <c r="S18" s="187">
        <f t="shared" si="0"/>
        <v>0</v>
      </c>
    </row>
    <row r="19" spans="1:19" s="93" customFormat="1">
      <c r="A19" s="70">
        <v>12</v>
      </c>
      <c r="B19" s="99" t="s">
        <v>69</v>
      </c>
      <c r="C19" s="163"/>
      <c r="D19" s="163"/>
      <c r="E19" s="163"/>
      <c r="F19" s="163"/>
      <c r="G19" s="163"/>
      <c r="H19" s="163"/>
      <c r="I19" s="163"/>
      <c r="J19" s="163"/>
      <c r="K19" s="163"/>
      <c r="L19" s="163"/>
      <c r="M19" s="163"/>
      <c r="N19" s="163"/>
      <c r="O19" s="163"/>
      <c r="P19" s="163"/>
      <c r="Q19" s="163"/>
      <c r="R19" s="174"/>
      <c r="S19" s="804">
        <f t="shared" si="0"/>
        <v>0</v>
      </c>
    </row>
    <row r="20" spans="1:19" s="93" customFormat="1">
      <c r="A20" s="70">
        <v>13</v>
      </c>
      <c r="B20" s="99" t="s">
        <v>70</v>
      </c>
      <c r="C20" s="163"/>
      <c r="D20" s="163"/>
      <c r="E20" s="163"/>
      <c r="F20" s="163"/>
      <c r="G20" s="163"/>
      <c r="H20" s="163"/>
      <c r="I20" s="163"/>
      <c r="J20" s="163"/>
      <c r="K20" s="163"/>
      <c r="L20" s="163"/>
      <c r="M20" s="163"/>
      <c r="N20" s="163"/>
      <c r="O20" s="163"/>
      <c r="P20" s="163"/>
      <c r="Q20" s="163"/>
      <c r="R20" s="174"/>
      <c r="S20" s="804">
        <f t="shared" si="0"/>
        <v>0</v>
      </c>
    </row>
    <row r="21" spans="1:19" s="93" customFormat="1">
      <c r="A21" s="70">
        <v>14</v>
      </c>
      <c r="B21" s="99" t="s">
        <v>143</v>
      </c>
      <c r="C21" s="163">
        <v>0</v>
      </c>
      <c r="D21" s="163"/>
      <c r="E21" s="163">
        <v>0</v>
      </c>
      <c r="F21" s="163"/>
      <c r="G21" s="163">
        <v>0</v>
      </c>
      <c r="H21" s="163"/>
      <c r="I21" s="163">
        <v>0</v>
      </c>
      <c r="J21" s="163"/>
      <c r="K21" s="163">
        <v>0</v>
      </c>
      <c r="L21" s="163"/>
      <c r="M21" s="163">
        <v>4298633.29</v>
      </c>
      <c r="N21" s="163"/>
      <c r="O21" s="163">
        <v>0</v>
      </c>
      <c r="P21" s="163"/>
      <c r="Q21" s="163">
        <v>0</v>
      </c>
      <c r="R21" s="174"/>
      <c r="S21" s="804">
        <f t="shared" si="0"/>
        <v>4298633.29</v>
      </c>
    </row>
    <row r="22" spans="1:19" ht="13.5" thickBot="1">
      <c r="A22" s="63"/>
      <c r="B22" s="95" t="s">
        <v>66</v>
      </c>
      <c r="C22" s="164">
        <f>SUM(C8:C21)</f>
        <v>566614.81999999995</v>
      </c>
      <c r="D22" s="164">
        <f t="shared" ref="D22:S22" si="1">SUM(D8:D21)</f>
        <v>0</v>
      </c>
      <c r="E22" s="164">
        <f t="shared" si="1"/>
        <v>13276108.219999999</v>
      </c>
      <c r="F22" s="164">
        <f t="shared" si="1"/>
        <v>0</v>
      </c>
      <c r="G22" s="164">
        <f t="shared" si="1"/>
        <v>0</v>
      </c>
      <c r="H22" s="164">
        <f t="shared" si="1"/>
        <v>0</v>
      </c>
      <c r="I22" s="164">
        <f t="shared" si="1"/>
        <v>2231533.48</v>
      </c>
      <c r="J22" s="164">
        <f t="shared" si="1"/>
        <v>0</v>
      </c>
      <c r="K22" s="164">
        <f t="shared" si="1"/>
        <v>0</v>
      </c>
      <c r="L22" s="164">
        <f t="shared" si="1"/>
        <v>0</v>
      </c>
      <c r="M22" s="164">
        <f t="shared" si="1"/>
        <v>15818774.699999999</v>
      </c>
      <c r="N22" s="164">
        <f t="shared" si="1"/>
        <v>0</v>
      </c>
      <c r="O22" s="164">
        <f t="shared" si="1"/>
        <v>0</v>
      </c>
      <c r="P22" s="164">
        <f t="shared" si="1"/>
        <v>0</v>
      </c>
      <c r="Q22" s="164">
        <f t="shared" si="1"/>
        <v>0</v>
      </c>
      <c r="R22" s="164">
        <f t="shared" si="1"/>
        <v>0</v>
      </c>
      <c r="S22" s="805">
        <f t="shared" si="1"/>
        <v>19589763.083999999</v>
      </c>
    </row>
    <row r="23" spans="1:19">
      <c r="S23" s="798">
        <f>S22-'5. RWA'!C7</f>
        <v>4.3999999761581421E-2</v>
      </c>
    </row>
    <row r="24" spans="1:19">
      <c r="S24" s="798">
        <f>SUM(C22:R22)-'7. LI1'!E37</f>
        <v>0.2199999988079071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L7" activePane="bottomRight" state="frozen"/>
      <selection activeCell="B2" sqref="B2"/>
      <selection pane="topRight" activeCell="B2" sqref="B2"/>
      <selection pane="bottomLeft" activeCell="B2" sqref="B2"/>
      <selection pane="bottomRight" activeCell="C7" sqref="C7"/>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21" t="str">
        <f>Info!C2</f>
        <v>სს "ჰეშ ბანკი"</v>
      </c>
    </row>
    <row r="2" spans="1:22">
      <c r="A2" s="2" t="s">
        <v>98</v>
      </c>
      <c r="B2" s="726">
        <f>'1. key ratios'!B2</f>
        <v>45838</v>
      </c>
    </row>
    <row r="4" spans="1:22" ht="27.75" thickBot="1">
      <c r="A4" s="2" t="s">
        <v>249</v>
      </c>
      <c r="B4" s="183" t="s">
        <v>283</v>
      </c>
      <c r="V4" s="125" t="s">
        <v>76</v>
      </c>
    </row>
    <row r="5" spans="1:22">
      <c r="A5" s="61"/>
      <c r="B5" s="62"/>
      <c r="C5" s="865" t="s">
        <v>105</v>
      </c>
      <c r="D5" s="866"/>
      <c r="E5" s="866"/>
      <c r="F5" s="866"/>
      <c r="G5" s="866"/>
      <c r="H5" s="866"/>
      <c r="I5" s="866"/>
      <c r="J5" s="866"/>
      <c r="K5" s="866"/>
      <c r="L5" s="867"/>
      <c r="M5" s="865" t="s">
        <v>106</v>
      </c>
      <c r="N5" s="866"/>
      <c r="O5" s="866"/>
      <c r="P5" s="866"/>
      <c r="Q5" s="866"/>
      <c r="R5" s="866"/>
      <c r="S5" s="867"/>
      <c r="T5" s="870" t="s">
        <v>281</v>
      </c>
      <c r="U5" s="870" t="s">
        <v>280</v>
      </c>
      <c r="V5" s="868" t="s">
        <v>107</v>
      </c>
    </row>
    <row r="6" spans="1:22" s="37" customFormat="1" ht="127.5">
      <c r="A6" s="68"/>
      <c r="B6" s="101"/>
      <c r="C6" s="59" t="s">
        <v>108</v>
      </c>
      <c r="D6" s="58" t="s">
        <v>109</v>
      </c>
      <c r="E6" s="55" t="s">
        <v>110</v>
      </c>
      <c r="F6" s="184"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71"/>
      <c r="U6" s="871"/>
      <c r="V6" s="869"/>
    </row>
    <row r="7" spans="1:22" s="93" customFormat="1">
      <c r="A7" s="94">
        <v>1</v>
      </c>
      <c r="B7" s="99" t="s">
        <v>123</v>
      </c>
      <c r="C7" s="165"/>
      <c r="D7" s="163"/>
      <c r="E7" s="163"/>
      <c r="F7" s="163"/>
      <c r="G7" s="163"/>
      <c r="H7" s="163"/>
      <c r="I7" s="163"/>
      <c r="J7" s="163"/>
      <c r="K7" s="163"/>
      <c r="L7" s="166"/>
      <c r="M7" s="165"/>
      <c r="N7" s="163"/>
      <c r="O7" s="163"/>
      <c r="P7" s="163"/>
      <c r="Q7" s="163"/>
      <c r="R7" s="163"/>
      <c r="S7" s="166"/>
      <c r="T7" s="178"/>
      <c r="U7" s="177"/>
      <c r="V7" s="167">
        <f>SUM(C7:S7)</f>
        <v>0</v>
      </c>
    </row>
    <row r="8" spans="1:22" s="93" customFormat="1">
      <c r="A8" s="94">
        <v>2</v>
      </c>
      <c r="B8" s="99" t="s">
        <v>124</v>
      </c>
      <c r="C8" s="165"/>
      <c r="D8" s="163"/>
      <c r="E8" s="163"/>
      <c r="F8" s="163"/>
      <c r="G8" s="163"/>
      <c r="H8" s="163"/>
      <c r="I8" s="163"/>
      <c r="J8" s="163"/>
      <c r="K8" s="163"/>
      <c r="L8" s="166"/>
      <c r="M8" s="165"/>
      <c r="N8" s="163"/>
      <c r="O8" s="163"/>
      <c r="P8" s="163"/>
      <c r="Q8" s="163"/>
      <c r="R8" s="163"/>
      <c r="S8" s="166"/>
      <c r="T8" s="177"/>
      <c r="U8" s="177"/>
      <c r="V8" s="167">
        <f t="shared" ref="V8:V20" si="0">SUM(C8:S8)</f>
        <v>0</v>
      </c>
    </row>
    <row r="9" spans="1:22" s="93" customFormat="1">
      <c r="A9" s="94">
        <v>3</v>
      </c>
      <c r="B9" s="99" t="s">
        <v>125</v>
      </c>
      <c r="C9" s="165"/>
      <c r="D9" s="163"/>
      <c r="E9" s="163"/>
      <c r="F9" s="163"/>
      <c r="G9" s="163"/>
      <c r="H9" s="163"/>
      <c r="I9" s="163"/>
      <c r="J9" s="163"/>
      <c r="K9" s="163"/>
      <c r="L9" s="166"/>
      <c r="M9" s="165"/>
      <c r="N9" s="163"/>
      <c r="O9" s="163"/>
      <c r="P9" s="163"/>
      <c r="Q9" s="163"/>
      <c r="R9" s="163"/>
      <c r="S9" s="166"/>
      <c r="T9" s="177"/>
      <c r="U9" s="177"/>
      <c r="V9" s="167">
        <f>SUM(C9:S9)</f>
        <v>0</v>
      </c>
    </row>
    <row r="10" spans="1:22" s="93" customFormat="1">
      <c r="A10" s="94">
        <v>4</v>
      </c>
      <c r="B10" s="99" t="s">
        <v>126</v>
      </c>
      <c r="C10" s="165"/>
      <c r="D10" s="163"/>
      <c r="E10" s="163"/>
      <c r="F10" s="163"/>
      <c r="G10" s="163"/>
      <c r="H10" s="163"/>
      <c r="I10" s="163"/>
      <c r="J10" s="163"/>
      <c r="K10" s="163"/>
      <c r="L10" s="166"/>
      <c r="M10" s="165"/>
      <c r="N10" s="163"/>
      <c r="O10" s="163"/>
      <c r="P10" s="163"/>
      <c r="Q10" s="163"/>
      <c r="R10" s="163"/>
      <c r="S10" s="166"/>
      <c r="T10" s="177"/>
      <c r="U10" s="177"/>
      <c r="V10" s="167">
        <f t="shared" si="0"/>
        <v>0</v>
      </c>
    </row>
    <row r="11" spans="1:22" s="93" customFormat="1">
      <c r="A11" s="94">
        <v>5</v>
      </c>
      <c r="B11" s="99" t="s">
        <v>912</v>
      </c>
      <c r="C11" s="165"/>
      <c r="D11" s="163"/>
      <c r="E11" s="163"/>
      <c r="F11" s="163"/>
      <c r="G11" s="163"/>
      <c r="H11" s="163"/>
      <c r="I11" s="163"/>
      <c r="J11" s="163"/>
      <c r="K11" s="163"/>
      <c r="L11" s="166"/>
      <c r="M11" s="165"/>
      <c r="N11" s="163"/>
      <c r="O11" s="163"/>
      <c r="P11" s="163"/>
      <c r="Q11" s="163"/>
      <c r="R11" s="163"/>
      <c r="S11" s="166"/>
      <c r="T11" s="177"/>
      <c r="U11" s="177"/>
      <c r="V11" s="167">
        <f t="shared" si="0"/>
        <v>0</v>
      </c>
    </row>
    <row r="12" spans="1:22" s="93" customFormat="1">
      <c r="A12" s="94">
        <v>6</v>
      </c>
      <c r="B12" s="99" t="s">
        <v>127</v>
      </c>
      <c r="C12" s="165"/>
      <c r="D12" s="163"/>
      <c r="E12" s="163"/>
      <c r="F12" s="163"/>
      <c r="G12" s="163"/>
      <c r="H12" s="163"/>
      <c r="I12" s="163"/>
      <c r="J12" s="163"/>
      <c r="K12" s="163"/>
      <c r="L12" s="166"/>
      <c r="M12" s="165"/>
      <c r="N12" s="163"/>
      <c r="O12" s="163"/>
      <c r="P12" s="163"/>
      <c r="Q12" s="163"/>
      <c r="R12" s="163"/>
      <c r="S12" s="166"/>
      <c r="T12" s="177"/>
      <c r="U12" s="177"/>
      <c r="V12" s="167">
        <f t="shared" si="0"/>
        <v>0</v>
      </c>
    </row>
    <row r="13" spans="1:22" s="93" customFormat="1">
      <c r="A13" s="94">
        <v>7</v>
      </c>
      <c r="B13" s="99" t="s">
        <v>71</v>
      </c>
      <c r="C13" s="165"/>
      <c r="D13" s="163"/>
      <c r="E13" s="163"/>
      <c r="F13" s="163"/>
      <c r="G13" s="163"/>
      <c r="H13" s="163"/>
      <c r="I13" s="163"/>
      <c r="J13" s="163"/>
      <c r="K13" s="163"/>
      <c r="L13" s="166"/>
      <c r="M13" s="165"/>
      <c r="N13" s="163"/>
      <c r="O13" s="163"/>
      <c r="P13" s="163"/>
      <c r="Q13" s="163"/>
      <c r="R13" s="163"/>
      <c r="S13" s="166"/>
      <c r="T13" s="177"/>
      <c r="U13" s="177"/>
      <c r="V13" s="167">
        <f t="shared" si="0"/>
        <v>0</v>
      </c>
    </row>
    <row r="14" spans="1:22" s="93" customFormat="1">
      <c r="A14" s="94">
        <v>8</v>
      </c>
      <c r="B14" s="99" t="s">
        <v>72</v>
      </c>
      <c r="C14" s="165"/>
      <c r="D14" s="163"/>
      <c r="E14" s="163"/>
      <c r="F14" s="163"/>
      <c r="G14" s="163"/>
      <c r="H14" s="163"/>
      <c r="I14" s="163"/>
      <c r="J14" s="163"/>
      <c r="K14" s="163"/>
      <c r="L14" s="166"/>
      <c r="M14" s="165"/>
      <c r="N14" s="163"/>
      <c r="O14" s="163"/>
      <c r="P14" s="163"/>
      <c r="Q14" s="163"/>
      <c r="R14" s="163"/>
      <c r="S14" s="166"/>
      <c r="T14" s="177"/>
      <c r="U14" s="177"/>
      <c r="V14" s="167">
        <f t="shared" si="0"/>
        <v>0</v>
      </c>
    </row>
    <row r="15" spans="1:22" s="93" customFormat="1">
      <c r="A15" s="94">
        <v>9</v>
      </c>
      <c r="B15" s="99" t="s">
        <v>913</v>
      </c>
      <c r="C15" s="165"/>
      <c r="D15" s="163"/>
      <c r="E15" s="163"/>
      <c r="F15" s="163"/>
      <c r="G15" s="163"/>
      <c r="H15" s="163"/>
      <c r="I15" s="163"/>
      <c r="J15" s="163"/>
      <c r="K15" s="163"/>
      <c r="L15" s="166"/>
      <c r="M15" s="165"/>
      <c r="N15" s="163"/>
      <c r="O15" s="163"/>
      <c r="P15" s="163"/>
      <c r="Q15" s="163"/>
      <c r="R15" s="163"/>
      <c r="S15" s="166"/>
      <c r="T15" s="177"/>
      <c r="U15" s="177"/>
      <c r="V15" s="167">
        <f t="shared" si="0"/>
        <v>0</v>
      </c>
    </row>
    <row r="16" spans="1:22" s="93" customFormat="1">
      <c r="A16" s="94">
        <v>10</v>
      </c>
      <c r="B16" s="99" t="s">
        <v>67</v>
      </c>
      <c r="C16" s="165"/>
      <c r="D16" s="163"/>
      <c r="E16" s="163"/>
      <c r="F16" s="163"/>
      <c r="G16" s="163"/>
      <c r="H16" s="163"/>
      <c r="I16" s="163"/>
      <c r="J16" s="163"/>
      <c r="K16" s="163"/>
      <c r="L16" s="166"/>
      <c r="M16" s="165"/>
      <c r="N16" s="163"/>
      <c r="O16" s="163"/>
      <c r="P16" s="163"/>
      <c r="Q16" s="163"/>
      <c r="R16" s="163"/>
      <c r="S16" s="166"/>
      <c r="T16" s="177"/>
      <c r="U16" s="177"/>
      <c r="V16" s="167">
        <f t="shared" si="0"/>
        <v>0</v>
      </c>
    </row>
    <row r="17" spans="1:22" s="93" customFormat="1">
      <c r="A17" s="94">
        <v>11</v>
      </c>
      <c r="B17" s="99" t="s">
        <v>68</v>
      </c>
      <c r="C17" s="165"/>
      <c r="D17" s="163"/>
      <c r="E17" s="163"/>
      <c r="F17" s="163"/>
      <c r="G17" s="163"/>
      <c r="H17" s="163"/>
      <c r="I17" s="163"/>
      <c r="J17" s="163"/>
      <c r="K17" s="163"/>
      <c r="L17" s="166"/>
      <c r="M17" s="165"/>
      <c r="N17" s="163"/>
      <c r="O17" s="163"/>
      <c r="P17" s="163"/>
      <c r="Q17" s="163"/>
      <c r="R17" s="163"/>
      <c r="S17" s="166"/>
      <c r="T17" s="177"/>
      <c r="U17" s="177"/>
      <c r="V17" s="167">
        <f t="shared" si="0"/>
        <v>0</v>
      </c>
    </row>
    <row r="18" spans="1:22" s="93" customFormat="1">
      <c r="A18" s="94">
        <v>12</v>
      </c>
      <c r="B18" s="99" t="s">
        <v>69</v>
      </c>
      <c r="C18" s="165"/>
      <c r="D18" s="163"/>
      <c r="E18" s="163"/>
      <c r="F18" s="163"/>
      <c r="G18" s="163"/>
      <c r="H18" s="163"/>
      <c r="I18" s="163"/>
      <c r="J18" s="163"/>
      <c r="K18" s="163"/>
      <c r="L18" s="166"/>
      <c r="M18" s="165"/>
      <c r="N18" s="163"/>
      <c r="O18" s="163"/>
      <c r="P18" s="163"/>
      <c r="Q18" s="163"/>
      <c r="R18" s="163"/>
      <c r="S18" s="166"/>
      <c r="T18" s="177"/>
      <c r="U18" s="177"/>
      <c r="V18" s="167">
        <f t="shared" si="0"/>
        <v>0</v>
      </c>
    </row>
    <row r="19" spans="1:22" s="93" customFormat="1">
      <c r="A19" s="94">
        <v>13</v>
      </c>
      <c r="B19" s="99" t="s">
        <v>70</v>
      </c>
      <c r="C19" s="165"/>
      <c r="D19" s="163"/>
      <c r="E19" s="163"/>
      <c r="F19" s="163"/>
      <c r="G19" s="163"/>
      <c r="H19" s="163"/>
      <c r="I19" s="163"/>
      <c r="J19" s="163"/>
      <c r="K19" s="163"/>
      <c r="L19" s="166"/>
      <c r="M19" s="165"/>
      <c r="N19" s="163"/>
      <c r="O19" s="163"/>
      <c r="P19" s="163"/>
      <c r="Q19" s="163"/>
      <c r="R19" s="163"/>
      <c r="S19" s="166"/>
      <c r="T19" s="177"/>
      <c r="U19" s="177"/>
      <c r="V19" s="167">
        <f t="shared" si="0"/>
        <v>0</v>
      </c>
    </row>
    <row r="20" spans="1:22" s="93" customFormat="1">
      <c r="A20" s="94">
        <v>14</v>
      </c>
      <c r="B20" s="99" t="s">
        <v>143</v>
      </c>
      <c r="C20" s="165"/>
      <c r="D20" s="163"/>
      <c r="E20" s="163"/>
      <c r="F20" s="163"/>
      <c r="G20" s="163"/>
      <c r="H20" s="163"/>
      <c r="I20" s="163"/>
      <c r="J20" s="163"/>
      <c r="K20" s="163"/>
      <c r="L20" s="166"/>
      <c r="M20" s="165"/>
      <c r="N20" s="163"/>
      <c r="O20" s="163"/>
      <c r="P20" s="163"/>
      <c r="Q20" s="163"/>
      <c r="R20" s="163"/>
      <c r="S20" s="166"/>
      <c r="T20" s="177"/>
      <c r="U20" s="177"/>
      <c r="V20" s="167">
        <f t="shared" si="0"/>
        <v>0</v>
      </c>
    </row>
    <row r="21" spans="1:22" ht="13.5" thickBot="1">
      <c r="A21" s="63"/>
      <c r="B21" s="64" t="s">
        <v>66</v>
      </c>
      <c r="C21" s="168">
        <f>SUM(C7:C20)</f>
        <v>0</v>
      </c>
      <c r="D21" s="164">
        <f t="shared" ref="D21:V21" si="1">SUM(D7:D20)</f>
        <v>0</v>
      </c>
      <c r="E21" s="164">
        <f t="shared" si="1"/>
        <v>0</v>
      </c>
      <c r="F21" s="164">
        <f t="shared" si="1"/>
        <v>0</v>
      </c>
      <c r="G21" s="164">
        <f t="shared" si="1"/>
        <v>0</v>
      </c>
      <c r="H21" s="164">
        <f t="shared" si="1"/>
        <v>0</v>
      </c>
      <c r="I21" s="164">
        <f t="shared" si="1"/>
        <v>0</v>
      </c>
      <c r="J21" s="164">
        <f t="shared" si="1"/>
        <v>0</v>
      </c>
      <c r="K21" s="164">
        <f t="shared" si="1"/>
        <v>0</v>
      </c>
      <c r="L21" s="169">
        <f t="shared" si="1"/>
        <v>0</v>
      </c>
      <c r="M21" s="168">
        <f t="shared" si="1"/>
        <v>0</v>
      </c>
      <c r="N21" s="164">
        <f t="shared" si="1"/>
        <v>0</v>
      </c>
      <c r="O21" s="164">
        <f t="shared" si="1"/>
        <v>0</v>
      </c>
      <c r="P21" s="164">
        <f t="shared" si="1"/>
        <v>0</v>
      </c>
      <c r="Q21" s="164">
        <f t="shared" si="1"/>
        <v>0</v>
      </c>
      <c r="R21" s="164">
        <f t="shared" si="1"/>
        <v>0</v>
      </c>
      <c r="S21" s="169">
        <f t="shared" si="1"/>
        <v>0</v>
      </c>
      <c r="T21" s="169">
        <f>SUM(T7:T20)</f>
        <v>0</v>
      </c>
      <c r="U21" s="169">
        <f t="shared" si="1"/>
        <v>0</v>
      </c>
      <c r="V21" s="170">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23" sqref="C23"/>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21" t="str">
        <f>Info!C2</f>
        <v>სს "ჰეშ ბანკი"</v>
      </c>
    </row>
    <row r="2" spans="1:9">
      <c r="A2" s="2" t="s">
        <v>98</v>
      </c>
      <c r="B2" s="726">
        <f>'1. key ratios'!B2</f>
        <v>45838</v>
      </c>
    </row>
    <row r="4" spans="1:9" ht="13.5" thickBot="1">
      <c r="A4" s="2" t="s">
        <v>250</v>
      </c>
      <c r="B4" s="180" t="s">
        <v>284</v>
      </c>
    </row>
    <row r="5" spans="1:9">
      <c r="A5" s="61"/>
      <c r="B5" s="91"/>
      <c r="C5" s="96" t="s">
        <v>0</v>
      </c>
      <c r="D5" s="96" t="s">
        <v>1</v>
      </c>
      <c r="E5" s="96" t="s">
        <v>2</v>
      </c>
      <c r="F5" s="96" t="s">
        <v>3</v>
      </c>
      <c r="G5" s="175" t="s">
        <v>4</v>
      </c>
      <c r="H5" s="97" t="s">
        <v>5</v>
      </c>
      <c r="I5" s="24"/>
    </row>
    <row r="6" spans="1:9" ht="15" customHeight="1">
      <c r="A6" s="90"/>
      <c r="B6" s="22"/>
      <c r="C6" s="872" t="s">
        <v>276</v>
      </c>
      <c r="D6" s="876" t="s">
        <v>297</v>
      </c>
      <c r="E6" s="877"/>
      <c r="F6" s="872" t="s">
        <v>303</v>
      </c>
      <c r="G6" s="872" t="s">
        <v>304</v>
      </c>
      <c r="H6" s="874" t="s">
        <v>278</v>
      </c>
      <c r="I6" s="24"/>
    </row>
    <row r="7" spans="1:9" ht="63.75">
      <c r="A7" s="90"/>
      <c r="B7" s="22"/>
      <c r="C7" s="873"/>
      <c r="D7" s="179" t="s">
        <v>279</v>
      </c>
      <c r="E7" s="179" t="s">
        <v>277</v>
      </c>
      <c r="F7" s="873"/>
      <c r="G7" s="873"/>
      <c r="H7" s="875"/>
      <c r="I7" s="24"/>
    </row>
    <row r="8" spans="1:9">
      <c r="A8" s="53">
        <v>1</v>
      </c>
      <c r="B8" s="99" t="s">
        <v>123</v>
      </c>
      <c r="C8" s="171">
        <f>'11. CRWA'!C8+'11. CRWA'!E8+'11. CRWA'!G8+'11. CRWA'!I8+'11. CRWA'!K8+'11. CRWA'!M8+'11. CRWA'!O8+'11. CRWA'!Q8</f>
        <v>566820</v>
      </c>
      <c r="D8" s="172">
        <v>0</v>
      </c>
      <c r="E8" s="172">
        <v>0</v>
      </c>
      <c r="F8" s="171">
        <f>'11. CRWA'!S8</f>
        <v>205.18</v>
      </c>
      <c r="G8" s="176">
        <f>F8</f>
        <v>205.18</v>
      </c>
      <c r="H8" s="185">
        <f>G8/(C8+E8)</f>
        <v>3.619844042200346E-4</v>
      </c>
    </row>
    <row r="9" spans="1:9" ht="15" customHeight="1">
      <c r="A9" s="53">
        <v>2</v>
      </c>
      <c r="B9" s="99" t="s">
        <v>124</v>
      </c>
      <c r="C9" s="171">
        <f>'11. CRWA'!C9+'11. CRWA'!E9+'11. CRWA'!G9+'11. CRWA'!I9+'11. CRWA'!K9+'11. CRWA'!M9+'11. CRWA'!O9+'11. CRWA'!Q9</f>
        <v>0</v>
      </c>
      <c r="D9" s="172">
        <v>0</v>
      </c>
      <c r="E9" s="172">
        <v>0</v>
      </c>
      <c r="F9" s="171">
        <f>'11. CRWA'!S9</f>
        <v>0</v>
      </c>
      <c r="G9" s="176">
        <f t="shared" ref="G9:G21" si="0">F9</f>
        <v>0</v>
      </c>
      <c r="H9" s="185">
        <f>IFERROR(G9/(C9+E9),)</f>
        <v>0</v>
      </c>
    </row>
    <row r="10" spans="1:9">
      <c r="A10" s="53">
        <v>3</v>
      </c>
      <c r="B10" s="99" t="s">
        <v>125</v>
      </c>
      <c r="C10" s="171">
        <f>'11. CRWA'!C10+'11. CRWA'!E10+'11. CRWA'!G10+'11. CRWA'!I10+'11. CRWA'!K10+'11. CRWA'!M10+'11. CRWA'!O10+'11. CRWA'!Q10</f>
        <v>0</v>
      </c>
      <c r="D10" s="172">
        <v>0</v>
      </c>
      <c r="E10" s="172">
        <v>0</v>
      </c>
      <c r="F10" s="171">
        <f>'11. CRWA'!S10</f>
        <v>0</v>
      </c>
      <c r="G10" s="176">
        <f t="shared" si="0"/>
        <v>0</v>
      </c>
      <c r="H10" s="185">
        <f t="shared" ref="H10:H21" si="1">IFERROR(G10/(C10+E10),)</f>
        <v>0</v>
      </c>
    </row>
    <row r="11" spans="1:9">
      <c r="A11" s="53">
        <v>4</v>
      </c>
      <c r="B11" s="99" t="s">
        <v>126</v>
      </c>
      <c r="C11" s="171">
        <f>'11. CRWA'!C11+'11. CRWA'!E11+'11. CRWA'!G11+'11. CRWA'!I11+'11. CRWA'!K11+'11. CRWA'!M11+'11. CRWA'!O11+'11. CRWA'!Q11</f>
        <v>0</v>
      </c>
      <c r="D11" s="172">
        <v>0</v>
      </c>
      <c r="E11" s="172">
        <v>0</v>
      </c>
      <c r="F11" s="171">
        <f>'11. CRWA'!S11</f>
        <v>0</v>
      </c>
      <c r="G11" s="176">
        <f t="shared" si="0"/>
        <v>0</v>
      </c>
      <c r="H11" s="185">
        <f t="shared" si="1"/>
        <v>0</v>
      </c>
    </row>
    <row r="12" spans="1:9">
      <c r="A12" s="53">
        <v>5</v>
      </c>
      <c r="B12" s="99" t="s">
        <v>912</v>
      </c>
      <c r="C12" s="171">
        <f>'11. CRWA'!C12+'11. CRWA'!E12+'11. CRWA'!G12+'11. CRWA'!I12+'11. CRWA'!K12+'11. CRWA'!M12+'11. CRWA'!O12+'11. CRWA'!Q12</f>
        <v>0</v>
      </c>
      <c r="D12" s="172">
        <v>0</v>
      </c>
      <c r="E12" s="172">
        <v>0</v>
      </c>
      <c r="F12" s="171">
        <f>'11. CRWA'!S12</f>
        <v>0</v>
      </c>
      <c r="G12" s="176">
        <f t="shared" si="0"/>
        <v>0</v>
      </c>
      <c r="H12" s="185">
        <f t="shared" si="1"/>
        <v>0</v>
      </c>
    </row>
    <row r="13" spans="1:9">
      <c r="A13" s="53">
        <v>6</v>
      </c>
      <c r="B13" s="99" t="s">
        <v>127</v>
      </c>
      <c r="C13" s="171">
        <f>'11. CRWA'!C13+'11. CRWA'!E13+'11. CRWA'!G13+'11. CRWA'!I13+'11. CRWA'!K13+'11. CRWA'!M13+'11. CRWA'!O13+'11. CRWA'!Q13</f>
        <v>27027577.93</v>
      </c>
      <c r="D13" s="172">
        <v>0</v>
      </c>
      <c r="E13" s="172">
        <v>0</v>
      </c>
      <c r="F13" s="171">
        <f>'11. CRWA'!S13</f>
        <v>15290924.614</v>
      </c>
      <c r="G13" s="176">
        <f t="shared" si="0"/>
        <v>15290924.614</v>
      </c>
      <c r="H13" s="185">
        <f t="shared" si="1"/>
        <v>0.56575267874919044</v>
      </c>
    </row>
    <row r="14" spans="1:9">
      <c r="A14" s="53">
        <v>7</v>
      </c>
      <c r="B14" s="99" t="s">
        <v>71</v>
      </c>
      <c r="C14" s="171">
        <f>'11. CRWA'!C14+'11. CRWA'!E14+'11. CRWA'!G14+'11. CRWA'!I14+'11. CRWA'!K14+'11. CRWA'!M14+'11. CRWA'!O14+'11. CRWA'!Q14</f>
        <v>0</v>
      </c>
      <c r="D14" s="172">
        <v>0</v>
      </c>
      <c r="E14" s="172">
        <v>0</v>
      </c>
      <c r="F14" s="171">
        <f>'11. CRWA'!S14</f>
        <v>0</v>
      </c>
      <c r="G14" s="176">
        <f t="shared" si="0"/>
        <v>0</v>
      </c>
      <c r="H14" s="185">
        <f t="shared" si="1"/>
        <v>0</v>
      </c>
    </row>
    <row r="15" spans="1:9">
      <c r="A15" s="53">
        <v>8</v>
      </c>
      <c r="B15" s="99" t="s">
        <v>72</v>
      </c>
      <c r="C15" s="171">
        <f>'11. CRWA'!C15+'11. CRWA'!E15+'11. CRWA'!G15+'11. CRWA'!I15+'11. CRWA'!K15+'11. CRWA'!M15+'11. CRWA'!O15+'11. CRWA'!Q15</f>
        <v>0</v>
      </c>
      <c r="D15" s="172">
        <v>0</v>
      </c>
      <c r="E15" s="172">
        <v>0</v>
      </c>
      <c r="F15" s="171">
        <f>'11. CRWA'!S15</f>
        <v>0</v>
      </c>
      <c r="G15" s="176">
        <f t="shared" si="0"/>
        <v>0</v>
      </c>
      <c r="H15" s="185">
        <f t="shared" si="1"/>
        <v>0</v>
      </c>
    </row>
    <row r="16" spans="1:9">
      <c r="A16" s="53">
        <v>9</v>
      </c>
      <c r="B16" s="99" t="s">
        <v>913</v>
      </c>
      <c r="C16" s="171">
        <f>'11. CRWA'!C16+'11. CRWA'!E16+'11. CRWA'!G16+'11. CRWA'!I16+'11. CRWA'!K16+'11. CRWA'!M16+'11. CRWA'!O16+'11. CRWA'!Q16</f>
        <v>0</v>
      </c>
      <c r="D16" s="172">
        <v>0</v>
      </c>
      <c r="E16" s="172">
        <v>0</v>
      </c>
      <c r="F16" s="171">
        <f>'11. CRWA'!S16</f>
        <v>0</v>
      </c>
      <c r="G16" s="176">
        <f t="shared" si="0"/>
        <v>0</v>
      </c>
      <c r="H16" s="185">
        <f t="shared" si="1"/>
        <v>0</v>
      </c>
    </row>
    <row r="17" spans="1:8">
      <c r="A17" s="53">
        <v>10</v>
      </c>
      <c r="B17" s="99" t="s">
        <v>67</v>
      </c>
      <c r="C17" s="171">
        <f>'11. CRWA'!C17+'11. CRWA'!E17+'11. CRWA'!G17+'11. CRWA'!I17+'11. CRWA'!K17+'11. CRWA'!M17+'11. CRWA'!O17+'11. CRWA'!Q17</f>
        <v>0</v>
      </c>
      <c r="D17" s="172">
        <v>0</v>
      </c>
      <c r="E17" s="172">
        <v>0</v>
      </c>
      <c r="F17" s="171">
        <f>'11. CRWA'!S17</f>
        <v>0</v>
      </c>
      <c r="G17" s="176">
        <f t="shared" si="0"/>
        <v>0</v>
      </c>
      <c r="H17" s="185">
        <f t="shared" si="1"/>
        <v>0</v>
      </c>
    </row>
    <row r="18" spans="1:8">
      <c r="A18" s="53">
        <v>11</v>
      </c>
      <c r="B18" s="99" t="s">
        <v>68</v>
      </c>
      <c r="C18" s="171">
        <f>'11. CRWA'!C18+'11. CRWA'!E18+'11. CRWA'!G18+'11. CRWA'!I18+'11. CRWA'!K18+'11. CRWA'!M18+'11. CRWA'!O18+'11. CRWA'!Q18</f>
        <v>0</v>
      </c>
      <c r="D18" s="172">
        <v>0</v>
      </c>
      <c r="E18" s="172">
        <v>0</v>
      </c>
      <c r="F18" s="171">
        <f>'11. CRWA'!S18</f>
        <v>0</v>
      </c>
      <c r="G18" s="176">
        <f t="shared" si="0"/>
        <v>0</v>
      </c>
      <c r="H18" s="185">
        <f t="shared" si="1"/>
        <v>0</v>
      </c>
    </row>
    <row r="19" spans="1:8">
      <c r="A19" s="53">
        <v>12</v>
      </c>
      <c r="B19" s="99" t="s">
        <v>69</v>
      </c>
      <c r="C19" s="171">
        <f>'11. CRWA'!C19+'11. CRWA'!E19+'11. CRWA'!G19+'11. CRWA'!I19+'11. CRWA'!K19+'11. CRWA'!M19+'11. CRWA'!O19+'11. CRWA'!Q19</f>
        <v>0</v>
      </c>
      <c r="D19" s="172">
        <v>0</v>
      </c>
      <c r="E19" s="172">
        <v>0</v>
      </c>
      <c r="F19" s="171">
        <f>'11. CRWA'!S19</f>
        <v>0</v>
      </c>
      <c r="G19" s="176">
        <f t="shared" si="0"/>
        <v>0</v>
      </c>
      <c r="H19" s="185">
        <f t="shared" si="1"/>
        <v>0</v>
      </c>
    </row>
    <row r="20" spans="1:8">
      <c r="A20" s="53">
        <v>13</v>
      </c>
      <c r="B20" s="99" t="s">
        <v>70</v>
      </c>
      <c r="C20" s="171">
        <f>'11. CRWA'!C20+'11. CRWA'!E20+'11. CRWA'!G20+'11. CRWA'!I20+'11. CRWA'!K20+'11. CRWA'!M20+'11. CRWA'!O20+'11. CRWA'!Q20</f>
        <v>0</v>
      </c>
      <c r="D20" s="172">
        <v>0</v>
      </c>
      <c r="E20" s="172">
        <v>0</v>
      </c>
      <c r="F20" s="171">
        <f>'11. CRWA'!S20</f>
        <v>0</v>
      </c>
      <c r="G20" s="176">
        <f t="shared" si="0"/>
        <v>0</v>
      </c>
      <c r="H20" s="185">
        <f t="shared" si="1"/>
        <v>0</v>
      </c>
    </row>
    <row r="21" spans="1:8">
      <c r="A21" s="53">
        <v>14</v>
      </c>
      <c r="B21" s="99" t="s">
        <v>143</v>
      </c>
      <c r="C21" s="171">
        <f>'11. CRWA'!C21+'11. CRWA'!E21+'11. CRWA'!G21+'11. CRWA'!I21+'11. CRWA'!K21+'11. CRWA'!M21+'11. CRWA'!O21+'11. CRWA'!Q21</f>
        <v>4298633.29</v>
      </c>
      <c r="D21" s="172">
        <v>0</v>
      </c>
      <c r="E21" s="172">
        <v>0</v>
      </c>
      <c r="F21" s="171">
        <f>'11. CRWA'!S21</f>
        <v>4298633.29</v>
      </c>
      <c r="G21" s="176">
        <f t="shared" si="0"/>
        <v>4298633.29</v>
      </c>
      <c r="H21" s="185">
        <f t="shared" si="1"/>
        <v>1</v>
      </c>
    </row>
    <row r="22" spans="1:8" ht="13.5" thickBot="1">
      <c r="A22" s="92"/>
      <c r="B22" s="98" t="s">
        <v>66</v>
      </c>
      <c r="C22" s="164">
        <f>SUM(C8:C21)</f>
        <v>31893031.219999999</v>
      </c>
      <c r="D22" s="164">
        <f>SUM(D8:D21)</f>
        <v>0</v>
      </c>
      <c r="E22" s="164">
        <f>SUM(E8:E21)</f>
        <v>0</v>
      </c>
      <c r="F22" s="164">
        <f>SUM(F8:F21)</f>
        <v>19589763.083999999</v>
      </c>
      <c r="G22" s="164">
        <f>SUM(G8:G21)</f>
        <v>19589763.083999999</v>
      </c>
      <c r="H22" s="186">
        <f>IFERROR(G22/(C22+E22),)</f>
        <v>0.61423333984370021</v>
      </c>
    </row>
    <row r="23" spans="1:8">
      <c r="C23" s="762">
        <f>C22-SUM('11. CRWA'!C22:R22)</f>
        <v>0</v>
      </c>
      <c r="G23" s="762">
        <f>G22-'5. RWA'!C6</f>
        <v>4.3999999761581421E-2</v>
      </c>
    </row>
    <row r="24" spans="1:8">
      <c r="C24" s="798">
        <f>-SUM('11. CRWA'!C22:R22)</f>
        <v>-31893031.219999999</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221" bestFit="1" customWidth="1"/>
    <col min="2" max="2" width="104.140625" style="221" customWidth="1"/>
    <col min="3" max="11" width="12.85546875" style="221" customWidth="1"/>
    <col min="12" max="16384" width="9.140625" style="221"/>
  </cols>
  <sheetData>
    <row r="1" spans="1:11">
      <c r="A1" s="221" t="s">
        <v>97</v>
      </c>
      <c r="B1" s="221" t="str">
        <f>Info!C2</f>
        <v>სს "ჰეშ ბანკი"</v>
      </c>
    </row>
    <row r="2" spans="1:11">
      <c r="A2" s="221" t="s">
        <v>98</v>
      </c>
      <c r="B2" s="726">
        <f>'1. key ratios'!B2</f>
        <v>45838</v>
      </c>
      <c r="C2" s="222"/>
      <c r="D2" s="222"/>
    </row>
    <row r="3" spans="1:11">
      <c r="B3" s="222"/>
      <c r="C3" s="222"/>
      <c r="D3" s="222"/>
    </row>
    <row r="4" spans="1:11" ht="13.5" thickBot="1">
      <c r="A4" s="221" t="s">
        <v>340</v>
      </c>
      <c r="B4" s="180" t="s">
        <v>339</v>
      </c>
      <c r="C4" s="222"/>
      <c r="D4" s="222"/>
    </row>
    <row r="5" spans="1:11" ht="30" customHeight="1">
      <c r="A5" s="881"/>
      <c r="B5" s="882"/>
      <c r="C5" s="879" t="s">
        <v>372</v>
      </c>
      <c r="D5" s="879"/>
      <c r="E5" s="879"/>
      <c r="F5" s="879" t="s">
        <v>373</v>
      </c>
      <c r="G5" s="879"/>
      <c r="H5" s="879"/>
      <c r="I5" s="879" t="s">
        <v>374</v>
      </c>
      <c r="J5" s="879"/>
      <c r="K5" s="880"/>
    </row>
    <row r="6" spans="1:11">
      <c r="A6" s="219"/>
      <c r="B6" s="220"/>
      <c r="C6" s="223" t="s">
        <v>26</v>
      </c>
      <c r="D6" s="223" t="s">
        <v>79</v>
      </c>
      <c r="E6" s="223" t="s">
        <v>66</v>
      </c>
      <c r="F6" s="223" t="s">
        <v>26</v>
      </c>
      <c r="G6" s="223" t="s">
        <v>79</v>
      </c>
      <c r="H6" s="223" t="s">
        <v>66</v>
      </c>
      <c r="I6" s="223" t="s">
        <v>26</v>
      </c>
      <c r="J6" s="223" t="s">
        <v>79</v>
      </c>
      <c r="K6" s="225" t="s">
        <v>66</v>
      </c>
    </row>
    <row r="7" spans="1:11">
      <c r="A7" s="226" t="s">
        <v>310</v>
      </c>
      <c r="B7" s="218"/>
      <c r="C7" s="218"/>
      <c r="D7" s="218"/>
      <c r="E7" s="218"/>
      <c r="F7" s="218"/>
      <c r="G7" s="218"/>
      <c r="H7" s="218"/>
      <c r="I7" s="218"/>
      <c r="J7" s="218"/>
      <c r="K7" s="227"/>
    </row>
    <row r="8" spans="1:11">
      <c r="A8" s="217">
        <v>1</v>
      </c>
      <c r="B8" s="193" t="s">
        <v>310</v>
      </c>
      <c r="C8" s="191"/>
      <c r="D8" s="191"/>
      <c r="E8" s="191"/>
      <c r="F8" s="194"/>
      <c r="G8" s="194"/>
      <c r="H8" s="194"/>
      <c r="I8" s="194"/>
      <c r="J8" s="194"/>
      <c r="K8" s="204"/>
    </row>
    <row r="9" spans="1:11">
      <c r="A9" s="226" t="s">
        <v>311</v>
      </c>
      <c r="B9" s="218"/>
      <c r="C9" s="218"/>
      <c r="D9" s="218"/>
      <c r="E9" s="218"/>
      <c r="F9" s="218"/>
      <c r="G9" s="218"/>
      <c r="H9" s="218"/>
      <c r="I9" s="218"/>
      <c r="J9" s="218"/>
      <c r="K9" s="227"/>
    </row>
    <row r="10" spans="1:11">
      <c r="A10" s="228">
        <v>2</v>
      </c>
      <c r="B10" s="195" t="s">
        <v>312</v>
      </c>
      <c r="C10" s="195"/>
      <c r="D10" s="196"/>
      <c r="E10" s="196"/>
      <c r="F10" s="196"/>
      <c r="G10" s="196"/>
      <c r="H10" s="196"/>
      <c r="I10" s="196"/>
      <c r="J10" s="196"/>
      <c r="K10" s="229"/>
    </row>
    <row r="11" spans="1:11">
      <c r="A11" s="228">
        <v>3</v>
      </c>
      <c r="B11" s="195" t="s">
        <v>313</v>
      </c>
      <c r="C11" s="195"/>
      <c r="D11" s="196"/>
      <c r="E11" s="196"/>
      <c r="F11" s="196"/>
      <c r="G11" s="196"/>
      <c r="H11" s="196"/>
      <c r="I11" s="196"/>
      <c r="J11" s="196"/>
      <c r="K11" s="229"/>
    </row>
    <row r="12" spans="1:11">
      <c r="A12" s="228">
        <v>4</v>
      </c>
      <c r="B12" s="195" t="s">
        <v>314</v>
      </c>
      <c r="C12" s="195"/>
      <c r="D12" s="196"/>
      <c r="E12" s="196"/>
      <c r="F12" s="196"/>
      <c r="G12" s="196"/>
      <c r="H12" s="196"/>
      <c r="I12" s="196"/>
      <c r="J12" s="196"/>
      <c r="K12" s="229"/>
    </row>
    <row r="13" spans="1:11">
      <c r="A13" s="228">
        <v>5</v>
      </c>
      <c r="B13" s="195" t="s">
        <v>315</v>
      </c>
      <c r="C13" s="195"/>
      <c r="D13" s="196"/>
      <c r="E13" s="196"/>
      <c r="F13" s="196"/>
      <c r="G13" s="196"/>
      <c r="H13" s="196"/>
      <c r="I13" s="196"/>
      <c r="J13" s="196"/>
      <c r="K13" s="229"/>
    </row>
    <row r="14" spans="1:11">
      <c r="A14" s="228">
        <v>6</v>
      </c>
      <c r="B14" s="195" t="s">
        <v>330</v>
      </c>
      <c r="C14" s="195"/>
      <c r="D14" s="196"/>
      <c r="E14" s="196"/>
      <c r="F14" s="196"/>
      <c r="G14" s="196"/>
      <c r="H14" s="196"/>
      <c r="I14" s="196"/>
      <c r="J14" s="196"/>
      <c r="K14" s="229"/>
    </row>
    <row r="15" spans="1:11">
      <c r="A15" s="228">
        <v>7</v>
      </c>
      <c r="B15" s="195" t="s">
        <v>317</v>
      </c>
      <c r="C15" s="195"/>
      <c r="D15" s="196"/>
      <c r="E15" s="196"/>
      <c r="F15" s="196"/>
      <c r="G15" s="196"/>
      <c r="H15" s="196"/>
      <c r="I15" s="196"/>
      <c r="J15" s="196"/>
      <c r="K15" s="229"/>
    </row>
    <row r="16" spans="1:11">
      <c r="A16" s="228">
        <v>8</v>
      </c>
      <c r="B16" s="197" t="s">
        <v>318</v>
      </c>
      <c r="C16" s="195"/>
      <c r="D16" s="196"/>
      <c r="E16" s="196"/>
      <c r="F16" s="196"/>
      <c r="G16" s="196"/>
      <c r="H16" s="196"/>
      <c r="I16" s="196"/>
      <c r="J16" s="196"/>
      <c r="K16" s="229"/>
    </row>
    <row r="17" spans="1:11">
      <c r="A17" s="226" t="s">
        <v>319</v>
      </c>
      <c r="B17" s="218"/>
      <c r="C17" s="218"/>
      <c r="D17" s="218"/>
      <c r="E17" s="218"/>
      <c r="F17" s="218"/>
      <c r="G17" s="218"/>
      <c r="H17" s="218"/>
      <c r="I17" s="218"/>
      <c r="J17" s="218"/>
      <c r="K17" s="227"/>
    </row>
    <row r="18" spans="1:11">
      <c r="A18" s="228">
        <v>9</v>
      </c>
      <c r="B18" s="195" t="s">
        <v>320</v>
      </c>
      <c r="C18" s="195"/>
      <c r="D18" s="196"/>
      <c r="E18" s="196"/>
      <c r="F18" s="196"/>
      <c r="G18" s="196"/>
      <c r="H18" s="196"/>
      <c r="I18" s="196"/>
      <c r="J18" s="196"/>
      <c r="K18" s="229"/>
    </row>
    <row r="19" spans="1:11">
      <c r="A19" s="228">
        <v>10</v>
      </c>
      <c r="B19" s="195" t="s">
        <v>321</v>
      </c>
      <c r="C19" s="195"/>
      <c r="D19" s="196"/>
      <c r="E19" s="196"/>
      <c r="F19" s="196"/>
      <c r="G19" s="196"/>
      <c r="H19" s="196"/>
      <c r="I19" s="196"/>
      <c r="J19" s="196"/>
      <c r="K19" s="229"/>
    </row>
    <row r="20" spans="1:11">
      <c r="A20" s="228">
        <v>11</v>
      </c>
      <c r="B20" s="195" t="s">
        <v>322</v>
      </c>
      <c r="C20" s="195"/>
      <c r="D20" s="196"/>
      <c r="E20" s="196"/>
      <c r="F20" s="196"/>
      <c r="G20" s="196"/>
      <c r="H20" s="196"/>
      <c r="I20" s="196"/>
      <c r="J20" s="196"/>
      <c r="K20" s="229"/>
    </row>
    <row r="21" spans="1:11" ht="13.5" thickBot="1">
      <c r="A21" s="133">
        <v>12</v>
      </c>
      <c r="B21" s="230" t="s">
        <v>323</v>
      </c>
      <c r="C21" s="231"/>
      <c r="D21" s="232"/>
      <c r="E21" s="231"/>
      <c r="F21" s="232"/>
      <c r="G21" s="232"/>
      <c r="H21" s="232"/>
      <c r="I21" s="232"/>
      <c r="J21" s="232"/>
      <c r="K21" s="233"/>
    </row>
    <row r="22" spans="1:11" ht="38.25" customHeight="1" thickBot="1">
      <c r="A22" s="215"/>
      <c r="B22" s="216"/>
      <c r="C22" s="216"/>
      <c r="D22" s="216"/>
      <c r="E22" s="216"/>
      <c r="F22" s="878" t="s">
        <v>324</v>
      </c>
      <c r="G22" s="879"/>
      <c r="H22" s="879"/>
      <c r="I22" s="878" t="s">
        <v>325</v>
      </c>
      <c r="J22" s="879"/>
      <c r="K22" s="880"/>
    </row>
    <row r="23" spans="1:11">
      <c r="A23" s="205">
        <v>13</v>
      </c>
      <c r="B23" s="198" t="s">
        <v>310</v>
      </c>
      <c r="C23" s="214"/>
      <c r="D23" s="214"/>
      <c r="E23" s="214"/>
      <c r="F23" s="199"/>
      <c r="G23" s="199"/>
      <c r="H23" s="199"/>
      <c r="I23" s="199"/>
      <c r="J23" s="199"/>
      <c r="K23" s="206"/>
    </row>
    <row r="24" spans="1:11" ht="13.5" thickBot="1">
      <c r="A24" s="207">
        <v>14</v>
      </c>
      <c r="B24" s="200" t="s">
        <v>326</v>
      </c>
      <c r="C24" s="234"/>
      <c r="D24" s="212"/>
      <c r="E24" s="213"/>
      <c r="F24" s="201"/>
      <c r="G24" s="201"/>
      <c r="H24" s="201"/>
      <c r="I24" s="201"/>
      <c r="J24" s="201"/>
      <c r="K24" s="208"/>
    </row>
    <row r="25" spans="1:11" ht="13.5" thickBot="1">
      <c r="A25" s="209">
        <v>15</v>
      </c>
      <c r="B25" s="202" t="s">
        <v>327</v>
      </c>
      <c r="C25" s="211"/>
      <c r="D25" s="211"/>
      <c r="E25" s="211"/>
      <c r="F25" s="203"/>
      <c r="G25" s="203"/>
      <c r="H25" s="203"/>
      <c r="I25" s="203"/>
      <c r="J25" s="203"/>
      <c r="K25" s="210"/>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activeCell="B2" sqref="B2"/>
      <selection pane="topRight" activeCell="B2" sqref="B2"/>
      <selection pane="bottomLeft" activeCell="B2" sqref="B2"/>
      <selection pane="bottomRight" activeCell="G34" sqref="G3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705" t="s">
        <v>97</v>
      </c>
      <c r="B1" s="38">
        <f>[5]Info!C2</f>
        <v>0</v>
      </c>
    </row>
    <row r="2" spans="1:17">
      <c r="A2" s="38" t="s">
        <v>98</v>
      </c>
      <c r="B2" s="726">
        <f>'[5]1. key ratios'!B2</f>
        <v>45747</v>
      </c>
    </row>
    <row r="3" spans="1:17">
      <c r="B3" s="12"/>
      <c r="C3" s="12"/>
      <c r="D3" s="12"/>
      <c r="E3" s="12"/>
      <c r="F3" s="12"/>
      <c r="G3" s="12"/>
      <c r="H3" s="12"/>
      <c r="I3" s="12"/>
      <c r="J3" s="12"/>
      <c r="K3" s="12"/>
      <c r="L3" s="12"/>
      <c r="M3" s="12"/>
      <c r="N3" s="12"/>
    </row>
    <row r="4" spans="1:17">
      <c r="B4" s="706" t="s">
        <v>980</v>
      </c>
      <c r="C4" s="12"/>
      <c r="D4" s="12"/>
      <c r="E4" s="12"/>
      <c r="F4" s="12"/>
      <c r="G4" s="12"/>
      <c r="H4" s="12"/>
      <c r="I4" s="12"/>
      <c r="J4" s="12"/>
      <c r="K4" s="12"/>
      <c r="L4" s="12"/>
      <c r="M4" s="12"/>
      <c r="N4" s="12"/>
    </row>
    <row r="5" spans="1:17" ht="105">
      <c r="B5" s="707" t="s">
        <v>981</v>
      </c>
      <c r="C5" s="708" t="s">
        <v>982</v>
      </c>
      <c r="D5" s="708" t="s">
        <v>983</v>
      </c>
      <c r="E5" s="708" t="s">
        <v>984</v>
      </c>
      <c r="F5" s="708" t="s">
        <v>985</v>
      </c>
      <c r="G5" s="708" t="s">
        <v>986</v>
      </c>
      <c r="H5" s="708" t="s">
        <v>987</v>
      </c>
      <c r="I5" s="709" t="s">
        <v>988</v>
      </c>
      <c r="J5" s="710">
        <v>0.02</v>
      </c>
      <c r="K5" s="710">
        <v>0.2</v>
      </c>
      <c r="L5" s="710">
        <v>0.35</v>
      </c>
      <c r="M5" s="710">
        <v>0.5</v>
      </c>
      <c r="N5" s="710">
        <v>0.75</v>
      </c>
      <c r="O5" s="710">
        <v>1</v>
      </c>
      <c r="P5" s="710">
        <v>1.5</v>
      </c>
      <c r="Q5" s="711" t="s">
        <v>73</v>
      </c>
    </row>
    <row r="6" spans="1:17" ht="15.75">
      <c r="B6" s="712"/>
      <c r="C6" s="677" t="b">
        <f>IF(C7&gt;0,C7,IF(C8&gt;0,C8,IF(C9&gt;0,C9)))</f>
        <v>0</v>
      </c>
      <c r="D6" s="677" t="b">
        <f t="shared" ref="D6:Q6" si="0">IF(D7&gt;0,D7,IF(D8&gt;0,D8,IF(D9&gt;0,D9)))</f>
        <v>0</v>
      </c>
      <c r="E6" s="677" t="b">
        <f t="shared" si="0"/>
        <v>0</v>
      </c>
      <c r="F6" s="677" t="b">
        <f t="shared" si="0"/>
        <v>0</v>
      </c>
      <c r="G6" s="677" t="b">
        <f t="shared" si="0"/>
        <v>0</v>
      </c>
      <c r="H6" s="677"/>
      <c r="I6" s="677" t="b">
        <f t="shared" si="0"/>
        <v>0</v>
      </c>
      <c r="J6" s="677" t="b">
        <f t="shared" si="0"/>
        <v>0</v>
      </c>
      <c r="K6" s="677" t="b">
        <f t="shared" si="0"/>
        <v>0</v>
      </c>
      <c r="L6" s="677" t="b">
        <f t="shared" si="0"/>
        <v>0</v>
      </c>
      <c r="M6" s="677" t="b">
        <f t="shared" si="0"/>
        <v>0</v>
      </c>
      <c r="N6" s="677" t="b">
        <f t="shared" si="0"/>
        <v>0</v>
      </c>
      <c r="O6" s="677" t="b">
        <f t="shared" si="0"/>
        <v>0</v>
      </c>
      <c r="P6" s="677" t="b">
        <f t="shared" si="0"/>
        <v>0</v>
      </c>
      <c r="Q6" s="677" t="b">
        <f t="shared" si="0"/>
        <v>0</v>
      </c>
    </row>
    <row r="7" spans="1:17" ht="15.75">
      <c r="B7" s="713" t="s">
        <v>976</v>
      </c>
      <c r="C7" s="677">
        <f>C11+C15+C19+C23+C27+C31</f>
        <v>0</v>
      </c>
      <c r="D7" s="677"/>
      <c r="E7" s="677"/>
      <c r="F7" s="677">
        <f t="shared" ref="F7:G9" si="1">F11+F15+F19+F23+F27+F31</f>
        <v>0</v>
      </c>
      <c r="G7" s="677">
        <f t="shared" si="1"/>
        <v>0</v>
      </c>
      <c r="H7" s="714">
        <v>1.4</v>
      </c>
      <c r="I7" s="715">
        <f t="shared" ref="I7:I33" si="2">(F7+G7)*H7</f>
        <v>0</v>
      </c>
      <c r="J7" s="677">
        <f>J11+J15+J19+J23+J27+J31</f>
        <v>0</v>
      </c>
      <c r="K7" s="677">
        <f t="shared" ref="J7:Q9" si="3">K11+K15+K19+K23+K27+K31</f>
        <v>0</v>
      </c>
      <c r="L7" s="677">
        <f t="shared" si="3"/>
        <v>0</v>
      </c>
      <c r="M7" s="677">
        <f t="shared" si="3"/>
        <v>0</v>
      </c>
      <c r="N7" s="677">
        <f t="shared" si="3"/>
        <v>0</v>
      </c>
      <c r="O7" s="677">
        <f t="shared" si="3"/>
        <v>0</v>
      </c>
      <c r="P7" s="677">
        <f t="shared" si="3"/>
        <v>0</v>
      </c>
      <c r="Q7" s="677">
        <f>Q11+Q15+Q19+Q23+Q27+Q31</f>
        <v>0</v>
      </c>
    </row>
    <row r="8" spans="1:17" ht="15.75">
      <c r="B8" s="713" t="s">
        <v>977</v>
      </c>
      <c r="C8" s="677">
        <f>C12+C16+C20+C24+C28+C32</f>
        <v>0</v>
      </c>
      <c r="D8" s="677"/>
      <c r="E8" s="677"/>
      <c r="F8" s="677">
        <f t="shared" si="1"/>
        <v>0</v>
      </c>
      <c r="G8" s="677">
        <f t="shared" si="1"/>
        <v>0</v>
      </c>
      <c r="H8" s="714">
        <v>1.4</v>
      </c>
      <c r="I8" s="715">
        <f t="shared" si="2"/>
        <v>0</v>
      </c>
      <c r="J8" s="677">
        <f t="shared" si="3"/>
        <v>0</v>
      </c>
      <c r="K8" s="677">
        <f t="shared" si="3"/>
        <v>0</v>
      </c>
      <c r="L8" s="677">
        <f t="shared" si="3"/>
        <v>0</v>
      </c>
      <c r="M8" s="677">
        <f t="shared" si="3"/>
        <v>0</v>
      </c>
      <c r="N8" s="677">
        <f t="shared" si="3"/>
        <v>0</v>
      </c>
      <c r="O8" s="677">
        <f t="shared" si="3"/>
        <v>0</v>
      </c>
      <c r="P8" s="677">
        <f t="shared" si="3"/>
        <v>0</v>
      </c>
      <c r="Q8" s="677">
        <f>Q12+Q16+Q20+Q24+Q28+Q32</f>
        <v>0</v>
      </c>
    </row>
    <row r="9" spans="1:17" ht="15.75">
      <c r="B9" s="713" t="s">
        <v>978</v>
      </c>
      <c r="C9" s="677">
        <f>C13+C17+C21+C25+C29+C33</f>
        <v>0</v>
      </c>
      <c r="D9" s="677"/>
      <c r="E9" s="677"/>
      <c r="F9" s="677">
        <f t="shared" si="1"/>
        <v>0</v>
      </c>
      <c r="G9" s="677">
        <f t="shared" si="1"/>
        <v>0</v>
      </c>
      <c r="H9" s="714">
        <v>1.4</v>
      </c>
      <c r="I9" s="715">
        <f t="shared" si="2"/>
        <v>0</v>
      </c>
      <c r="J9" s="677">
        <f t="shared" si="3"/>
        <v>0</v>
      </c>
      <c r="K9" s="677">
        <f t="shared" si="3"/>
        <v>0</v>
      </c>
      <c r="L9" s="677">
        <f t="shared" si="3"/>
        <v>0</v>
      </c>
      <c r="M9" s="677">
        <f t="shared" si="3"/>
        <v>0</v>
      </c>
      <c r="N9" s="677">
        <f t="shared" si="3"/>
        <v>0</v>
      </c>
      <c r="O9" s="677">
        <f t="shared" si="3"/>
        <v>0</v>
      </c>
      <c r="P9" s="677">
        <f t="shared" si="3"/>
        <v>0</v>
      </c>
      <c r="Q9" s="677">
        <f t="shared" si="3"/>
        <v>0</v>
      </c>
    </row>
    <row r="10" spans="1:17" ht="15.75">
      <c r="B10" s="716" t="s">
        <v>989</v>
      </c>
      <c r="C10" s="717"/>
      <c r="D10" s="717"/>
      <c r="E10" s="717"/>
      <c r="F10" s="717"/>
      <c r="G10" s="717"/>
      <c r="H10" s="714">
        <v>1.4</v>
      </c>
      <c r="I10" s="715">
        <f t="shared" si="2"/>
        <v>0</v>
      </c>
      <c r="J10" s="718"/>
      <c r="K10" s="718"/>
      <c r="L10" s="718"/>
      <c r="M10" s="718"/>
      <c r="N10" s="718"/>
      <c r="O10" s="718"/>
      <c r="P10" s="718"/>
      <c r="Q10" s="677">
        <f>SUM(Q11:Q13)</f>
        <v>0</v>
      </c>
    </row>
    <row r="11" spans="1:17" ht="15.75">
      <c r="B11" s="719" t="s">
        <v>976</v>
      </c>
      <c r="C11" s="717"/>
      <c r="D11" s="717"/>
      <c r="E11" s="717"/>
      <c r="F11" s="717"/>
      <c r="G11" s="717"/>
      <c r="H11" s="714">
        <v>1.4</v>
      </c>
      <c r="I11" s="715">
        <f t="shared" si="2"/>
        <v>0</v>
      </c>
      <c r="J11" s="718"/>
      <c r="K11" s="718"/>
      <c r="L11" s="718"/>
      <c r="M11" s="718"/>
      <c r="N11" s="718"/>
      <c r="O11" s="718"/>
      <c r="P11" s="718"/>
      <c r="Q11" s="677">
        <f>SUMPRODUCT($J$5:$P$5,J11:P11)</f>
        <v>0</v>
      </c>
    </row>
    <row r="12" spans="1:17" ht="15.75">
      <c r="B12" s="719" t="s">
        <v>977</v>
      </c>
      <c r="C12" s="717"/>
      <c r="D12" s="717"/>
      <c r="E12" s="717"/>
      <c r="F12" s="717"/>
      <c r="G12" s="717"/>
      <c r="H12" s="714">
        <v>1.4</v>
      </c>
      <c r="I12" s="715">
        <f t="shared" si="2"/>
        <v>0</v>
      </c>
      <c r="J12" s="718"/>
      <c r="K12" s="718"/>
      <c r="L12" s="718"/>
      <c r="M12" s="718"/>
      <c r="N12" s="718"/>
      <c r="O12" s="718"/>
      <c r="P12" s="718"/>
      <c r="Q12" s="677">
        <f t="shared" ref="Q12:Q13" si="4">SUMPRODUCT($J$5:$P$5,J12:P12)</f>
        <v>0</v>
      </c>
    </row>
    <row r="13" spans="1:17" ht="15.75">
      <c r="B13" s="719" t="s">
        <v>978</v>
      </c>
      <c r="C13" s="717"/>
      <c r="D13" s="717"/>
      <c r="E13" s="717"/>
      <c r="F13" s="717"/>
      <c r="G13" s="717"/>
      <c r="H13" s="714">
        <v>1.4</v>
      </c>
      <c r="I13" s="715">
        <f t="shared" si="2"/>
        <v>0</v>
      </c>
      <c r="J13" s="718"/>
      <c r="K13" s="718"/>
      <c r="L13" s="718"/>
      <c r="M13" s="718"/>
      <c r="N13" s="718"/>
      <c r="O13" s="718"/>
      <c r="P13" s="718"/>
      <c r="Q13" s="677">
        <f t="shared" si="4"/>
        <v>0</v>
      </c>
    </row>
    <row r="14" spans="1:17" ht="15.75">
      <c r="B14" s="716" t="s">
        <v>990</v>
      </c>
      <c r="C14" s="717"/>
      <c r="D14" s="717"/>
      <c r="E14" s="717"/>
      <c r="F14" s="717"/>
      <c r="G14" s="717"/>
      <c r="H14" s="714">
        <v>1.4</v>
      </c>
      <c r="I14" s="715">
        <f t="shared" si="2"/>
        <v>0</v>
      </c>
      <c r="J14" s="718"/>
      <c r="K14" s="718"/>
      <c r="L14" s="718"/>
      <c r="M14" s="718"/>
      <c r="N14" s="718"/>
      <c r="O14" s="718"/>
      <c r="P14" s="718"/>
      <c r="Q14" s="677">
        <f>SUM(Q15:Q17)</f>
        <v>0</v>
      </c>
    </row>
    <row r="15" spans="1:17" ht="15.75">
      <c r="B15" s="719" t="s">
        <v>976</v>
      </c>
      <c r="C15" s="717"/>
      <c r="D15" s="717"/>
      <c r="E15" s="717"/>
      <c r="F15" s="717"/>
      <c r="G15" s="717"/>
      <c r="H15" s="714">
        <v>1.4</v>
      </c>
      <c r="I15" s="715">
        <f t="shared" si="2"/>
        <v>0</v>
      </c>
      <c r="J15" s="718"/>
      <c r="K15" s="718"/>
      <c r="L15" s="718"/>
      <c r="M15" s="718"/>
      <c r="N15" s="718"/>
      <c r="O15" s="718"/>
      <c r="P15" s="718"/>
      <c r="Q15" s="677">
        <f>SUMPRODUCT($J$5:$P$5,J15:P15)</f>
        <v>0</v>
      </c>
    </row>
    <row r="16" spans="1:17" ht="15.75">
      <c r="B16" s="719" t="s">
        <v>977</v>
      </c>
      <c r="C16" s="717"/>
      <c r="D16" s="717"/>
      <c r="E16" s="717"/>
      <c r="F16" s="717"/>
      <c r="G16" s="717"/>
      <c r="H16" s="714">
        <v>1.4</v>
      </c>
      <c r="I16" s="715">
        <f t="shared" si="2"/>
        <v>0</v>
      </c>
      <c r="J16" s="718"/>
      <c r="K16" s="718"/>
      <c r="L16" s="718"/>
      <c r="M16" s="718"/>
      <c r="N16" s="718"/>
      <c r="O16" s="718"/>
      <c r="P16" s="718"/>
      <c r="Q16" s="677">
        <f t="shared" ref="Q16:Q17" si="5">SUMPRODUCT($J$5:$P$5,J16:P16)</f>
        <v>0</v>
      </c>
    </row>
    <row r="17" spans="2:17" ht="15.75">
      <c r="B17" s="719" t="s">
        <v>978</v>
      </c>
      <c r="C17" s="717"/>
      <c r="D17" s="717"/>
      <c r="E17" s="717"/>
      <c r="F17" s="717"/>
      <c r="G17" s="717"/>
      <c r="H17" s="714">
        <v>1.4</v>
      </c>
      <c r="I17" s="715">
        <f t="shared" si="2"/>
        <v>0</v>
      </c>
      <c r="J17" s="718"/>
      <c r="K17" s="718"/>
      <c r="L17" s="718"/>
      <c r="M17" s="718"/>
      <c r="N17" s="718"/>
      <c r="O17" s="718"/>
      <c r="P17" s="718"/>
      <c r="Q17" s="677">
        <f t="shared" si="5"/>
        <v>0</v>
      </c>
    </row>
    <row r="18" spans="2:17" ht="15.75">
      <c r="B18" s="716" t="s">
        <v>991</v>
      </c>
      <c r="C18" s="717"/>
      <c r="D18" s="717"/>
      <c r="E18" s="717"/>
      <c r="F18" s="717"/>
      <c r="G18" s="717"/>
      <c r="H18" s="714">
        <v>1.4</v>
      </c>
      <c r="I18" s="715">
        <f t="shared" si="2"/>
        <v>0</v>
      </c>
      <c r="J18" s="718"/>
      <c r="K18" s="718"/>
      <c r="L18" s="718"/>
      <c r="M18" s="718"/>
      <c r="N18" s="718"/>
      <c r="O18" s="718"/>
      <c r="P18" s="718"/>
      <c r="Q18" s="677">
        <f>SUM(Q19:Q21)</f>
        <v>0</v>
      </c>
    </row>
    <row r="19" spans="2:17" ht="15.75">
      <c r="B19" s="719" t="s">
        <v>976</v>
      </c>
      <c r="C19" s="717"/>
      <c r="D19" s="717"/>
      <c r="E19" s="717"/>
      <c r="F19" s="717"/>
      <c r="G19" s="717"/>
      <c r="H19" s="714">
        <v>1.4</v>
      </c>
      <c r="I19" s="715">
        <f t="shared" si="2"/>
        <v>0</v>
      </c>
      <c r="J19" s="718"/>
      <c r="K19" s="718"/>
      <c r="L19" s="718"/>
      <c r="M19" s="718"/>
      <c r="N19" s="718"/>
      <c r="O19" s="718"/>
      <c r="P19" s="718"/>
      <c r="Q19" s="677">
        <f>SUMPRODUCT($J$5:$P$5,J19:P19)</f>
        <v>0</v>
      </c>
    </row>
    <row r="20" spans="2:17" ht="15.75">
      <c r="B20" s="719" t="s">
        <v>977</v>
      </c>
      <c r="C20" s="717"/>
      <c r="D20" s="717"/>
      <c r="E20" s="717"/>
      <c r="F20" s="717"/>
      <c r="G20" s="717"/>
      <c r="H20" s="714">
        <v>1.4</v>
      </c>
      <c r="I20" s="715">
        <f t="shared" si="2"/>
        <v>0</v>
      </c>
      <c r="J20" s="718"/>
      <c r="K20" s="718"/>
      <c r="L20" s="718"/>
      <c r="M20" s="718"/>
      <c r="N20" s="718"/>
      <c r="O20" s="718"/>
      <c r="P20" s="718"/>
      <c r="Q20" s="677">
        <f t="shared" ref="Q20:Q21" si="6">SUMPRODUCT($J$5:$P$5,J20:P20)</f>
        <v>0</v>
      </c>
    </row>
    <row r="21" spans="2:17" ht="15.75">
      <c r="B21" s="719" t="s">
        <v>978</v>
      </c>
      <c r="C21" s="717"/>
      <c r="D21" s="717"/>
      <c r="E21" s="717"/>
      <c r="F21" s="717"/>
      <c r="G21" s="717"/>
      <c r="H21" s="714">
        <v>1.4</v>
      </c>
      <c r="I21" s="715">
        <f t="shared" si="2"/>
        <v>0</v>
      </c>
      <c r="J21" s="718"/>
      <c r="K21" s="718"/>
      <c r="L21" s="718"/>
      <c r="M21" s="718"/>
      <c r="N21" s="718"/>
      <c r="O21" s="718"/>
      <c r="P21" s="718"/>
      <c r="Q21" s="677">
        <f t="shared" si="6"/>
        <v>0</v>
      </c>
    </row>
    <row r="22" spans="2:17" ht="15.75">
      <c r="B22" s="716" t="s">
        <v>992</v>
      </c>
      <c r="C22" s="717"/>
      <c r="D22" s="717"/>
      <c r="E22" s="717"/>
      <c r="F22" s="717"/>
      <c r="G22" s="717"/>
      <c r="H22" s="714">
        <v>1.4</v>
      </c>
      <c r="I22" s="715">
        <f t="shared" si="2"/>
        <v>0</v>
      </c>
      <c r="J22" s="718"/>
      <c r="K22" s="718"/>
      <c r="L22" s="718"/>
      <c r="M22" s="718"/>
      <c r="N22" s="718"/>
      <c r="O22" s="718"/>
      <c r="P22" s="718"/>
      <c r="Q22" s="677">
        <f>SUM(Q23:Q25)</f>
        <v>0</v>
      </c>
    </row>
    <row r="23" spans="2:17" ht="15.75">
      <c r="B23" s="719" t="s">
        <v>976</v>
      </c>
      <c r="C23" s="717"/>
      <c r="D23" s="717"/>
      <c r="E23" s="717"/>
      <c r="F23" s="717"/>
      <c r="G23" s="717"/>
      <c r="H23" s="714">
        <v>1.4</v>
      </c>
      <c r="I23" s="715">
        <f t="shared" si="2"/>
        <v>0</v>
      </c>
      <c r="J23" s="718"/>
      <c r="K23" s="718"/>
      <c r="L23" s="718"/>
      <c r="M23" s="718"/>
      <c r="N23" s="718"/>
      <c r="O23" s="718"/>
      <c r="P23" s="718"/>
      <c r="Q23" s="677">
        <f>SUMPRODUCT($J$5:$P$5,J23:P23)</f>
        <v>0</v>
      </c>
    </row>
    <row r="24" spans="2:17" ht="15.75">
      <c r="B24" s="719" t="s">
        <v>977</v>
      </c>
      <c r="C24" s="717"/>
      <c r="D24" s="717"/>
      <c r="E24" s="717"/>
      <c r="F24" s="717"/>
      <c r="G24" s="717"/>
      <c r="H24" s="714">
        <v>1.4</v>
      </c>
      <c r="I24" s="715">
        <f t="shared" si="2"/>
        <v>0</v>
      </c>
      <c r="J24" s="718"/>
      <c r="K24" s="718"/>
      <c r="L24" s="718"/>
      <c r="M24" s="718"/>
      <c r="N24" s="718"/>
      <c r="O24" s="718"/>
      <c r="P24" s="718"/>
      <c r="Q24" s="677">
        <f t="shared" ref="Q24:Q25" si="7">SUMPRODUCT($J$5:$P$5,J24:P24)</f>
        <v>0</v>
      </c>
    </row>
    <row r="25" spans="2:17" ht="15.75">
      <c r="B25" s="719" t="s">
        <v>978</v>
      </c>
      <c r="C25" s="717"/>
      <c r="D25" s="717"/>
      <c r="E25" s="717"/>
      <c r="F25" s="717"/>
      <c r="G25" s="717"/>
      <c r="H25" s="714">
        <v>1.4</v>
      </c>
      <c r="I25" s="715">
        <f t="shared" si="2"/>
        <v>0</v>
      </c>
      <c r="J25" s="718"/>
      <c r="K25" s="718"/>
      <c r="L25" s="718"/>
      <c r="M25" s="718"/>
      <c r="N25" s="718"/>
      <c r="O25" s="718"/>
      <c r="P25" s="718"/>
      <c r="Q25" s="677">
        <f t="shared" si="7"/>
        <v>0</v>
      </c>
    </row>
    <row r="26" spans="2:17" ht="15.75">
      <c r="B26" s="716" t="s">
        <v>993</v>
      </c>
      <c r="C26" s="717"/>
      <c r="D26" s="717"/>
      <c r="E26" s="717"/>
      <c r="F26" s="717"/>
      <c r="G26" s="717"/>
      <c r="H26" s="714">
        <v>1.4</v>
      </c>
      <c r="I26" s="715">
        <f t="shared" si="2"/>
        <v>0</v>
      </c>
      <c r="J26" s="718"/>
      <c r="K26" s="718"/>
      <c r="L26" s="718"/>
      <c r="M26" s="718"/>
      <c r="N26" s="718"/>
      <c r="O26" s="718"/>
      <c r="P26" s="718"/>
      <c r="Q26" s="677">
        <f>SUM(Q27:Q29)</f>
        <v>0</v>
      </c>
    </row>
    <row r="27" spans="2:17" ht="15.75">
      <c r="B27" s="719" t="s">
        <v>976</v>
      </c>
      <c r="C27" s="717"/>
      <c r="D27" s="717"/>
      <c r="E27" s="717"/>
      <c r="F27" s="717"/>
      <c r="G27" s="717"/>
      <c r="H27" s="714">
        <v>1.4</v>
      </c>
      <c r="I27" s="715">
        <f t="shared" si="2"/>
        <v>0</v>
      </c>
      <c r="J27" s="718"/>
      <c r="K27" s="718"/>
      <c r="L27" s="718"/>
      <c r="M27" s="718"/>
      <c r="N27" s="718"/>
      <c r="O27" s="718"/>
      <c r="P27" s="718"/>
      <c r="Q27" s="677">
        <f>SUMPRODUCT($J$5:$P$5,J27:P27)</f>
        <v>0</v>
      </c>
    </row>
    <row r="28" spans="2:17" ht="15.75">
      <c r="B28" s="719" t="s">
        <v>977</v>
      </c>
      <c r="C28" s="717"/>
      <c r="D28" s="717"/>
      <c r="E28" s="717"/>
      <c r="F28" s="717"/>
      <c r="G28" s="717"/>
      <c r="H28" s="714">
        <v>1.4</v>
      </c>
      <c r="I28" s="715">
        <f t="shared" si="2"/>
        <v>0</v>
      </c>
      <c r="J28" s="718"/>
      <c r="K28" s="718"/>
      <c r="L28" s="718"/>
      <c r="M28" s="718"/>
      <c r="N28" s="718"/>
      <c r="O28" s="718"/>
      <c r="P28" s="718"/>
      <c r="Q28" s="677">
        <f t="shared" ref="Q28:Q29" si="8">SUMPRODUCT($J$5:$P$5,J28:P28)</f>
        <v>0</v>
      </c>
    </row>
    <row r="29" spans="2:17" ht="15.75">
      <c r="B29" s="719" t="s">
        <v>978</v>
      </c>
      <c r="C29" s="717"/>
      <c r="D29" s="717"/>
      <c r="E29" s="717"/>
      <c r="F29" s="717"/>
      <c r="G29" s="717"/>
      <c r="H29" s="714">
        <v>1.4</v>
      </c>
      <c r="I29" s="715">
        <f t="shared" si="2"/>
        <v>0</v>
      </c>
      <c r="J29" s="718"/>
      <c r="K29" s="718"/>
      <c r="L29" s="718"/>
      <c r="M29" s="718"/>
      <c r="N29" s="718"/>
      <c r="O29" s="718"/>
      <c r="P29" s="718"/>
      <c r="Q29" s="677">
        <f t="shared" si="8"/>
        <v>0</v>
      </c>
    </row>
    <row r="30" spans="2:17" ht="15.75">
      <c r="B30" s="720" t="s">
        <v>994</v>
      </c>
      <c r="C30" s="717"/>
      <c r="D30" s="717"/>
      <c r="E30" s="717"/>
      <c r="F30" s="717"/>
      <c r="G30" s="717"/>
      <c r="H30" s="714">
        <v>1.4</v>
      </c>
      <c r="I30" s="715">
        <f t="shared" si="2"/>
        <v>0</v>
      </c>
      <c r="J30" s="718"/>
      <c r="K30" s="718"/>
      <c r="L30" s="718"/>
      <c r="M30" s="718"/>
      <c r="N30" s="718"/>
      <c r="O30" s="718"/>
      <c r="P30" s="718"/>
      <c r="Q30" s="677">
        <f>SUM(Q31:Q33)</f>
        <v>0</v>
      </c>
    </row>
    <row r="31" spans="2:17" ht="15.75">
      <c r="B31" s="719" t="s">
        <v>976</v>
      </c>
      <c r="C31" s="717"/>
      <c r="D31" s="717"/>
      <c r="E31" s="717"/>
      <c r="F31" s="717"/>
      <c r="G31" s="717"/>
      <c r="H31" s="714">
        <v>1.4</v>
      </c>
      <c r="I31" s="715">
        <f t="shared" si="2"/>
        <v>0</v>
      </c>
      <c r="J31" s="718"/>
      <c r="K31" s="718"/>
      <c r="L31" s="718"/>
      <c r="M31" s="718"/>
      <c r="N31" s="718"/>
      <c r="O31" s="718"/>
      <c r="P31" s="718"/>
      <c r="Q31" s="677">
        <f>SUMPRODUCT($J$5:$P$5,J31:P31)</f>
        <v>0</v>
      </c>
    </row>
    <row r="32" spans="2:17" ht="15.75">
      <c r="B32" s="719" t="s">
        <v>977</v>
      </c>
      <c r="C32" s="717"/>
      <c r="D32" s="717"/>
      <c r="E32" s="717"/>
      <c r="F32" s="717"/>
      <c r="G32" s="717"/>
      <c r="H32" s="714">
        <v>1.4</v>
      </c>
      <c r="I32" s="715">
        <f t="shared" si="2"/>
        <v>0</v>
      </c>
      <c r="J32" s="718"/>
      <c r="K32" s="718"/>
      <c r="L32" s="718"/>
      <c r="M32" s="718"/>
      <c r="N32" s="718"/>
      <c r="O32" s="718"/>
      <c r="P32" s="718"/>
      <c r="Q32" s="677">
        <f t="shared" ref="Q32:Q33" si="9">SUMPRODUCT($J$5:$P$5,J32:P32)</f>
        <v>0</v>
      </c>
    </row>
    <row r="33" spans="2:17" ht="15.75">
      <c r="B33" s="719" t="s">
        <v>978</v>
      </c>
      <c r="C33" s="717"/>
      <c r="D33" s="717"/>
      <c r="E33" s="717"/>
      <c r="F33" s="717"/>
      <c r="G33" s="717"/>
      <c r="H33" s="714">
        <v>1.4</v>
      </c>
      <c r="I33" s="715">
        <f t="shared" si="2"/>
        <v>0</v>
      </c>
      <c r="J33" s="718"/>
      <c r="K33" s="718"/>
      <c r="L33" s="718"/>
      <c r="M33" s="718"/>
      <c r="N33" s="718"/>
      <c r="O33" s="718"/>
      <c r="P33" s="718"/>
      <c r="Q33" s="677">
        <f t="shared" si="9"/>
        <v>0</v>
      </c>
    </row>
    <row r="34" spans="2:17" ht="15.75">
      <c r="B34" s="721" t="s">
        <v>66</v>
      </c>
      <c r="C34" s="722" t="b">
        <f>C6</f>
        <v>0</v>
      </c>
      <c r="D34" s="722" t="b">
        <f t="shared" ref="D34:G34" si="10">D6</f>
        <v>0</v>
      </c>
      <c r="E34" s="722" t="b">
        <f t="shared" si="10"/>
        <v>0</v>
      </c>
      <c r="F34" s="722" t="b">
        <f t="shared" si="10"/>
        <v>0</v>
      </c>
      <c r="G34" s="722" t="b">
        <f t="shared" si="10"/>
        <v>0</v>
      </c>
      <c r="H34" s="714">
        <v>1.4</v>
      </c>
      <c r="I34" s="715">
        <f>(F34+G34)*H34</f>
        <v>0</v>
      </c>
      <c r="J34" s="722" t="b">
        <f t="shared" ref="J34:Q34" si="11">J6</f>
        <v>0</v>
      </c>
      <c r="K34" s="722" t="b">
        <f t="shared" si="11"/>
        <v>0</v>
      </c>
      <c r="L34" s="722" t="b">
        <f t="shared" si="11"/>
        <v>0</v>
      </c>
      <c r="M34" s="722" t="b">
        <f t="shared" si="11"/>
        <v>0</v>
      </c>
      <c r="N34" s="722" t="b">
        <f t="shared" si="11"/>
        <v>0</v>
      </c>
      <c r="O34" s="722" t="b">
        <f t="shared" si="11"/>
        <v>0</v>
      </c>
      <c r="P34" s="722" t="b">
        <f t="shared" si="11"/>
        <v>0</v>
      </c>
      <c r="Q34" s="722" t="b">
        <f t="shared" si="11"/>
        <v>0</v>
      </c>
    </row>
  </sheetData>
  <conditionalFormatting sqref="I7:I34">
    <cfRule type="expression" dxfId="26" priority="1">
      <formula>(C7*#REF!)&lt;&gt;SUM(#REF!)</formula>
    </cfRule>
  </conditionalFormatting>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3"/>
  <sheetViews>
    <sheetView zoomScaleNormal="100" workbookViewId="0">
      <pane xSplit="1" ySplit="5" topLeftCell="B6" activePane="bottomRight" state="frozen"/>
      <selection pane="topRight" activeCell="B1" sqref="B1"/>
      <selection pane="bottomLeft" activeCell="A6" sqref="A6"/>
      <selection pane="bottomRight" activeCell="C50" sqref="C8:G50"/>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 min="11" max="11" width="11.5703125" bestFit="1" customWidth="1"/>
    <col min="12" max="12" width="13.7109375" bestFit="1" customWidth="1"/>
  </cols>
  <sheetData>
    <row r="1" spans="1:8">
      <c r="A1" s="17" t="s">
        <v>97</v>
      </c>
      <c r="B1" s="285" t="str">
        <f>Info!C2</f>
        <v>სს "ჰეშ ბანკი"</v>
      </c>
    </row>
    <row r="2" spans="1:8">
      <c r="A2" s="17" t="s">
        <v>98</v>
      </c>
      <c r="B2" s="726">
        <v>45838</v>
      </c>
      <c r="C2" s="28"/>
      <c r="D2" s="18"/>
      <c r="E2" s="18"/>
      <c r="F2" s="18"/>
      <c r="G2" s="18"/>
      <c r="H2" s="1"/>
    </row>
    <row r="3" spans="1:8" ht="16.5" thickBot="1">
      <c r="A3" s="17"/>
      <c r="C3" s="28"/>
      <c r="D3" s="18"/>
      <c r="E3" s="18"/>
      <c r="F3" s="18"/>
      <c r="G3" s="18"/>
      <c r="H3" s="1"/>
    </row>
    <row r="4" spans="1:8" ht="15" customHeight="1" thickBot="1">
      <c r="A4" s="39" t="s">
        <v>241</v>
      </c>
      <c r="B4" s="126" t="s">
        <v>128</v>
      </c>
      <c r="C4" s="127"/>
      <c r="D4" s="819" t="s">
        <v>904</v>
      </c>
      <c r="E4" s="820"/>
      <c r="F4" s="820"/>
      <c r="G4" s="821"/>
      <c r="H4" s="1"/>
    </row>
    <row r="5" spans="1:8" ht="15">
      <c r="A5" s="189" t="s">
        <v>25</v>
      </c>
      <c r="B5" s="190"/>
      <c r="C5" s="308" t="str">
        <f>INT((MONTH($B$2))/3)&amp;"Q"&amp;"-"&amp;YEAR($B$2)</f>
        <v>2Q-2025</v>
      </c>
      <c r="D5" s="308" t="str">
        <f>IF(INT(MONTH($B$2))=3, "4"&amp;"Q"&amp;"-"&amp;YEAR($B$2)-1, IF(INT(MONTH($B$2))=6, "1"&amp;"Q"&amp;"-"&amp;YEAR($B$2), IF(INT(MONTH($B$2))=9, "2"&amp;"Q"&amp;"-"&amp;YEAR($B$2),IF(INT(MONTH($B$2))=12, "3"&amp;"Q"&amp;"-"&amp;YEAR($B$2), 0))))</f>
        <v>1Q-2025</v>
      </c>
      <c r="E5" s="308" t="str">
        <f>IF(INT(MONTH($B$2))=3, "3"&amp;"Q"&amp;"-"&amp;YEAR($B$2)-1, IF(INT(MONTH($B$2))=6, "4"&amp;"Q"&amp;"-"&amp;YEAR($B$2)-1, IF(INT(MONTH($B$2))=9, "1"&amp;"Q"&amp;"-"&amp;YEAR($B$2),IF(INT(MONTH($B$2))=12, "2"&amp;"Q"&amp;"-"&amp;YEAR($B$2), 0))))</f>
        <v>4Q-2024</v>
      </c>
      <c r="F5" s="308" t="str">
        <f>IF(INT(MONTH($B$2))=3, "2"&amp;"Q"&amp;"-"&amp;YEAR($B$2)-1, IF(INT(MONTH($B$2))=6, "3"&amp;"Q"&amp;"-"&amp;YEAR($B$2)-1, IF(INT(MONTH($B$2))=9, "4"&amp;"Q"&amp;"-"&amp;YEAR($B$2)-1,IF(INT(MONTH($B$2))=12, "1"&amp;"Q"&amp;"-"&amp;YEAR($B$2), 0))))</f>
        <v>3Q-2024</v>
      </c>
      <c r="G5" s="309" t="str">
        <f>IF(INT(MONTH($B$2))=3, "1"&amp;"Q"&amp;"-"&amp;YEAR($B$2)-1, IF(INT(MONTH($B$2))=6, "2"&amp;"Q"&amp;"-"&amp;YEAR($B$2)-1, IF(INT(MONTH($B$2))=9, "3"&amp;"Q"&amp;"-"&amp;YEAR($B$2)-1,IF(INT(MONTH($B$2))=12, "4"&amp;"Q"&amp;"-"&amp;YEAR($B$2)-1, 0))))</f>
        <v>2Q-2024</v>
      </c>
    </row>
    <row r="6" spans="1:8" ht="15">
      <c r="A6" s="310"/>
      <c r="B6" s="311" t="s">
        <v>95</v>
      </c>
      <c r="C6" s="191"/>
      <c r="D6" s="191"/>
      <c r="E6" s="191"/>
      <c r="F6" s="191"/>
      <c r="G6" s="192"/>
    </row>
    <row r="7" spans="1:8" ht="15">
      <c r="A7" s="310"/>
      <c r="B7" s="312" t="s">
        <v>99</v>
      </c>
      <c r="C7" s="191"/>
      <c r="D7" s="191"/>
      <c r="E7" s="191"/>
      <c r="F7" s="191"/>
      <c r="G7" s="192"/>
    </row>
    <row r="8" spans="1:8" ht="15">
      <c r="A8" s="290">
        <v>1</v>
      </c>
      <c r="B8" s="291" t="s">
        <v>22</v>
      </c>
      <c r="C8" s="313">
        <v>22811901</v>
      </c>
      <c r="D8" s="314">
        <v>26168468</v>
      </c>
      <c r="E8" s="314">
        <v>12685652.870000001</v>
      </c>
      <c r="F8" s="314">
        <v>4543918.8091000002</v>
      </c>
      <c r="G8" s="315">
        <v>5079707.16</v>
      </c>
    </row>
    <row r="9" spans="1:8" ht="15">
      <c r="A9" s="290">
        <v>2</v>
      </c>
      <c r="B9" s="291" t="s">
        <v>75</v>
      </c>
      <c r="C9" s="313">
        <v>22814001</v>
      </c>
      <c r="D9" s="314">
        <v>26170568</v>
      </c>
      <c r="E9" s="314">
        <v>12687752.870000001</v>
      </c>
      <c r="F9" s="314">
        <v>4546018.8091000002</v>
      </c>
      <c r="G9" s="315">
        <v>5081807.16</v>
      </c>
    </row>
    <row r="10" spans="1:8" ht="15">
      <c r="A10" s="290">
        <v>3</v>
      </c>
      <c r="B10" s="291" t="s">
        <v>74</v>
      </c>
      <c r="C10" s="313">
        <v>22814001</v>
      </c>
      <c r="D10" s="314">
        <v>26170568</v>
      </c>
      <c r="E10" s="314">
        <v>12687752.870000001</v>
      </c>
      <c r="F10" s="314">
        <v>4546018.8091000002</v>
      </c>
      <c r="G10" s="315">
        <v>5081807.16</v>
      </c>
    </row>
    <row r="11" spans="1:8" ht="15">
      <c r="A11" s="290">
        <v>4</v>
      </c>
      <c r="B11" s="291" t="s">
        <v>414</v>
      </c>
      <c r="C11" s="313">
        <v>1567468.484720675</v>
      </c>
      <c r="D11" s="314">
        <v>657742.04809387506</v>
      </c>
      <c r="E11" s="314">
        <v>1614604.935228162</v>
      </c>
      <c r="F11" s="314">
        <v>2477999.7426323532</v>
      </c>
      <c r="G11" s="315">
        <v>2445618.1267259442</v>
      </c>
    </row>
    <row r="12" spans="1:8" ht="15">
      <c r="A12" s="290">
        <v>5</v>
      </c>
      <c r="B12" s="291" t="s">
        <v>415</v>
      </c>
      <c r="C12" s="313">
        <v>1880996.09741265</v>
      </c>
      <c r="D12" s="314">
        <v>789290.45771265007</v>
      </c>
      <c r="E12" s="314">
        <v>1869126.187219437</v>
      </c>
      <c r="F12" s="314">
        <v>2968576.1635388401</v>
      </c>
      <c r="G12" s="315">
        <v>2919663.1757802777</v>
      </c>
    </row>
    <row r="13" spans="1:8" ht="15">
      <c r="A13" s="290">
        <v>6</v>
      </c>
      <c r="B13" s="291" t="s">
        <v>416</v>
      </c>
      <c r="C13" s="313">
        <v>2299031.4649443501</v>
      </c>
      <c r="D13" s="314">
        <v>964688.33720435004</v>
      </c>
      <c r="E13" s="314">
        <v>2208472.8869411373</v>
      </c>
      <c r="F13" s="314">
        <v>3622678.0175474891</v>
      </c>
      <c r="G13" s="315">
        <v>3551723.2411860558</v>
      </c>
    </row>
    <row r="14" spans="1:8" ht="15">
      <c r="A14" s="310"/>
      <c r="B14" s="311" t="s">
        <v>418</v>
      </c>
      <c r="C14" s="191"/>
      <c r="D14" s="191"/>
      <c r="E14" s="191"/>
      <c r="F14" s="191"/>
      <c r="G14" s="192"/>
    </row>
    <row r="15" spans="1:8" ht="21.95" customHeight="1">
      <c r="A15" s="290">
        <v>7</v>
      </c>
      <c r="B15" s="291" t="s">
        <v>417</v>
      </c>
      <c r="C15" s="316">
        <v>20896333.160585001</v>
      </c>
      <c r="D15" s="314">
        <v>8769893.9745850004</v>
      </c>
      <c r="E15" s="314">
        <v>16911198.986084998</v>
      </c>
      <c r="F15" s="314">
        <v>32704940.700432457</v>
      </c>
      <c r="G15" s="315">
        <v>31603003.270288888</v>
      </c>
    </row>
    <row r="16" spans="1:8" ht="15">
      <c r="A16" s="310"/>
      <c r="B16" s="311" t="s">
        <v>421</v>
      </c>
      <c r="C16" s="191"/>
      <c r="D16" s="191"/>
      <c r="E16" s="191"/>
      <c r="F16" s="191"/>
      <c r="G16" s="192"/>
    </row>
    <row r="17" spans="1:7" s="3" customFormat="1" ht="15">
      <c r="A17" s="290"/>
      <c r="B17" s="312" t="s">
        <v>967</v>
      </c>
      <c r="C17" s="191"/>
      <c r="D17" s="191"/>
      <c r="E17" s="191"/>
      <c r="F17" s="191"/>
      <c r="G17" s="192"/>
    </row>
    <row r="18" spans="1:7" ht="15">
      <c r="A18" s="289">
        <v>8</v>
      </c>
      <c r="B18" s="317" t="s">
        <v>412</v>
      </c>
      <c r="C18" s="737">
        <v>1.0916700468304255</v>
      </c>
      <c r="D18" s="738">
        <v>2.9838978755998378</v>
      </c>
      <c r="E18" s="738">
        <v>0.75013326260533664</v>
      </c>
      <c r="F18" s="738">
        <v>0.13893676954564593</v>
      </c>
      <c r="G18" s="739">
        <v>0.15531925914584616</v>
      </c>
    </row>
    <row r="19" spans="1:7" ht="15" customHeight="1">
      <c r="A19" s="289">
        <v>9</v>
      </c>
      <c r="B19" s="317" t="s">
        <v>411</v>
      </c>
      <c r="C19" s="737">
        <v>1.0917705429310505</v>
      </c>
      <c r="D19" s="738">
        <v>2.9841373311743391</v>
      </c>
      <c r="E19" s="738">
        <v>0.75025744067229272</v>
      </c>
      <c r="F19" s="738">
        <v>0.1390009800274577</v>
      </c>
      <c r="G19" s="739">
        <v>0.15538346962765792</v>
      </c>
    </row>
    <row r="20" spans="1:7" ht="15">
      <c r="A20" s="289">
        <v>10</v>
      </c>
      <c r="B20" s="317" t="s">
        <v>413</v>
      </c>
      <c r="C20" s="737">
        <v>1.0917705429310505</v>
      </c>
      <c r="D20" s="738">
        <v>2.9841373311743391</v>
      </c>
      <c r="E20" s="738">
        <v>0.75025744067229272</v>
      </c>
      <c r="F20" s="738">
        <v>0.1390009800274577</v>
      </c>
      <c r="G20" s="739">
        <v>0.15538346962765792</v>
      </c>
    </row>
    <row r="21" spans="1:7" ht="15">
      <c r="A21" s="289">
        <v>11</v>
      </c>
      <c r="B21" s="291" t="s">
        <v>414</v>
      </c>
      <c r="C21" s="737">
        <v>7.5011652650966501E-2</v>
      </c>
      <c r="D21" s="738">
        <v>7.4999999999999997E-2</v>
      </c>
      <c r="E21" s="738">
        <v>9.5475485597248527E-2</v>
      </c>
      <c r="F21" s="738">
        <v>7.5768360668502496E-2</v>
      </c>
      <c r="G21" s="739">
        <v>7.4778246783171992E-2</v>
      </c>
    </row>
    <row r="22" spans="1:7" ht="15">
      <c r="A22" s="289">
        <v>12</v>
      </c>
      <c r="B22" s="291" t="s">
        <v>415</v>
      </c>
      <c r="C22" s="737">
        <v>9.0015606228972991E-2</v>
      </c>
      <c r="D22" s="738">
        <v>0.09</v>
      </c>
      <c r="E22" s="738">
        <v>0.1105259413455785</v>
      </c>
      <c r="F22" s="738">
        <v>9.0768431312263059E-2</v>
      </c>
      <c r="G22" s="739">
        <v>8.9272847259486726E-2</v>
      </c>
    </row>
    <row r="23" spans="1:7" ht="15">
      <c r="A23" s="289">
        <v>13</v>
      </c>
      <c r="B23" s="291" t="s">
        <v>416</v>
      </c>
      <c r="C23" s="737">
        <v>0.11002080830529733</v>
      </c>
      <c r="D23" s="738">
        <v>0.11</v>
      </c>
      <c r="E23" s="738">
        <v>0.13059233048811794</v>
      </c>
      <c r="F23" s="738">
        <v>0.11076852426457959</v>
      </c>
      <c r="G23" s="739">
        <v>0.10859898122790639</v>
      </c>
    </row>
    <row r="24" spans="1:7" ht="15">
      <c r="A24" s="310"/>
      <c r="B24" s="311" t="s">
        <v>952</v>
      </c>
      <c r="C24" s="191"/>
      <c r="D24" s="191"/>
      <c r="E24" s="191"/>
      <c r="F24" s="191"/>
      <c r="G24" s="192"/>
    </row>
    <row r="25" spans="1:7" ht="25.5">
      <c r="A25" s="289">
        <v>14</v>
      </c>
      <c r="B25" s="317" t="s">
        <v>953</v>
      </c>
      <c r="C25" s="323"/>
      <c r="D25" s="324"/>
      <c r="E25" s="324"/>
      <c r="F25" s="324"/>
      <c r="G25" s="325"/>
    </row>
    <row r="26" spans="1:7" ht="15">
      <c r="A26" s="310"/>
      <c r="B26" s="311" t="s">
        <v>6</v>
      </c>
      <c r="C26" s="191"/>
      <c r="D26" s="191"/>
      <c r="E26" s="191"/>
      <c r="F26" s="191"/>
      <c r="G26" s="192"/>
    </row>
    <row r="27" spans="1:7" ht="15" customHeight="1">
      <c r="A27" s="318">
        <v>15</v>
      </c>
      <c r="B27" s="319" t="s">
        <v>7</v>
      </c>
      <c r="C27" s="727">
        <v>8.1524097446075056E-2</v>
      </c>
      <c r="D27" s="728">
        <v>8.3896635406862985E-2</v>
      </c>
      <c r="E27" s="728">
        <v>6.8064525402161138E-2</v>
      </c>
      <c r="F27" s="728">
        <v>6.4497797087230649E-2</v>
      </c>
      <c r="G27" s="729">
        <v>6.6642183697227159E-2</v>
      </c>
    </row>
    <row r="28" spans="1:7" ht="15">
      <c r="A28" s="318">
        <v>16</v>
      </c>
      <c r="B28" s="319" t="s">
        <v>8</v>
      </c>
      <c r="C28" s="727">
        <v>-1.162497540123367E-3</v>
      </c>
      <c r="D28" s="728">
        <v>0</v>
      </c>
      <c r="E28" s="728">
        <v>-4.5388866591925203E-6</v>
      </c>
      <c r="F28" s="728">
        <v>-8.5050170880504578E-6</v>
      </c>
      <c r="G28" s="729">
        <v>-1.3994476272770434E-5</v>
      </c>
    </row>
    <row r="29" spans="1:7" ht="15">
      <c r="A29" s="318">
        <v>17</v>
      </c>
      <c r="B29" s="319" t="s">
        <v>9</v>
      </c>
      <c r="C29" s="727">
        <v>7.7221230868894541E-2</v>
      </c>
      <c r="D29" s="728">
        <v>5.7608889246389072E-2</v>
      </c>
      <c r="E29" s="728">
        <v>4.9576333390080239E-2</v>
      </c>
      <c r="F29" s="728">
        <v>4.9756282923524284E-2</v>
      </c>
      <c r="G29" s="729">
        <v>6.5903232942521026E-2</v>
      </c>
    </row>
    <row r="30" spans="1:7" ht="15">
      <c r="A30" s="318">
        <v>18</v>
      </c>
      <c r="B30" s="319" t="s">
        <v>129</v>
      </c>
      <c r="C30" s="727">
        <v>8.0361599905951681E-2</v>
      </c>
      <c r="D30" s="728">
        <v>8.3896635406862985E-2</v>
      </c>
      <c r="E30" s="728">
        <v>6.805998651550195E-2</v>
      </c>
      <c r="F30" s="728">
        <v>6.4489292070142604E-2</v>
      </c>
      <c r="G30" s="729">
        <v>6.6628189220954384E-2</v>
      </c>
    </row>
    <row r="31" spans="1:7" ht="15">
      <c r="A31" s="318">
        <v>19</v>
      </c>
      <c r="B31" s="319" t="s">
        <v>10</v>
      </c>
      <c r="C31" s="727">
        <v>-0.34138993340532159</v>
      </c>
      <c r="D31" s="728">
        <v>-0.27934170748511533</v>
      </c>
      <c r="E31" s="728">
        <v>-0.36692201579589362</v>
      </c>
      <c r="F31" s="728">
        <v>-0.37978792987782556</v>
      </c>
      <c r="G31" s="729">
        <v>-0.34474580194271104</v>
      </c>
    </row>
    <row r="32" spans="1:7" ht="15">
      <c r="A32" s="318">
        <v>20</v>
      </c>
      <c r="B32" s="319" t="s">
        <v>11</v>
      </c>
      <c r="C32" s="727">
        <v>-0.36110630196706561</v>
      </c>
      <c r="D32" s="728">
        <v>-0.28225174407941594</v>
      </c>
      <c r="E32" s="728">
        <v>-0.37399954704356847</v>
      </c>
      <c r="F32" s="728">
        <v>-0.38733587196535141</v>
      </c>
      <c r="G32" s="729">
        <v>-0.34992443139035917</v>
      </c>
    </row>
    <row r="33" spans="1:12" ht="15">
      <c r="A33" s="310"/>
      <c r="B33" s="311" t="s">
        <v>12</v>
      </c>
      <c r="C33" s="730"/>
      <c r="D33" s="730"/>
      <c r="E33" s="730"/>
      <c r="F33" s="730"/>
      <c r="G33" s="731"/>
    </row>
    <row r="34" spans="1:12" ht="15">
      <c r="A34" s="318">
        <v>21</v>
      </c>
      <c r="B34" s="319" t="s">
        <v>13</v>
      </c>
      <c r="C34" s="727">
        <v>0</v>
      </c>
      <c r="D34" s="728">
        <v>0</v>
      </c>
      <c r="E34" s="728">
        <v>0</v>
      </c>
      <c r="F34" s="728">
        <v>0</v>
      </c>
      <c r="G34" s="729">
        <v>0</v>
      </c>
    </row>
    <row r="35" spans="1:12" ht="15" customHeight="1">
      <c r="A35" s="318">
        <v>22</v>
      </c>
      <c r="B35" s="319" t="s">
        <v>917</v>
      </c>
      <c r="C35" s="727">
        <v>0</v>
      </c>
      <c r="D35" s="728">
        <v>0</v>
      </c>
      <c r="E35" s="728">
        <v>0</v>
      </c>
      <c r="F35" s="728">
        <v>0</v>
      </c>
      <c r="G35" s="729">
        <v>0</v>
      </c>
    </row>
    <row r="36" spans="1:12" ht="15">
      <c r="A36" s="318">
        <v>23</v>
      </c>
      <c r="B36" s="319" t="s">
        <v>14</v>
      </c>
      <c r="C36" s="727">
        <v>0</v>
      </c>
      <c r="D36" s="728">
        <v>0</v>
      </c>
      <c r="E36" s="728">
        <v>0</v>
      </c>
      <c r="F36" s="728">
        <v>0</v>
      </c>
      <c r="G36" s="729">
        <v>0</v>
      </c>
    </row>
    <row r="37" spans="1:12" ht="15" customHeight="1">
      <c r="A37" s="318">
        <v>24</v>
      </c>
      <c r="B37" s="319" t="s">
        <v>15</v>
      </c>
      <c r="C37" s="727">
        <v>6.8892733556579724E-2</v>
      </c>
      <c r="D37" s="728">
        <v>1.4563350743552953E-2</v>
      </c>
      <c r="E37" s="728">
        <v>1.8727704934261236E-2</v>
      </c>
      <c r="F37" s="728">
        <v>2.8260929874202909E-2</v>
      </c>
      <c r="G37" s="729">
        <v>5.0940048602380196E-4</v>
      </c>
    </row>
    <row r="38" spans="1:12" ht="15">
      <c r="A38" s="318">
        <v>25</v>
      </c>
      <c r="B38" s="319" t="s">
        <v>16</v>
      </c>
      <c r="C38" s="727">
        <v>0</v>
      </c>
      <c r="D38" s="728">
        <v>0</v>
      </c>
      <c r="E38" s="728">
        <v>0</v>
      </c>
      <c r="F38" s="728">
        <v>0</v>
      </c>
      <c r="G38" s="729">
        <v>0</v>
      </c>
    </row>
    <row r="39" spans="1:12" ht="15" customHeight="1">
      <c r="A39" s="310"/>
      <c r="B39" s="311" t="s">
        <v>17</v>
      </c>
      <c r="C39" s="730"/>
      <c r="D39" s="730"/>
      <c r="E39" s="730"/>
      <c r="F39" s="730"/>
      <c r="G39" s="731"/>
    </row>
    <row r="40" spans="1:12" ht="15" customHeight="1">
      <c r="A40" s="318">
        <v>26</v>
      </c>
      <c r="B40" s="319" t="s">
        <v>18</v>
      </c>
      <c r="C40" s="727">
        <v>0.26980594284217729</v>
      </c>
      <c r="D40" s="727">
        <v>0.44051015960863127</v>
      </c>
      <c r="E40" s="727">
        <v>0.5673184726188224</v>
      </c>
      <c r="F40" s="727">
        <v>0.23851385967810368</v>
      </c>
      <c r="G40" s="732">
        <v>0.21896061864705296</v>
      </c>
    </row>
    <row r="41" spans="1:12" ht="15" customHeight="1">
      <c r="A41" s="318">
        <v>27</v>
      </c>
      <c r="B41" s="319" t="s">
        <v>19</v>
      </c>
      <c r="C41" s="727">
        <v>0.67036249691754324</v>
      </c>
      <c r="D41" s="727">
        <v>0.3000056713944726</v>
      </c>
      <c r="E41" s="727">
        <v>0.3754316065332976</v>
      </c>
      <c r="F41" s="727">
        <v>1.2286592183887279E-2</v>
      </c>
      <c r="G41" s="732">
        <v>0.23486876136596832</v>
      </c>
    </row>
    <row r="42" spans="1:12" ht="15" customHeight="1">
      <c r="A42" s="318">
        <v>28</v>
      </c>
      <c r="B42" s="320" t="s">
        <v>20</v>
      </c>
      <c r="C42" s="727">
        <v>1.0818190187406871E-2</v>
      </c>
      <c r="D42" s="727">
        <v>7.443843466049949E-3</v>
      </c>
      <c r="E42" s="727">
        <v>2.1301951098553679E-4</v>
      </c>
      <c r="F42" s="727">
        <v>4.9987071298571099E-5</v>
      </c>
      <c r="G42" s="732">
        <v>0</v>
      </c>
    </row>
    <row r="43" spans="1:12" ht="15" customHeight="1">
      <c r="A43" s="321"/>
      <c r="B43" s="311" t="s">
        <v>344</v>
      </c>
      <c r="C43" s="730"/>
      <c r="D43" s="730"/>
      <c r="E43" s="730"/>
      <c r="F43" s="730"/>
      <c r="G43" s="731"/>
      <c r="K43" s="800"/>
    </row>
    <row r="44" spans="1:12" ht="15" customHeight="1">
      <c r="A44" s="318">
        <v>29</v>
      </c>
      <c r="B44" s="363" t="s">
        <v>328</v>
      </c>
      <c r="C44" s="727">
        <v>0</v>
      </c>
      <c r="D44" s="727">
        <v>0</v>
      </c>
      <c r="E44" s="727">
        <v>0</v>
      </c>
      <c r="F44" s="727">
        <v>0</v>
      </c>
      <c r="G44" s="732">
        <v>0</v>
      </c>
      <c r="K44" s="800"/>
      <c r="L44" s="801"/>
    </row>
    <row r="45" spans="1:12" ht="15">
      <c r="A45" s="318">
        <v>30</v>
      </c>
      <c r="B45" s="319" t="s">
        <v>329</v>
      </c>
      <c r="C45" s="727">
        <v>0</v>
      </c>
      <c r="D45" s="728">
        <v>0</v>
      </c>
      <c r="E45" s="728">
        <v>0</v>
      </c>
      <c r="F45" s="728">
        <v>0</v>
      </c>
      <c r="G45" s="729">
        <v>0</v>
      </c>
      <c r="K45" s="800"/>
      <c r="L45" s="801"/>
    </row>
    <row r="46" spans="1:12" ht="15">
      <c r="A46" s="361">
        <v>31</v>
      </c>
      <c r="B46" s="362" t="s">
        <v>327</v>
      </c>
      <c r="C46" s="727">
        <v>0</v>
      </c>
      <c r="D46" s="727">
        <v>0</v>
      </c>
      <c r="E46" s="727">
        <v>0</v>
      </c>
      <c r="F46" s="727">
        <v>0</v>
      </c>
      <c r="G46" s="732">
        <v>0</v>
      </c>
      <c r="K46" s="800"/>
      <c r="L46" s="801"/>
    </row>
    <row r="47" spans="1:12" ht="15">
      <c r="A47" s="361"/>
      <c r="B47" s="311" t="s">
        <v>422</v>
      </c>
      <c r="C47" s="730"/>
      <c r="D47" s="730"/>
      <c r="E47" s="730"/>
      <c r="F47" s="730"/>
      <c r="G47" s="731"/>
      <c r="K47" s="802"/>
      <c r="L47" s="802"/>
    </row>
    <row r="48" spans="1:12" ht="15">
      <c r="A48" s="361">
        <v>32</v>
      </c>
      <c r="B48" s="362" t="s">
        <v>429</v>
      </c>
      <c r="C48" s="734">
        <v>23195432.989999998</v>
      </c>
      <c r="D48" s="735">
        <v>26399539.762389999</v>
      </c>
      <c r="E48" s="735">
        <v>25008292.989999998</v>
      </c>
      <c r="F48" s="735">
        <v>8009319</v>
      </c>
      <c r="G48" s="736">
        <v>10657680</v>
      </c>
      <c r="L48" s="764"/>
    </row>
    <row r="49" spans="1:12" ht="15">
      <c r="A49" s="361">
        <v>33</v>
      </c>
      <c r="B49" s="362" t="s">
        <v>442</v>
      </c>
      <c r="C49" s="734">
        <v>13600130.58</v>
      </c>
      <c r="D49" s="735">
        <v>11635046.271300003</v>
      </c>
      <c r="E49" s="735">
        <v>10664731.289999999</v>
      </c>
      <c r="F49" s="735">
        <v>3061980</v>
      </c>
      <c r="G49" s="736">
        <v>5300493.59</v>
      </c>
      <c r="L49" s="764"/>
    </row>
    <row r="50" spans="1:12" thickBot="1">
      <c r="A50" s="71">
        <v>34</v>
      </c>
      <c r="B50" s="149" t="s">
        <v>456</v>
      </c>
      <c r="C50" s="733">
        <f>C48/C49</f>
        <v>1.7055301677846095</v>
      </c>
      <c r="D50" s="733">
        <f t="shared" ref="D50:G50" si="0">D48/D49</f>
        <v>2.2689673205262064</v>
      </c>
      <c r="E50" s="733">
        <f t="shared" si="0"/>
        <v>2.3449529397378752</v>
      </c>
      <c r="F50" s="733">
        <f t="shared" si="0"/>
        <v>2.6157319773479903</v>
      </c>
      <c r="G50" s="733">
        <f t="shared" si="0"/>
        <v>2.0106957623921966</v>
      </c>
    </row>
    <row r="51" spans="1:12">
      <c r="A51" s="20"/>
    </row>
    <row r="52" spans="1:12">
      <c r="B52" s="23"/>
    </row>
    <row r="53" spans="1:12" ht="65.25">
      <c r="B53" s="244" t="s">
        <v>343</v>
      </c>
      <c r="D53" s="221"/>
      <c r="E53" s="221"/>
      <c r="F53" s="221"/>
      <c r="G53" s="221"/>
    </row>
  </sheetData>
  <mergeCells count="1">
    <mergeCell ref="D4:G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topLeftCell="A32" zoomScale="121" zoomScaleNormal="80" workbookViewId="0">
      <selection activeCell="C36" sqref="C36"/>
    </sheetView>
  </sheetViews>
  <sheetFormatPr defaultRowHeight="15"/>
  <cols>
    <col min="1" max="1" width="11.42578125" customWidth="1"/>
    <col min="2" max="2" width="76.85546875" style="4" customWidth="1"/>
    <col min="3" max="3" width="22.85546875" customWidth="1"/>
  </cols>
  <sheetData>
    <row r="1" spans="1:3">
      <c r="A1" s="221" t="s">
        <v>97</v>
      </c>
      <c r="B1" t="str">
        <f>Info!C2</f>
        <v>სს "ჰეშ ბანკი"</v>
      </c>
    </row>
    <row r="2" spans="1:3">
      <c r="A2" s="221" t="s">
        <v>98</v>
      </c>
      <c r="B2" s="726">
        <f>'1. key ratios'!B2</f>
        <v>45838</v>
      </c>
    </row>
    <row r="3" spans="1:3">
      <c r="A3" s="221"/>
      <c r="B3"/>
    </row>
    <row r="4" spans="1:3">
      <c r="A4" s="221" t="s">
        <v>406</v>
      </c>
      <c r="B4" t="s">
        <v>375</v>
      </c>
    </row>
    <row r="5" spans="1:3">
      <c r="A5" s="681"/>
      <c r="B5" s="681" t="s">
        <v>376</v>
      </c>
      <c r="C5" s="682"/>
    </row>
    <row r="6" spans="1:3">
      <c r="A6" s="683">
        <v>1</v>
      </c>
      <c r="B6" s="684" t="s">
        <v>376</v>
      </c>
      <c r="C6" s="685">
        <f>'7. LI1'!C37</f>
        <v>37235988</v>
      </c>
    </row>
    <row r="7" spans="1:3">
      <c r="A7" s="683">
        <v>2</v>
      </c>
      <c r="B7" s="684" t="s">
        <v>377</v>
      </c>
      <c r="C7" s="685">
        <v>-5342957</v>
      </c>
    </row>
    <row r="8" spans="1:3">
      <c r="A8" s="686">
        <v>3</v>
      </c>
      <c r="B8" s="687" t="s">
        <v>378</v>
      </c>
      <c r="C8" s="688">
        <f>C7+C6</f>
        <v>31893031</v>
      </c>
    </row>
    <row r="9" spans="1:3">
      <c r="A9" s="689"/>
      <c r="B9" s="689" t="s">
        <v>379</v>
      </c>
      <c r="C9" s="690"/>
    </row>
    <row r="10" spans="1:3">
      <c r="A10" s="691">
        <v>4</v>
      </c>
      <c r="B10" s="692" t="s">
        <v>380</v>
      </c>
      <c r="C10" s="685">
        <f>'15. CCR'!F34*0</f>
        <v>0</v>
      </c>
    </row>
    <row r="11" spans="1:3">
      <c r="A11" s="691">
        <v>5</v>
      </c>
      <c r="B11" s="693" t="s">
        <v>381</v>
      </c>
      <c r="C11" s="685">
        <f>'15. CCR'!G34*0</f>
        <v>0</v>
      </c>
    </row>
    <row r="12" spans="1:3">
      <c r="A12" s="691">
        <v>6</v>
      </c>
      <c r="B12" s="694" t="s">
        <v>979</v>
      </c>
      <c r="C12" s="688">
        <f>'15. CCR'!I34</f>
        <v>0</v>
      </c>
    </row>
    <row r="13" spans="1:3">
      <c r="A13" s="695">
        <v>7</v>
      </c>
      <c r="B13" s="696" t="s">
        <v>382</v>
      </c>
      <c r="C13" s="685">
        <f>'15. CCR'!E34*0</f>
        <v>0</v>
      </c>
    </row>
    <row r="14" spans="1:3">
      <c r="A14" s="697">
        <v>8</v>
      </c>
      <c r="B14" s="698" t="s">
        <v>383</v>
      </c>
      <c r="C14" s="688">
        <f>C12</f>
        <v>0</v>
      </c>
    </row>
    <row r="15" spans="1:3">
      <c r="A15" s="689"/>
      <c r="B15" s="689" t="s">
        <v>384</v>
      </c>
      <c r="C15" s="699"/>
    </row>
    <row r="16" spans="1:3">
      <c r="A16" s="695">
        <v>9</v>
      </c>
      <c r="B16" s="700" t="s">
        <v>385</v>
      </c>
      <c r="C16" s="685"/>
    </row>
    <row r="17" spans="1:3">
      <c r="A17" s="691">
        <v>10</v>
      </c>
      <c r="B17" s="684" t="s">
        <v>386</v>
      </c>
      <c r="C17" s="685"/>
    </row>
    <row r="18" spans="1:3">
      <c r="A18" s="691">
        <v>11</v>
      </c>
      <c r="B18" s="684" t="s">
        <v>387</v>
      </c>
      <c r="C18" s="685"/>
    </row>
    <row r="19" spans="1:3" ht="24">
      <c r="A19" s="695">
        <v>12</v>
      </c>
      <c r="B19" s="700" t="s">
        <v>388</v>
      </c>
      <c r="C19" s="685"/>
    </row>
    <row r="20" spans="1:3">
      <c r="A20" s="695">
        <v>13</v>
      </c>
      <c r="B20" s="700" t="s">
        <v>389</v>
      </c>
      <c r="C20" s="685"/>
    </row>
    <row r="21" spans="1:3">
      <c r="A21" s="695">
        <v>14</v>
      </c>
      <c r="B21" s="684" t="s">
        <v>390</v>
      </c>
      <c r="C21" s="685"/>
    </row>
    <row r="22" spans="1:3">
      <c r="A22" s="697">
        <v>15</v>
      </c>
      <c r="B22" s="698" t="s">
        <v>391</v>
      </c>
      <c r="C22" s="688">
        <f>SUM(C16:C21)</f>
        <v>0</v>
      </c>
    </row>
    <row r="23" spans="1:3">
      <c r="A23" s="689"/>
      <c r="B23" s="689" t="s">
        <v>392</v>
      </c>
      <c r="C23" s="690"/>
    </row>
    <row r="24" spans="1:3">
      <c r="A24" s="691">
        <v>16</v>
      </c>
      <c r="B24" s="684" t="s">
        <v>393</v>
      </c>
      <c r="C24" s="685"/>
    </row>
    <row r="25" spans="1:3">
      <c r="A25" s="691">
        <v>17</v>
      </c>
      <c r="B25" s="684" t="s">
        <v>394</v>
      </c>
      <c r="C25" s="685"/>
    </row>
    <row r="26" spans="1:3">
      <c r="A26" s="697">
        <v>18</v>
      </c>
      <c r="B26" s="698" t="s">
        <v>395</v>
      </c>
      <c r="C26" s="688">
        <f>C24+C25</f>
        <v>0</v>
      </c>
    </row>
    <row r="27" spans="1:3">
      <c r="A27" s="689"/>
      <c r="B27" s="689" t="s">
        <v>396</v>
      </c>
      <c r="C27" s="699"/>
    </row>
    <row r="28" spans="1:3">
      <c r="A28" s="691">
        <v>19</v>
      </c>
      <c r="B28" s="684" t="s">
        <v>397</v>
      </c>
      <c r="C28" s="685"/>
    </row>
    <row r="29" spans="1:3">
      <c r="A29" s="691">
        <v>20</v>
      </c>
      <c r="B29" s="684" t="s">
        <v>398</v>
      </c>
      <c r="C29" s="685"/>
    </row>
    <row r="30" spans="1:3">
      <c r="A30" s="689"/>
      <c r="B30" s="689" t="s">
        <v>399</v>
      </c>
      <c r="C30" s="690"/>
    </row>
    <row r="31" spans="1:3">
      <c r="A31" s="697">
        <v>21</v>
      </c>
      <c r="B31" s="698" t="s">
        <v>75</v>
      </c>
      <c r="C31" s="688">
        <f>'1. key ratios'!C9</f>
        <v>22814001</v>
      </c>
    </row>
    <row r="32" spans="1:3">
      <c r="A32" s="697">
        <v>22</v>
      </c>
      <c r="B32" s="698" t="s">
        <v>400</v>
      </c>
      <c r="C32" s="688">
        <f>C8+C14+C22+C26</f>
        <v>31893031</v>
      </c>
    </row>
    <row r="33" spans="1:3">
      <c r="A33" s="701"/>
      <c r="B33" s="701" t="s">
        <v>375</v>
      </c>
      <c r="C33" s="690"/>
    </row>
    <row r="34" spans="1:3">
      <c r="A34" s="697">
        <v>23</v>
      </c>
      <c r="B34" s="698" t="s">
        <v>375</v>
      </c>
      <c r="C34" s="766">
        <f>IFERROR(C31/C32,0)</f>
        <v>0.71532871867838466</v>
      </c>
    </row>
    <row r="35" spans="1:3">
      <c r="A35" s="701"/>
      <c r="B35" s="701" t="s">
        <v>401</v>
      </c>
      <c r="C35" s="690"/>
    </row>
    <row r="36" spans="1:3">
      <c r="A36" s="695" t="s">
        <v>402</v>
      </c>
      <c r="B36" s="700" t="s">
        <v>403</v>
      </c>
      <c r="C36" s="702"/>
    </row>
    <row r="37" spans="1:3">
      <c r="A37" s="703" t="s">
        <v>404</v>
      </c>
      <c r="B37" s="704" t="s">
        <v>405</v>
      </c>
      <c r="C37" s="702"/>
    </row>
    <row r="39" spans="1:3">
      <c r="B39" s="286"/>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f>[6]Info!C2</f>
        <v>0</v>
      </c>
    </row>
    <row r="2" spans="1:6">
      <c r="A2" s="221" t="s">
        <v>98</v>
      </c>
      <c r="B2" s="726">
        <f>'[6]1. key ratios'!B2</f>
        <v>45747</v>
      </c>
    </row>
    <row r="3" spans="1:6">
      <c r="A3" s="221"/>
      <c r="B3"/>
    </row>
    <row r="4" spans="1:6">
      <c r="A4" s="680" t="s">
        <v>971</v>
      </c>
    </row>
    <row r="5" spans="1:6" ht="105">
      <c r="B5" s="674"/>
      <c r="C5" s="675" t="s">
        <v>972</v>
      </c>
      <c r="D5" s="675" t="s">
        <v>973</v>
      </c>
      <c r="E5" s="675" t="s">
        <v>974</v>
      </c>
      <c r="F5" s="675" t="s">
        <v>975</v>
      </c>
    </row>
    <row r="6" spans="1:6">
      <c r="B6" s="676" t="s">
        <v>970</v>
      </c>
      <c r="C6" s="677" t="b">
        <f>IF(C7&gt;0,C7,IF(C8&gt;0,C8,IF(C9&gt;0,C9)))</f>
        <v>0</v>
      </c>
      <c r="D6" s="677" t="b">
        <f>IF(D7&gt;0,D7,IF(D8&gt;0,D8,IF(D9&gt;0,D9)))</f>
        <v>0</v>
      </c>
      <c r="E6" s="677" t="b">
        <f>IF(E7&gt;0,E7,IF(E8&gt;0,E8,IF(E9&gt;0,E9)))</f>
        <v>0</v>
      </c>
      <c r="F6" s="677" t="b">
        <f>IF(F7&gt;0,F7,IF(F8&gt;0,F8,IF(F9&gt;0,F9)))</f>
        <v>0</v>
      </c>
    </row>
    <row r="7" spans="1:6">
      <c r="B7" s="678" t="s">
        <v>976</v>
      </c>
      <c r="C7" s="679"/>
      <c r="D7" s="679"/>
      <c r="E7" s="679"/>
      <c r="F7" s="679"/>
    </row>
    <row r="8" spans="1:6">
      <c r="B8" s="678" t="s">
        <v>977</v>
      </c>
      <c r="C8" s="679"/>
      <c r="D8" s="679"/>
      <c r="E8" s="679"/>
      <c r="F8" s="679"/>
    </row>
    <row r="9" spans="1:6">
      <c r="B9" s="678" t="s">
        <v>978</v>
      </c>
      <c r="C9" s="679"/>
      <c r="D9" s="679"/>
      <c r="E9" s="679"/>
      <c r="F9" s="679"/>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0" activePane="bottomRight" state="frozen"/>
      <selection activeCell="B2" sqref="B2"/>
      <selection pane="topRight" activeCell="B2" sqref="B2"/>
      <selection pane="bottomLeft" activeCell="B2" sqref="B2"/>
      <selection pane="bottomRight" activeCell="F33" sqref="F33:G33"/>
    </sheetView>
  </sheetViews>
  <sheetFormatPr defaultRowHeight="15"/>
  <cols>
    <col min="1" max="1" width="9.85546875" style="221" bestFit="1" customWidth="1"/>
    <col min="2" max="2" width="82.5703125" style="23" customWidth="1"/>
    <col min="3" max="7" width="17.5703125" style="221" customWidth="1"/>
  </cols>
  <sheetData>
    <row r="1" spans="1:7">
      <c r="A1" s="221" t="s">
        <v>97</v>
      </c>
      <c r="B1" s="221" t="str">
        <f>Info!C2</f>
        <v>სს "ჰეშ ბანკი"</v>
      </c>
    </row>
    <row r="2" spans="1:7">
      <c r="A2" s="221" t="s">
        <v>98</v>
      </c>
      <c r="B2" s="726">
        <f>'1. key ratios'!B2</f>
        <v>45838</v>
      </c>
    </row>
    <row r="3" spans="1:7">
      <c r="B3" s="322"/>
    </row>
    <row r="4" spans="1:7" ht="15.75" thickBot="1">
      <c r="A4" s="221" t="s">
        <v>457</v>
      </c>
      <c r="B4" s="326" t="s">
        <v>422</v>
      </c>
    </row>
    <row r="5" spans="1:7">
      <c r="A5" s="327"/>
      <c r="B5" s="328"/>
      <c r="C5" s="883" t="s">
        <v>423</v>
      </c>
      <c r="D5" s="883"/>
      <c r="E5" s="883"/>
      <c r="F5" s="883"/>
      <c r="G5" s="884" t="s">
        <v>424</v>
      </c>
    </row>
    <row r="6" spans="1:7">
      <c r="A6" s="329"/>
      <c r="B6" s="330"/>
      <c r="C6" s="331" t="s">
        <v>425</v>
      </c>
      <c r="D6" s="332" t="s">
        <v>426</v>
      </c>
      <c r="E6" s="332" t="s">
        <v>427</v>
      </c>
      <c r="F6" s="332" t="s">
        <v>428</v>
      </c>
      <c r="G6" s="885"/>
    </row>
    <row r="7" spans="1:7">
      <c r="A7" s="333"/>
      <c r="B7" s="334" t="s">
        <v>429</v>
      </c>
      <c r="C7" s="335"/>
      <c r="D7" s="335"/>
      <c r="E7" s="335"/>
      <c r="F7" s="335"/>
      <c r="G7" s="336"/>
    </row>
    <row r="8" spans="1:7">
      <c r="A8" s="337">
        <v>1</v>
      </c>
      <c r="B8" s="338" t="s">
        <v>430</v>
      </c>
      <c r="C8" s="339">
        <f>SUM(C9:C10)</f>
        <v>22814001</v>
      </c>
      <c r="D8" s="339">
        <f>SUM(D9:D10)</f>
        <v>0</v>
      </c>
      <c r="E8" s="339">
        <f>SUM(E9:E10)</f>
        <v>0</v>
      </c>
      <c r="F8" s="339">
        <f>SUM(F9:F10)</f>
        <v>0</v>
      </c>
      <c r="G8" s="340">
        <f>SUM(G9:G10)</f>
        <v>22814001</v>
      </c>
    </row>
    <row r="9" spans="1:7">
      <c r="A9" s="337">
        <v>2</v>
      </c>
      <c r="B9" s="341" t="s">
        <v>74</v>
      </c>
      <c r="C9" s="767">
        <v>22814001</v>
      </c>
      <c r="D9" s="339"/>
      <c r="E9" s="339"/>
      <c r="F9" s="339"/>
      <c r="G9" s="340">
        <f>C9</f>
        <v>22814001</v>
      </c>
    </row>
    <row r="10" spans="1:7">
      <c r="A10" s="337">
        <v>3</v>
      </c>
      <c r="B10" s="341" t="s">
        <v>431</v>
      </c>
      <c r="C10" s="342"/>
      <c r="D10" s="342"/>
      <c r="E10" s="342"/>
      <c r="F10" s="339"/>
      <c r="G10" s="340"/>
    </row>
    <row r="11" spans="1:7" ht="26.25">
      <c r="A11" s="337">
        <v>4</v>
      </c>
      <c r="B11" s="338" t="s">
        <v>432</v>
      </c>
      <c r="C11" s="339">
        <f t="shared" ref="C11:F11" si="0">SUM(C12:C13)</f>
        <v>402825.91119999997</v>
      </c>
      <c r="D11" s="339">
        <f t="shared" si="0"/>
        <v>0</v>
      </c>
      <c r="E11" s="339">
        <f t="shared" si="0"/>
        <v>0</v>
      </c>
      <c r="F11" s="339">
        <f t="shared" si="0"/>
        <v>0</v>
      </c>
      <c r="G11" s="340">
        <f>SUM(G12:G13)</f>
        <v>381431.99194999994</v>
      </c>
    </row>
    <row r="12" spans="1:7">
      <c r="A12" s="337">
        <v>5</v>
      </c>
      <c r="B12" s="341" t="s">
        <v>433</v>
      </c>
      <c r="C12" s="767">
        <v>400042.30299999996</v>
      </c>
      <c r="D12" s="343"/>
      <c r="E12" s="339"/>
      <c r="F12" s="339"/>
      <c r="G12" s="340">
        <v>380040.18784999993</v>
      </c>
    </row>
    <row r="13" spans="1:7">
      <c r="A13" s="337">
        <v>6</v>
      </c>
      <c r="B13" s="341" t="s">
        <v>434</v>
      </c>
      <c r="C13" s="767">
        <v>2783.6081999999997</v>
      </c>
      <c r="D13" s="343"/>
      <c r="E13" s="339"/>
      <c r="F13" s="339"/>
      <c r="G13" s="340">
        <v>1391.8040999999998</v>
      </c>
    </row>
    <row r="14" spans="1:7">
      <c r="A14" s="337">
        <v>7</v>
      </c>
      <c r="B14" s="338" t="s">
        <v>435</v>
      </c>
      <c r="C14" s="339">
        <f t="shared" ref="C14:F14" si="1">SUM(C15:C16)</f>
        <v>0</v>
      </c>
      <c r="D14" s="339">
        <f t="shared" si="1"/>
        <v>0</v>
      </c>
      <c r="E14" s="339">
        <f t="shared" si="1"/>
        <v>0</v>
      </c>
      <c r="F14" s="339">
        <f t="shared" si="1"/>
        <v>0</v>
      </c>
      <c r="G14" s="340">
        <f>SUM(G15:G16)</f>
        <v>0</v>
      </c>
    </row>
    <row r="15" spans="1:7" ht="51.75">
      <c r="A15" s="337">
        <v>8</v>
      </c>
      <c r="B15" s="341" t="s">
        <v>436</v>
      </c>
      <c r="C15" s="339"/>
      <c r="D15" s="343"/>
      <c r="E15" s="339"/>
      <c r="F15" s="339"/>
      <c r="G15" s="340"/>
    </row>
    <row r="16" spans="1:7" ht="26.25">
      <c r="A16" s="337">
        <v>9</v>
      </c>
      <c r="B16" s="341" t="s">
        <v>437</v>
      </c>
      <c r="C16" s="339"/>
      <c r="D16" s="343"/>
      <c r="E16" s="339"/>
      <c r="F16" s="339"/>
      <c r="G16" s="340"/>
    </row>
    <row r="17" spans="1:7">
      <c r="A17" s="337">
        <v>10</v>
      </c>
      <c r="B17" s="338" t="s">
        <v>438</v>
      </c>
      <c r="C17" s="339"/>
      <c r="D17" s="343"/>
      <c r="E17" s="339"/>
      <c r="F17" s="339"/>
      <c r="G17" s="340"/>
    </row>
    <row r="18" spans="1:7">
      <c r="A18" s="337">
        <v>11</v>
      </c>
      <c r="B18" s="338" t="s">
        <v>78</v>
      </c>
      <c r="C18" s="339">
        <f>SUM(C19:C20)</f>
        <v>3125204.0888</v>
      </c>
      <c r="D18" s="343">
        <f t="shared" ref="D18:G18" si="2">SUM(D19:D20)</f>
        <v>0</v>
      </c>
      <c r="E18" s="339">
        <f t="shared" si="2"/>
        <v>0</v>
      </c>
      <c r="F18" s="339">
        <f t="shared" si="2"/>
        <v>0</v>
      </c>
      <c r="G18" s="340">
        <f t="shared" si="2"/>
        <v>0</v>
      </c>
    </row>
    <row r="19" spans="1:7">
      <c r="A19" s="337">
        <v>12</v>
      </c>
      <c r="B19" s="341" t="s">
        <v>439</v>
      </c>
      <c r="C19" s="342"/>
      <c r="D19" s="343"/>
      <c r="E19" s="339"/>
      <c r="F19" s="339"/>
      <c r="G19" s="340"/>
    </row>
    <row r="20" spans="1:7" ht="26.25">
      <c r="A20" s="337">
        <v>13</v>
      </c>
      <c r="B20" s="341" t="s">
        <v>440</v>
      </c>
      <c r="C20" s="767">
        <v>3125204.0888</v>
      </c>
      <c r="D20" s="339"/>
      <c r="E20" s="339"/>
      <c r="F20" s="339"/>
      <c r="G20" s="340"/>
    </row>
    <row r="21" spans="1:7">
      <c r="A21" s="344">
        <v>14</v>
      </c>
      <c r="B21" s="345" t="s">
        <v>441</v>
      </c>
      <c r="C21" s="342"/>
      <c r="D21" s="342"/>
      <c r="E21" s="342"/>
      <c r="F21" s="342"/>
      <c r="G21" s="346">
        <f>SUM(G8,G11,G14,G17,G18)</f>
        <v>23195432.991950002</v>
      </c>
    </row>
    <row r="22" spans="1:7">
      <c r="A22" s="347"/>
      <c r="B22" s="364" t="s">
        <v>442</v>
      </c>
      <c r="C22" s="348"/>
      <c r="D22" s="349"/>
      <c r="E22" s="348"/>
      <c r="F22" s="348"/>
      <c r="G22" s="350"/>
    </row>
    <row r="23" spans="1:7">
      <c r="A23" s="337">
        <v>15</v>
      </c>
      <c r="B23" s="338" t="s">
        <v>310</v>
      </c>
      <c r="C23" s="351">
        <v>4322825</v>
      </c>
      <c r="D23" s="352">
        <f>4322825.07-C23</f>
        <v>7.0000000298023224E-2</v>
      </c>
      <c r="E23" s="351"/>
      <c r="F23" s="351"/>
      <c r="G23" s="340">
        <v>187800.25</v>
      </c>
    </row>
    <row r="24" spans="1:7">
      <c r="A24" s="337">
        <v>16</v>
      </c>
      <c r="B24" s="338" t="s">
        <v>443</v>
      </c>
      <c r="C24" s="339">
        <f>SUM(C25:C27,C29,C31)</f>
        <v>0</v>
      </c>
      <c r="D24" s="343">
        <f t="shared" ref="D24:G24" si="3">SUM(D25:D27,D29,D31)</f>
        <v>22942156</v>
      </c>
      <c r="E24" s="339">
        <f t="shared" si="3"/>
        <v>0</v>
      </c>
      <c r="F24" s="339">
        <f t="shared" si="3"/>
        <v>0</v>
      </c>
      <c r="G24" s="340">
        <f t="shared" si="3"/>
        <v>3441323.4</v>
      </c>
    </row>
    <row r="25" spans="1:7" ht="26.25">
      <c r="A25" s="337">
        <v>17</v>
      </c>
      <c r="B25" s="341" t="s">
        <v>444</v>
      </c>
      <c r="C25" s="339"/>
      <c r="D25" s="343"/>
      <c r="E25" s="339"/>
      <c r="F25" s="339"/>
      <c r="G25" s="340"/>
    </row>
    <row r="26" spans="1:7" ht="26.25">
      <c r="A26" s="337">
        <v>18</v>
      </c>
      <c r="B26" s="341" t="s">
        <v>445</v>
      </c>
      <c r="C26" s="339"/>
      <c r="D26" s="343"/>
      <c r="E26" s="339"/>
      <c r="F26" s="339"/>
      <c r="G26" s="340"/>
    </row>
    <row r="27" spans="1:7">
      <c r="A27" s="337">
        <v>19</v>
      </c>
      <c r="B27" s="341" t="s">
        <v>446</v>
      </c>
      <c r="C27" s="339"/>
      <c r="D27" s="343"/>
      <c r="E27" s="339"/>
      <c r="F27" s="339"/>
      <c r="G27" s="340"/>
    </row>
    <row r="28" spans="1:7">
      <c r="A28" s="337">
        <v>20</v>
      </c>
      <c r="B28" s="353" t="s">
        <v>447</v>
      </c>
      <c r="C28" s="339"/>
      <c r="D28" s="343"/>
      <c r="E28" s="339"/>
      <c r="F28" s="339"/>
      <c r="G28" s="340"/>
    </row>
    <row r="29" spans="1:7">
      <c r="A29" s="337">
        <v>21</v>
      </c>
      <c r="B29" s="341" t="s">
        <v>448</v>
      </c>
      <c r="C29" s="339"/>
      <c r="D29" s="343"/>
      <c r="E29" s="339"/>
      <c r="F29" s="339"/>
      <c r="G29" s="340"/>
    </row>
    <row r="30" spans="1:7">
      <c r="A30" s="337">
        <v>22</v>
      </c>
      <c r="B30" s="353" t="s">
        <v>447</v>
      </c>
      <c r="C30" s="339"/>
      <c r="D30" s="343"/>
      <c r="E30" s="339"/>
      <c r="F30" s="339"/>
      <c r="G30" s="340"/>
    </row>
    <row r="31" spans="1:7" ht="26.25">
      <c r="A31" s="337">
        <v>23</v>
      </c>
      <c r="B31" s="341" t="s">
        <v>449</v>
      </c>
      <c r="C31" s="339"/>
      <c r="D31" s="343">
        <v>22942156</v>
      </c>
      <c r="E31" s="339"/>
      <c r="F31" s="339"/>
      <c r="G31" s="340">
        <v>3441323.4</v>
      </c>
    </row>
    <row r="32" spans="1:7">
      <c r="A32" s="337">
        <v>24</v>
      </c>
      <c r="B32" s="338" t="s">
        <v>450</v>
      </c>
      <c r="C32" s="339"/>
      <c r="D32" s="343"/>
      <c r="E32" s="339"/>
      <c r="F32" s="339"/>
      <c r="G32" s="340"/>
    </row>
    <row r="33" spans="1:7">
      <c r="A33" s="337">
        <v>25</v>
      </c>
      <c r="B33" s="338" t="s">
        <v>88</v>
      </c>
      <c r="C33" s="339">
        <f>SUM(C34:C35)</f>
        <v>9497170.2160000056</v>
      </c>
      <c r="D33" s="339">
        <f>SUM(D34:D35)</f>
        <v>0</v>
      </c>
      <c r="E33" s="339">
        <f>SUM(E34:E35)</f>
        <v>0</v>
      </c>
      <c r="F33" s="339">
        <f>SUM(F34:F35)</f>
        <v>329416</v>
      </c>
      <c r="G33" s="340">
        <f>SUM(G34:G35)</f>
        <v>9971006.9299999997</v>
      </c>
    </row>
    <row r="34" spans="1:7">
      <c r="A34" s="337">
        <v>26</v>
      </c>
      <c r="B34" s="341" t="s">
        <v>451</v>
      </c>
      <c r="C34" s="342"/>
      <c r="D34" s="343"/>
      <c r="E34" s="339"/>
      <c r="F34" s="339"/>
      <c r="G34" s="340"/>
    </row>
    <row r="35" spans="1:7">
      <c r="A35" s="337">
        <v>27</v>
      </c>
      <c r="B35" s="341" t="s">
        <v>452</v>
      </c>
      <c r="C35" s="339">
        <v>9497170.2160000056</v>
      </c>
      <c r="D35" s="343"/>
      <c r="E35" s="339"/>
      <c r="F35" s="339">
        <v>329416</v>
      </c>
      <c r="G35" s="340">
        <v>9971006.9299999997</v>
      </c>
    </row>
    <row r="36" spans="1:7">
      <c r="A36" s="337">
        <v>28</v>
      </c>
      <c r="B36" s="338" t="s">
        <v>453</v>
      </c>
      <c r="C36" s="339"/>
      <c r="D36" s="343"/>
      <c r="E36" s="339"/>
      <c r="F36" s="339"/>
      <c r="G36" s="340"/>
    </row>
    <row r="37" spans="1:7">
      <c r="A37" s="344">
        <v>29</v>
      </c>
      <c r="B37" s="345" t="s">
        <v>454</v>
      </c>
      <c r="C37" s="342"/>
      <c r="D37" s="342"/>
      <c r="E37" s="342"/>
      <c r="F37" s="342"/>
      <c r="G37" s="346">
        <f>SUM(G23:G24,G32:G33,G36)</f>
        <v>13600130.58</v>
      </c>
    </row>
    <row r="38" spans="1:7">
      <c r="A38" s="333"/>
      <c r="B38" s="354"/>
      <c r="C38" s="355"/>
      <c r="D38" s="355"/>
      <c r="E38" s="355"/>
      <c r="F38" s="355"/>
      <c r="G38" s="356"/>
    </row>
    <row r="39" spans="1:7" ht="15.75" thickBot="1">
      <c r="A39" s="357">
        <v>30</v>
      </c>
      <c r="B39" s="358" t="s">
        <v>422</v>
      </c>
      <c r="C39" s="234"/>
      <c r="D39" s="212"/>
      <c r="E39" s="212"/>
      <c r="F39" s="359"/>
      <c r="G39" s="360">
        <f>IFERROR(G21/G37,0)</f>
        <v>1.7055301679279906</v>
      </c>
    </row>
    <row r="42" spans="1:7" ht="39">
      <c r="B42" s="23" t="s">
        <v>455</v>
      </c>
    </row>
  </sheetData>
  <mergeCells count="2">
    <mergeCell ref="C5:F5"/>
    <mergeCell ref="G5:G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I32" sqref="I32"/>
    </sheetView>
  </sheetViews>
  <sheetFormatPr defaultColWidth="9.140625" defaultRowHeight="12.75"/>
  <cols>
    <col min="1" max="1" width="11.85546875" style="369" bestFit="1" customWidth="1"/>
    <col min="2" max="2" width="105.140625" style="369" bestFit="1" customWidth="1"/>
    <col min="3" max="3" width="13.85546875" style="369" bestFit="1" customWidth="1"/>
    <col min="4" max="4" width="15.7109375" style="369" bestFit="1" customWidth="1"/>
    <col min="5" max="5" width="17.5703125" style="369" bestFit="1" customWidth="1"/>
    <col min="6" max="6" width="9" style="369" bestFit="1" customWidth="1"/>
    <col min="7" max="7" width="30.42578125" style="369" customWidth="1"/>
    <col min="8" max="8" width="15.7109375" style="369" bestFit="1" customWidth="1"/>
    <col min="9" max="16384" width="9.140625" style="369"/>
  </cols>
  <sheetData>
    <row r="1" spans="1:8" ht="13.5">
      <c r="A1" s="368" t="s">
        <v>97</v>
      </c>
      <c r="B1" s="285" t="str">
        <f>Info!C2</f>
        <v>სს "ჰეშ ბანკი"</v>
      </c>
    </row>
    <row r="2" spans="1:8">
      <c r="A2" s="370" t="s">
        <v>98</v>
      </c>
      <c r="B2" s="741">
        <f>'1. key ratios'!B2</f>
        <v>45838</v>
      </c>
    </row>
    <row r="3" spans="1:8">
      <c r="A3" s="371" t="s">
        <v>462</v>
      </c>
    </row>
    <row r="5" spans="1:8">
      <c r="A5" s="886" t="s">
        <v>463</v>
      </c>
      <c r="B5" s="887"/>
      <c r="C5" s="892" t="s">
        <v>464</v>
      </c>
      <c r="D5" s="893"/>
      <c r="E5" s="893"/>
      <c r="F5" s="893"/>
      <c r="G5" s="893"/>
      <c r="H5" s="894"/>
    </row>
    <row r="6" spans="1:8">
      <c r="A6" s="888"/>
      <c r="B6" s="889"/>
      <c r="C6" s="895"/>
      <c r="D6" s="896"/>
      <c r="E6" s="896"/>
      <c r="F6" s="896"/>
      <c r="G6" s="896"/>
      <c r="H6" s="897"/>
    </row>
    <row r="7" spans="1:8" ht="25.5">
      <c r="A7" s="890"/>
      <c r="B7" s="891"/>
      <c r="C7" s="474" t="s">
        <v>465</v>
      </c>
      <c r="D7" s="474" t="s">
        <v>466</v>
      </c>
      <c r="E7" s="474" t="s">
        <v>467</v>
      </c>
      <c r="F7" s="474" t="s">
        <v>468</v>
      </c>
      <c r="G7" s="475" t="s">
        <v>648</v>
      </c>
      <c r="H7" s="474" t="s">
        <v>66</v>
      </c>
    </row>
    <row r="8" spans="1:8">
      <c r="A8" s="470">
        <v>1</v>
      </c>
      <c r="B8" s="469" t="s">
        <v>123</v>
      </c>
      <c r="C8" s="467"/>
      <c r="D8" s="770">
        <v>566820</v>
      </c>
      <c r="E8" s="770"/>
      <c r="F8" s="770"/>
      <c r="G8" s="770"/>
      <c r="H8" s="770">
        <f t="shared" ref="H8:H20" si="0">SUM(C8:G8)</f>
        <v>566820</v>
      </c>
    </row>
    <row r="9" spans="1:8">
      <c r="A9" s="470">
        <v>2</v>
      </c>
      <c r="B9" s="469" t="s">
        <v>124</v>
      </c>
      <c r="C9" s="467"/>
      <c r="D9" s="770">
        <v>0</v>
      </c>
      <c r="E9" s="770"/>
      <c r="F9" s="770"/>
      <c r="G9" s="770"/>
      <c r="H9" s="770">
        <f t="shared" si="0"/>
        <v>0</v>
      </c>
    </row>
    <row r="10" spans="1:8">
      <c r="A10" s="470">
        <v>3</v>
      </c>
      <c r="B10" s="469" t="s">
        <v>125</v>
      </c>
      <c r="C10" s="467"/>
      <c r="D10" s="770">
        <v>0</v>
      </c>
      <c r="E10" s="770"/>
      <c r="F10" s="770"/>
      <c r="G10" s="770"/>
      <c r="H10" s="770">
        <f t="shared" si="0"/>
        <v>0</v>
      </c>
    </row>
    <row r="11" spans="1:8">
      <c r="A11" s="470">
        <v>4</v>
      </c>
      <c r="B11" s="469" t="s">
        <v>126</v>
      </c>
      <c r="C11" s="467"/>
      <c r="D11" s="770">
        <v>0</v>
      </c>
      <c r="E11" s="770"/>
      <c r="F11" s="770"/>
      <c r="G11" s="770"/>
      <c r="H11" s="770">
        <f t="shared" si="0"/>
        <v>0</v>
      </c>
    </row>
    <row r="12" spans="1:8">
      <c r="A12" s="470">
        <v>5</v>
      </c>
      <c r="B12" s="469" t="s">
        <v>912</v>
      </c>
      <c r="C12" s="467"/>
      <c r="D12" s="770">
        <v>0</v>
      </c>
      <c r="E12" s="770"/>
      <c r="F12" s="770"/>
      <c r="G12" s="770"/>
      <c r="H12" s="770">
        <f t="shared" si="0"/>
        <v>0</v>
      </c>
    </row>
    <row r="13" spans="1:8">
      <c r="A13" s="470">
        <v>6</v>
      </c>
      <c r="B13" s="469" t="s">
        <v>127</v>
      </c>
      <c r="C13" s="467"/>
      <c r="D13" s="770">
        <v>27027577.710000001</v>
      </c>
      <c r="E13" s="770"/>
      <c r="F13" s="770"/>
      <c r="G13" s="770"/>
      <c r="H13" s="770">
        <f t="shared" si="0"/>
        <v>27027577.710000001</v>
      </c>
    </row>
    <row r="14" spans="1:8">
      <c r="A14" s="470">
        <v>7</v>
      </c>
      <c r="B14" s="469" t="s">
        <v>71</v>
      </c>
      <c r="C14" s="467"/>
      <c r="D14" s="770"/>
      <c r="E14" s="770"/>
      <c r="F14" s="770"/>
      <c r="G14" s="770"/>
      <c r="H14" s="770">
        <f t="shared" si="0"/>
        <v>0</v>
      </c>
    </row>
    <row r="15" spans="1:8">
      <c r="A15" s="470">
        <v>8</v>
      </c>
      <c r="B15" s="471" t="s">
        <v>72</v>
      </c>
      <c r="C15" s="467"/>
      <c r="D15" s="770"/>
      <c r="E15" s="770"/>
      <c r="F15" s="770"/>
      <c r="G15" s="770"/>
      <c r="H15" s="770">
        <f t="shared" si="0"/>
        <v>0</v>
      </c>
    </row>
    <row r="16" spans="1:8">
      <c r="A16" s="470">
        <v>9</v>
      </c>
      <c r="B16" s="469" t="s">
        <v>913</v>
      </c>
      <c r="C16" s="467"/>
      <c r="D16" s="770"/>
      <c r="E16" s="770"/>
      <c r="F16" s="770"/>
      <c r="G16" s="770"/>
      <c r="H16" s="770">
        <f t="shared" si="0"/>
        <v>0</v>
      </c>
    </row>
    <row r="17" spans="1:8">
      <c r="A17" s="470">
        <v>10</v>
      </c>
      <c r="B17" s="473" t="s">
        <v>483</v>
      </c>
      <c r="C17" s="467"/>
      <c r="D17" s="770"/>
      <c r="E17" s="770"/>
      <c r="F17" s="770"/>
      <c r="G17" s="770"/>
      <c r="H17" s="770">
        <f t="shared" si="0"/>
        <v>0</v>
      </c>
    </row>
    <row r="18" spans="1:8">
      <c r="A18" s="470">
        <v>11</v>
      </c>
      <c r="B18" s="469" t="s">
        <v>68</v>
      </c>
      <c r="C18" s="467"/>
      <c r="D18" s="770"/>
      <c r="E18" s="770"/>
      <c r="F18" s="770"/>
      <c r="G18" s="770"/>
      <c r="H18" s="770">
        <f t="shared" si="0"/>
        <v>0</v>
      </c>
    </row>
    <row r="19" spans="1:8">
      <c r="A19" s="470">
        <v>12</v>
      </c>
      <c r="B19" s="469" t="s">
        <v>69</v>
      </c>
      <c r="C19" s="467"/>
      <c r="D19" s="770"/>
      <c r="E19" s="770"/>
      <c r="F19" s="770"/>
      <c r="G19" s="770"/>
      <c r="H19" s="770">
        <f t="shared" si="0"/>
        <v>0</v>
      </c>
    </row>
    <row r="20" spans="1:8">
      <c r="A20" s="472">
        <v>13</v>
      </c>
      <c r="B20" s="471" t="s">
        <v>70</v>
      </c>
      <c r="C20" s="467"/>
      <c r="D20" s="770"/>
      <c r="E20" s="770"/>
      <c r="F20" s="770"/>
      <c r="G20" s="770"/>
      <c r="H20" s="770">
        <f t="shared" si="0"/>
        <v>0</v>
      </c>
    </row>
    <row r="21" spans="1:8">
      <c r="A21" s="470">
        <v>14</v>
      </c>
      <c r="B21" s="469" t="s">
        <v>469</v>
      </c>
      <c r="C21" s="467"/>
      <c r="D21" s="770"/>
      <c r="E21" s="770"/>
      <c r="F21" s="770"/>
      <c r="G21" s="770">
        <v>4298633.29</v>
      </c>
      <c r="H21" s="770">
        <f>SUM(C21:G21)</f>
        <v>4298633.29</v>
      </c>
    </row>
    <row r="22" spans="1:8">
      <c r="A22" s="468">
        <v>15</v>
      </c>
      <c r="B22" s="467" t="s">
        <v>66</v>
      </c>
      <c r="C22" s="467">
        <f>SUM(C18:C21)+SUM(C8:C16)</f>
        <v>0</v>
      </c>
      <c r="D22" s="770">
        <f t="shared" ref="D22:H22" si="1">SUM(D18:D21)+SUM(D8:D16)</f>
        <v>27594397.710000001</v>
      </c>
      <c r="E22" s="770">
        <f t="shared" si="1"/>
        <v>0</v>
      </c>
      <c r="F22" s="770">
        <f t="shared" si="1"/>
        <v>0</v>
      </c>
      <c r="G22" s="770">
        <f t="shared" si="1"/>
        <v>4298633.29</v>
      </c>
      <c r="H22" s="770">
        <f t="shared" si="1"/>
        <v>31893031</v>
      </c>
    </row>
    <row r="23" spans="1:8">
      <c r="H23" s="806">
        <f>H22-'13. CRME'!C22</f>
        <v>-0.2199999988079071</v>
      </c>
    </row>
    <row r="26" spans="1:8" ht="38.25">
      <c r="B26" s="388"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D20" sqref="D20"/>
    </sheetView>
  </sheetViews>
  <sheetFormatPr defaultColWidth="9.140625" defaultRowHeight="12.75"/>
  <cols>
    <col min="1" max="1" width="11.85546875" style="372" bestFit="1" customWidth="1"/>
    <col min="2" max="2" width="86.85546875" style="369" customWidth="1"/>
    <col min="3" max="4" width="31.5703125" style="369" customWidth="1"/>
    <col min="5" max="5" width="16.42578125" style="374" bestFit="1" customWidth="1"/>
    <col min="6" max="6" width="14.140625" style="374" bestFit="1" customWidth="1"/>
    <col min="7" max="7" width="20" style="369" bestFit="1" customWidth="1"/>
    <col min="8" max="8" width="25.140625" style="369" bestFit="1" customWidth="1"/>
    <col min="9" max="9" width="12.28515625" style="369" bestFit="1" customWidth="1"/>
    <col min="10" max="16384" width="9.140625" style="369"/>
  </cols>
  <sheetData>
    <row r="1" spans="1:9" ht="13.5">
      <c r="A1" s="368" t="s">
        <v>97</v>
      </c>
      <c r="B1" s="285" t="str">
        <f>Info!C2</f>
        <v>სს "ჰეშ ბანკი"</v>
      </c>
      <c r="C1" s="488"/>
      <c r="D1" s="488"/>
      <c r="E1" s="488"/>
      <c r="F1" s="488"/>
      <c r="G1" s="488"/>
      <c r="H1" s="488"/>
    </row>
    <row r="2" spans="1:9">
      <c r="A2" s="370" t="s">
        <v>98</v>
      </c>
      <c r="B2" s="741">
        <f>'1. key ratios'!B2</f>
        <v>45838</v>
      </c>
      <c r="C2" s="488"/>
      <c r="D2" s="488"/>
      <c r="E2" s="488"/>
      <c r="F2" s="488"/>
      <c r="G2" s="488"/>
      <c r="H2" s="488"/>
    </row>
    <row r="3" spans="1:9">
      <c r="A3" s="371" t="s">
        <v>470</v>
      </c>
      <c r="B3" s="488"/>
      <c r="C3" s="488"/>
      <c r="D3" s="488"/>
      <c r="E3" s="488"/>
      <c r="F3" s="488"/>
      <c r="G3" s="488"/>
      <c r="H3" s="488"/>
    </row>
    <row r="4" spans="1:9">
      <c r="A4" s="489"/>
      <c r="B4" s="488"/>
      <c r="C4" s="487" t="s">
        <v>471</v>
      </c>
      <c r="D4" s="487" t="s">
        <v>472</v>
      </c>
      <c r="E4" s="487" t="s">
        <v>473</v>
      </c>
      <c r="F4" s="487" t="s">
        <v>474</v>
      </c>
      <c r="G4" s="487" t="s">
        <v>475</v>
      </c>
      <c r="H4" s="487" t="s">
        <v>476</v>
      </c>
    </row>
    <row r="5" spans="1:9" ht="33.950000000000003" customHeight="1">
      <c r="A5" s="886" t="s">
        <v>835</v>
      </c>
      <c r="B5" s="887"/>
      <c r="C5" s="900" t="s">
        <v>565</v>
      </c>
      <c r="D5" s="900"/>
      <c r="E5" s="900" t="s">
        <v>834</v>
      </c>
      <c r="F5" s="898" t="s">
        <v>833</v>
      </c>
      <c r="G5" s="898" t="s">
        <v>480</v>
      </c>
      <c r="H5" s="485" t="s">
        <v>832</v>
      </c>
    </row>
    <row r="6" spans="1:9" ht="25.5">
      <c r="A6" s="890"/>
      <c r="B6" s="891"/>
      <c r="C6" s="486" t="s">
        <v>481</v>
      </c>
      <c r="D6" s="486" t="s">
        <v>482</v>
      </c>
      <c r="E6" s="900"/>
      <c r="F6" s="899"/>
      <c r="G6" s="899"/>
      <c r="H6" s="485" t="s">
        <v>831</v>
      </c>
    </row>
    <row r="7" spans="1:9">
      <c r="A7" s="483">
        <v>1</v>
      </c>
      <c r="B7" s="469" t="s">
        <v>123</v>
      </c>
      <c r="C7" s="477"/>
      <c r="D7" s="807">
        <v>566820</v>
      </c>
      <c r="E7" s="808"/>
      <c r="F7" s="808"/>
      <c r="G7" s="807"/>
      <c r="H7" s="476">
        <f t="shared" ref="H7:H20" si="0">C7+D7-E7-F7</f>
        <v>566820</v>
      </c>
    </row>
    <row r="8" spans="1:9" ht="14.45" customHeight="1">
      <c r="A8" s="483">
        <v>2</v>
      </c>
      <c r="B8" s="469" t="s">
        <v>124</v>
      </c>
      <c r="C8" s="477"/>
      <c r="D8" s="807">
        <v>0</v>
      </c>
      <c r="E8" s="808"/>
      <c r="F8" s="808"/>
      <c r="G8" s="807"/>
      <c r="H8" s="476">
        <f t="shared" si="0"/>
        <v>0</v>
      </c>
    </row>
    <row r="9" spans="1:9">
      <c r="A9" s="483">
        <v>3</v>
      </c>
      <c r="B9" s="469" t="s">
        <v>125</v>
      </c>
      <c r="C9" s="477"/>
      <c r="D9" s="807">
        <v>0</v>
      </c>
      <c r="E9" s="808"/>
      <c r="F9" s="808"/>
      <c r="G9" s="807"/>
      <c r="H9" s="476">
        <f t="shared" si="0"/>
        <v>0</v>
      </c>
    </row>
    <row r="10" spans="1:9">
      <c r="A10" s="483">
        <v>4</v>
      </c>
      <c r="B10" s="469" t="s">
        <v>126</v>
      </c>
      <c r="C10" s="477"/>
      <c r="D10" s="807">
        <v>0</v>
      </c>
      <c r="E10" s="808"/>
      <c r="F10" s="808"/>
      <c r="G10" s="807"/>
      <c r="H10" s="476">
        <f t="shared" si="0"/>
        <v>0</v>
      </c>
    </row>
    <row r="11" spans="1:9">
      <c r="A11" s="483">
        <v>5</v>
      </c>
      <c r="B11" s="469" t="s">
        <v>912</v>
      </c>
      <c r="C11" s="477"/>
      <c r="D11" s="807">
        <v>0</v>
      </c>
      <c r="E11" s="808"/>
      <c r="F11" s="808"/>
      <c r="G11" s="807"/>
      <c r="H11" s="476">
        <f t="shared" si="0"/>
        <v>0</v>
      </c>
    </row>
    <row r="12" spans="1:9">
      <c r="A12" s="483">
        <v>6</v>
      </c>
      <c r="B12" s="469" t="s">
        <v>127</v>
      </c>
      <c r="C12" s="477"/>
      <c r="D12" s="807">
        <v>27118578.959999993</v>
      </c>
      <c r="E12" s="808">
        <v>91001.029999999984</v>
      </c>
      <c r="F12" s="808"/>
      <c r="G12" s="807"/>
      <c r="H12" s="476">
        <f t="shared" si="0"/>
        <v>27027577.929999992</v>
      </c>
      <c r="I12" s="768">
        <f>H12-' 17. Residual Maturity'!H13</f>
        <v>0.21999999135732651</v>
      </c>
    </row>
    <row r="13" spans="1:9">
      <c r="A13" s="483">
        <v>7</v>
      </c>
      <c r="B13" s="469" t="s">
        <v>71</v>
      </c>
      <c r="C13" s="477"/>
      <c r="D13" s="807"/>
      <c r="E13" s="808"/>
      <c r="F13" s="808"/>
      <c r="G13" s="807"/>
      <c r="H13" s="476">
        <f t="shared" si="0"/>
        <v>0</v>
      </c>
      <c r="I13" s="768">
        <f>H13-' 17. Residual Maturity'!H14</f>
        <v>0</v>
      </c>
    </row>
    <row r="14" spans="1:9">
      <c r="A14" s="483">
        <v>8</v>
      </c>
      <c r="B14" s="471" t="s">
        <v>72</v>
      </c>
      <c r="C14" s="477"/>
      <c r="D14" s="807"/>
      <c r="E14" s="808"/>
      <c r="F14" s="808"/>
      <c r="G14" s="807"/>
      <c r="H14" s="476">
        <f t="shared" si="0"/>
        <v>0</v>
      </c>
      <c r="I14" s="768">
        <f>H14-' 17. Residual Maturity'!H15</f>
        <v>0</v>
      </c>
    </row>
    <row r="15" spans="1:9">
      <c r="A15" s="483">
        <v>9</v>
      </c>
      <c r="B15" s="469" t="s">
        <v>913</v>
      </c>
      <c r="C15" s="477"/>
      <c r="D15" s="807"/>
      <c r="E15" s="808"/>
      <c r="F15" s="808"/>
      <c r="G15" s="807"/>
      <c r="H15" s="476">
        <f t="shared" si="0"/>
        <v>0</v>
      </c>
      <c r="I15" s="768">
        <f>H15-' 17. Residual Maturity'!H16</f>
        <v>0</v>
      </c>
    </row>
    <row r="16" spans="1:9">
      <c r="A16" s="483">
        <v>10</v>
      </c>
      <c r="B16" s="473" t="s">
        <v>483</v>
      </c>
      <c r="C16" s="477"/>
      <c r="D16" s="807"/>
      <c r="E16" s="808"/>
      <c r="F16" s="808"/>
      <c r="G16" s="807"/>
      <c r="H16" s="476">
        <f t="shared" si="0"/>
        <v>0</v>
      </c>
      <c r="I16" s="768">
        <f>H16-' 17. Residual Maturity'!H17</f>
        <v>0</v>
      </c>
    </row>
    <row r="17" spans="1:8">
      <c r="A17" s="483">
        <v>11</v>
      </c>
      <c r="B17" s="469" t="s">
        <v>68</v>
      </c>
      <c r="C17" s="477"/>
      <c r="D17" s="807"/>
      <c r="E17" s="808"/>
      <c r="F17" s="808"/>
      <c r="G17" s="807"/>
      <c r="H17" s="476">
        <f t="shared" si="0"/>
        <v>0</v>
      </c>
    </row>
    <row r="18" spans="1:8">
      <c r="A18" s="483">
        <v>12</v>
      </c>
      <c r="B18" s="469" t="s">
        <v>69</v>
      </c>
      <c r="C18" s="477"/>
      <c r="D18" s="807"/>
      <c r="E18" s="808"/>
      <c r="F18" s="808"/>
      <c r="G18" s="807"/>
      <c r="H18" s="476">
        <f t="shared" si="0"/>
        <v>0</v>
      </c>
    </row>
    <row r="19" spans="1:8">
      <c r="A19" s="484">
        <v>13</v>
      </c>
      <c r="B19" s="471" t="s">
        <v>70</v>
      </c>
      <c r="C19" s="477"/>
      <c r="D19" s="807"/>
      <c r="E19" s="808"/>
      <c r="F19" s="808"/>
      <c r="G19" s="807"/>
      <c r="H19" s="476">
        <f t="shared" si="0"/>
        <v>0</v>
      </c>
    </row>
    <row r="20" spans="1:8">
      <c r="A20" s="483">
        <v>14</v>
      </c>
      <c r="B20" s="469" t="s">
        <v>469</v>
      </c>
      <c r="C20" s="477"/>
      <c r="D20" s="807">
        <v>9641590.2899999991</v>
      </c>
      <c r="E20" s="808"/>
      <c r="F20" s="808"/>
      <c r="G20" s="807"/>
      <c r="H20" s="476">
        <f t="shared" si="0"/>
        <v>9641590.2899999991</v>
      </c>
    </row>
    <row r="21" spans="1:8" s="373" customFormat="1">
      <c r="A21" s="482">
        <v>15</v>
      </c>
      <c r="B21" s="481" t="s">
        <v>66</v>
      </c>
      <c r="C21" s="481">
        <f t="shared" ref="C21:H21" si="1">SUM(C7:C15)+SUM(C17:C20)</f>
        <v>0</v>
      </c>
      <c r="D21" s="809">
        <f t="shared" si="1"/>
        <v>37326989.249999993</v>
      </c>
      <c r="E21" s="809">
        <f t="shared" si="1"/>
        <v>91001.029999999984</v>
      </c>
      <c r="F21" s="809">
        <f t="shared" si="1"/>
        <v>0</v>
      </c>
      <c r="G21" s="809">
        <f t="shared" si="1"/>
        <v>0</v>
      </c>
      <c r="H21" s="476">
        <f t="shared" si="1"/>
        <v>37235988.219999991</v>
      </c>
    </row>
    <row r="22" spans="1:8">
      <c r="A22" s="480">
        <v>16</v>
      </c>
      <c r="B22" s="479" t="s">
        <v>484</v>
      </c>
      <c r="C22" s="477"/>
      <c r="D22" s="807"/>
      <c r="E22" s="808"/>
      <c r="F22" s="808"/>
      <c r="G22" s="807"/>
      <c r="H22" s="476">
        <f>C22+D22-E22-F22</f>
        <v>0</v>
      </c>
    </row>
    <row r="23" spans="1:8">
      <c r="A23" s="480">
        <v>17</v>
      </c>
      <c r="B23" s="479" t="s">
        <v>485</v>
      </c>
      <c r="C23" s="477"/>
      <c r="D23" s="477"/>
      <c r="E23" s="478"/>
      <c r="F23" s="478"/>
      <c r="G23" s="477"/>
      <c r="H23" s="476">
        <f>C23+D23-E23-F23</f>
        <v>0</v>
      </c>
    </row>
    <row r="24" spans="1:8">
      <c r="H24" s="768">
        <f>H21-'7. LI1'!C37</f>
        <v>0.21999999135732651</v>
      </c>
    </row>
    <row r="25" spans="1:8">
      <c r="E25" s="369"/>
      <c r="F25" s="369"/>
      <c r="H25" s="768">
        <f>'2. SOFP'!E36-H21</f>
        <v>-0.21999999135732651</v>
      </c>
    </row>
    <row r="26" spans="1:8" ht="42.6" customHeight="1">
      <c r="B26" s="388"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headerFooter>
    <oddHeader>&amp;Lშიდა მოხმარების</oddHeader>
    <oddFooter>&amp;Lშიდა მოხმარების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H33" sqref="H33"/>
    </sheetView>
  </sheetViews>
  <sheetFormatPr defaultColWidth="9.140625" defaultRowHeight="12.75"/>
  <cols>
    <col min="1" max="1" width="11" style="369" bestFit="1" customWidth="1"/>
    <col min="2" max="2" width="93.42578125" style="369" customWidth="1"/>
    <col min="3" max="4" width="35" style="369" customWidth="1"/>
    <col min="5" max="7" width="22" style="369" customWidth="1"/>
    <col min="8" max="8" width="42.140625" style="369" bestFit="1" customWidth="1"/>
    <col min="9" max="16384" width="9.140625" style="369"/>
  </cols>
  <sheetData>
    <row r="1" spans="1:8" ht="13.5">
      <c r="A1" s="368" t="s">
        <v>97</v>
      </c>
      <c r="B1" s="285" t="str">
        <f>Info!C2</f>
        <v>სს "ჰეშ ბანკი"</v>
      </c>
      <c r="C1" s="488"/>
      <c r="D1" s="488"/>
      <c r="E1" s="488"/>
      <c r="F1" s="488"/>
      <c r="G1" s="488"/>
      <c r="H1" s="488"/>
    </row>
    <row r="2" spans="1:8">
      <c r="A2" s="370" t="s">
        <v>98</v>
      </c>
      <c r="B2" s="741">
        <f>'1. key ratios'!B2</f>
        <v>45838</v>
      </c>
      <c r="C2" s="488"/>
      <c r="D2" s="488"/>
      <c r="E2" s="488"/>
      <c r="F2" s="488"/>
      <c r="G2" s="488"/>
      <c r="H2" s="488"/>
    </row>
    <row r="3" spans="1:8">
      <c r="A3" s="371" t="s">
        <v>486</v>
      </c>
      <c r="B3" s="488"/>
      <c r="C3" s="488"/>
      <c r="D3" s="488"/>
      <c r="E3" s="488"/>
      <c r="F3" s="488"/>
      <c r="G3" s="488"/>
      <c r="H3" s="488"/>
    </row>
    <row r="4" spans="1:8">
      <c r="A4" s="488"/>
      <c r="B4" s="488"/>
      <c r="C4" s="487" t="s">
        <v>471</v>
      </c>
      <c r="D4" s="487" t="s">
        <v>472</v>
      </c>
      <c r="E4" s="487" t="s">
        <v>473</v>
      </c>
      <c r="F4" s="487" t="s">
        <v>474</v>
      </c>
      <c r="G4" s="487" t="s">
        <v>475</v>
      </c>
      <c r="H4" s="487" t="s">
        <v>476</v>
      </c>
    </row>
    <row r="5" spans="1:8" ht="41.45" customHeight="1">
      <c r="A5" s="886" t="s">
        <v>837</v>
      </c>
      <c r="B5" s="887"/>
      <c r="C5" s="901" t="s">
        <v>565</v>
      </c>
      <c r="D5" s="902"/>
      <c r="E5" s="898" t="s">
        <v>834</v>
      </c>
      <c r="F5" s="898" t="s">
        <v>833</v>
      </c>
      <c r="G5" s="898" t="s">
        <v>480</v>
      </c>
      <c r="H5" s="485" t="s">
        <v>832</v>
      </c>
    </row>
    <row r="6" spans="1:8" ht="25.5">
      <c r="A6" s="890"/>
      <c r="B6" s="891"/>
      <c r="C6" s="486" t="s">
        <v>481</v>
      </c>
      <c r="D6" s="486" t="s">
        <v>482</v>
      </c>
      <c r="E6" s="899"/>
      <c r="F6" s="899"/>
      <c r="G6" s="899"/>
      <c r="H6" s="485" t="s">
        <v>831</v>
      </c>
    </row>
    <row r="7" spans="1:8">
      <c r="A7" s="477">
        <v>1</v>
      </c>
      <c r="B7" s="492" t="s">
        <v>487</v>
      </c>
      <c r="C7" s="807"/>
      <c r="D7" s="807">
        <v>566820</v>
      </c>
      <c r="E7" s="807">
        <v>0</v>
      </c>
      <c r="F7" s="807"/>
      <c r="G7" s="807"/>
      <c r="H7" s="476">
        <f t="shared" ref="H7:H34" si="0">C7+D7-E7-F7</f>
        <v>566820</v>
      </c>
    </row>
    <row r="8" spans="1:8">
      <c r="A8" s="477">
        <v>2</v>
      </c>
      <c r="B8" s="492" t="s">
        <v>488</v>
      </c>
      <c r="C8" s="807"/>
      <c r="D8" s="807">
        <v>27118578.959999993</v>
      </c>
      <c r="E8" s="807">
        <v>91001.029999999984</v>
      </c>
      <c r="F8" s="807"/>
      <c r="G8" s="807"/>
      <c r="H8" s="476">
        <f t="shared" si="0"/>
        <v>27027577.929999992</v>
      </c>
    </row>
    <row r="9" spans="1:8">
      <c r="A9" s="477">
        <v>3</v>
      </c>
      <c r="B9" s="492" t="s">
        <v>836</v>
      </c>
      <c r="C9" s="807"/>
      <c r="D9" s="807"/>
      <c r="E9" s="807"/>
      <c r="F9" s="807"/>
      <c r="G9" s="807"/>
      <c r="H9" s="476">
        <f t="shared" si="0"/>
        <v>0</v>
      </c>
    </row>
    <row r="10" spans="1:8">
      <c r="A10" s="477">
        <v>4</v>
      </c>
      <c r="B10" s="492" t="s">
        <v>489</v>
      </c>
      <c r="C10" s="807"/>
      <c r="D10" s="807"/>
      <c r="E10" s="807"/>
      <c r="F10" s="807"/>
      <c r="G10" s="807"/>
      <c r="H10" s="476">
        <f t="shared" si="0"/>
        <v>0</v>
      </c>
    </row>
    <row r="11" spans="1:8">
      <c r="A11" s="477">
        <v>5</v>
      </c>
      <c r="B11" s="492" t="s">
        <v>490</v>
      </c>
      <c r="C11" s="807"/>
      <c r="D11" s="807"/>
      <c r="E11" s="807"/>
      <c r="F11" s="807"/>
      <c r="G11" s="807"/>
      <c r="H11" s="476">
        <f t="shared" si="0"/>
        <v>0</v>
      </c>
    </row>
    <row r="12" spans="1:8">
      <c r="A12" s="477">
        <v>6</v>
      </c>
      <c r="B12" s="492" t="s">
        <v>491</v>
      </c>
      <c r="C12" s="807"/>
      <c r="D12" s="807"/>
      <c r="E12" s="807"/>
      <c r="F12" s="807"/>
      <c r="G12" s="807"/>
      <c r="H12" s="476">
        <f t="shared" si="0"/>
        <v>0</v>
      </c>
    </row>
    <row r="13" spans="1:8">
      <c r="A13" s="477">
        <v>7</v>
      </c>
      <c r="B13" s="492" t="s">
        <v>492</v>
      </c>
      <c r="C13" s="807"/>
      <c r="D13" s="807"/>
      <c r="E13" s="807"/>
      <c r="F13" s="807"/>
      <c r="G13" s="807"/>
      <c r="H13" s="476">
        <f t="shared" si="0"/>
        <v>0</v>
      </c>
    </row>
    <row r="14" spans="1:8">
      <c r="A14" s="477">
        <v>8</v>
      </c>
      <c r="B14" s="492" t="s">
        <v>493</v>
      </c>
      <c r="C14" s="807"/>
      <c r="D14" s="807"/>
      <c r="E14" s="807"/>
      <c r="F14" s="807"/>
      <c r="G14" s="807"/>
      <c r="H14" s="476">
        <f t="shared" si="0"/>
        <v>0</v>
      </c>
    </row>
    <row r="15" spans="1:8">
      <c r="A15" s="477">
        <v>9</v>
      </c>
      <c r="B15" s="492" t="s">
        <v>494</v>
      </c>
      <c r="C15" s="807"/>
      <c r="D15" s="807"/>
      <c r="E15" s="807"/>
      <c r="F15" s="807"/>
      <c r="G15" s="807"/>
      <c r="H15" s="476">
        <f t="shared" si="0"/>
        <v>0</v>
      </c>
    </row>
    <row r="16" spans="1:8">
      <c r="A16" s="477">
        <v>10</v>
      </c>
      <c r="B16" s="492" t="s">
        <v>495</v>
      </c>
      <c r="C16" s="807"/>
      <c r="D16" s="807"/>
      <c r="E16" s="807"/>
      <c r="F16" s="807"/>
      <c r="G16" s="807"/>
      <c r="H16" s="476">
        <f t="shared" si="0"/>
        <v>0</v>
      </c>
    </row>
    <row r="17" spans="1:9">
      <c r="A17" s="477">
        <v>11</v>
      </c>
      <c r="B17" s="492" t="s">
        <v>496</v>
      </c>
      <c r="C17" s="807"/>
      <c r="D17" s="807"/>
      <c r="E17" s="807"/>
      <c r="F17" s="807"/>
      <c r="G17" s="807"/>
      <c r="H17" s="476">
        <f t="shared" si="0"/>
        <v>0</v>
      </c>
    </row>
    <row r="18" spans="1:9">
      <c r="A18" s="477">
        <v>12</v>
      </c>
      <c r="B18" s="492" t="s">
        <v>497</v>
      </c>
      <c r="C18" s="807"/>
      <c r="D18" s="807"/>
      <c r="E18" s="807"/>
      <c r="F18" s="807"/>
      <c r="G18" s="807"/>
      <c r="H18" s="476">
        <f t="shared" si="0"/>
        <v>0</v>
      </c>
    </row>
    <row r="19" spans="1:9">
      <c r="A19" s="477">
        <v>13</v>
      </c>
      <c r="B19" s="492" t="s">
        <v>498</v>
      </c>
      <c r="C19" s="807"/>
      <c r="D19" s="807"/>
      <c r="E19" s="807"/>
      <c r="F19" s="807"/>
      <c r="G19" s="807"/>
      <c r="H19" s="476">
        <f t="shared" si="0"/>
        <v>0</v>
      </c>
    </row>
    <row r="20" spans="1:9">
      <c r="A20" s="477">
        <v>14</v>
      </c>
      <c r="B20" s="492" t="s">
        <v>499</v>
      </c>
      <c r="C20" s="807"/>
      <c r="D20" s="807"/>
      <c r="E20" s="807"/>
      <c r="F20" s="807"/>
      <c r="G20" s="807"/>
      <c r="H20" s="476">
        <f t="shared" si="0"/>
        <v>0</v>
      </c>
    </row>
    <row r="21" spans="1:9">
      <c r="A21" s="477">
        <v>15</v>
      </c>
      <c r="B21" s="492" t="s">
        <v>500</v>
      </c>
      <c r="C21" s="807"/>
      <c r="D21" s="807"/>
      <c r="E21" s="807"/>
      <c r="F21" s="807"/>
      <c r="G21" s="807"/>
      <c r="H21" s="476">
        <f t="shared" si="0"/>
        <v>0</v>
      </c>
    </row>
    <row r="22" spans="1:9">
      <c r="A22" s="477">
        <v>16</v>
      </c>
      <c r="B22" s="492" t="s">
        <v>501</v>
      </c>
      <c r="C22" s="807"/>
      <c r="D22" s="807"/>
      <c r="E22" s="807"/>
      <c r="F22" s="807"/>
      <c r="G22" s="807"/>
      <c r="H22" s="476">
        <f t="shared" si="0"/>
        <v>0</v>
      </c>
    </row>
    <row r="23" spans="1:9">
      <c r="A23" s="477">
        <v>17</v>
      </c>
      <c r="B23" s="492" t="s">
        <v>502</v>
      </c>
      <c r="C23" s="807"/>
      <c r="D23" s="807"/>
      <c r="E23" s="807"/>
      <c r="F23" s="807"/>
      <c r="G23" s="807"/>
      <c r="H23" s="476">
        <f t="shared" si="0"/>
        <v>0</v>
      </c>
    </row>
    <row r="24" spans="1:9">
      <c r="A24" s="477">
        <v>18</v>
      </c>
      <c r="B24" s="492" t="s">
        <v>503</v>
      </c>
      <c r="C24" s="807"/>
      <c r="D24" s="807"/>
      <c r="E24" s="807"/>
      <c r="F24" s="807"/>
      <c r="G24" s="807"/>
      <c r="H24" s="476">
        <f t="shared" si="0"/>
        <v>0</v>
      </c>
    </row>
    <row r="25" spans="1:9">
      <c r="A25" s="477">
        <v>19</v>
      </c>
      <c r="B25" s="492" t="s">
        <v>504</v>
      </c>
      <c r="C25" s="807"/>
      <c r="D25" s="807"/>
      <c r="E25" s="807"/>
      <c r="F25" s="807"/>
      <c r="G25" s="807"/>
      <c r="H25" s="476">
        <f t="shared" si="0"/>
        <v>0</v>
      </c>
    </row>
    <row r="26" spans="1:9">
      <c r="A26" s="477">
        <v>20</v>
      </c>
      <c r="B26" s="492" t="s">
        <v>505</v>
      </c>
      <c r="C26" s="807"/>
      <c r="D26" s="807"/>
      <c r="E26" s="807"/>
      <c r="F26" s="807"/>
      <c r="G26" s="807"/>
      <c r="H26" s="476">
        <f t="shared" si="0"/>
        <v>0</v>
      </c>
      <c r="I26" s="375"/>
    </row>
    <row r="27" spans="1:9">
      <c r="A27" s="477">
        <v>21</v>
      </c>
      <c r="B27" s="492" t="s">
        <v>506</v>
      </c>
      <c r="C27" s="807"/>
      <c r="D27" s="807"/>
      <c r="E27" s="807"/>
      <c r="F27" s="807"/>
      <c r="G27" s="807"/>
      <c r="H27" s="476">
        <f t="shared" si="0"/>
        <v>0</v>
      </c>
      <c r="I27" s="375"/>
    </row>
    <row r="28" spans="1:9">
      <c r="A28" s="477">
        <v>22</v>
      </c>
      <c r="B28" s="492" t="s">
        <v>507</v>
      </c>
      <c r="C28" s="807"/>
      <c r="D28" s="807"/>
      <c r="E28" s="807"/>
      <c r="F28" s="807"/>
      <c r="G28" s="807"/>
      <c r="H28" s="476">
        <f t="shared" si="0"/>
        <v>0</v>
      </c>
      <c r="I28" s="375"/>
    </row>
    <row r="29" spans="1:9">
      <c r="A29" s="477">
        <v>23</v>
      </c>
      <c r="B29" s="492" t="s">
        <v>508</v>
      </c>
      <c r="C29" s="807"/>
      <c r="D29" s="807"/>
      <c r="E29" s="807"/>
      <c r="F29" s="807"/>
      <c r="G29" s="807"/>
      <c r="H29" s="476">
        <f t="shared" si="0"/>
        <v>0</v>
      </c>
      <c r="I29" s="375"/>
    </row>
    <row r="30" spans="1:9">
      <c r="A30" s="477">
        <v>24</v>
      </c>
      <c r="B30" s="492" t="s">
        <v>509</v>
      </c>
      <c r="C30" s="807"/>
      <c r="D30" s="807"/>
      <c r="E30" s="807"/>
      <c r="F30" s="807"/>
      <c r="G30" s="807"/>
      <c r="H30" s="476">
        <f t="shared" si="0"/>
        <v>0</v>
      </c>
      <c r="I30" s="375"/>
    </row>
    <row r="31" spans="1:9">
      <c r="A31" s="477">
        <v>25</v>
      </c>
      <c r="B31" s="492" t="s">
        <v>510</v>
      </c>
      <c r="C31" s="807"/>
      <c r="D31" s="807"/>
      <c r="E31" s="807"/>
      <c r="F31" s="807"/>
      <c r="G31" s="807"/>
      <c r="H31" s="476">
        <f t="shared" si="0"/>
        <v>0</v>
      </c>
      <c r="I31" s="375"/>
    </row>
    <row r="32" spans="1:9">
      <c r="A32" s="477">
        <v>26</v>
      </c>
      <c r="B32" s="492" t="s">
        <v>511</v>
      </c>
      <c r="C32" s="807"/>
      <c r="D32" s="807"/>
      <c r="E32" s="807"/>
      <c r="F32" s="807"/>
      <c r="G32" s="807"/>
      <c r="H32" s="476">
        <f t="shared" si="0"/>
        <v>0</v>
      </c>
      <c r="I32" s="375"/>
    </row>
    <row r="33" spans="1:9">
      <c r="A33" s="477">
        <v>27</v>
      </c>
      <c r="B33" s="478" t="s">
        <v>88</v>
      </c>
      <c r="C33" s="807"/>
      <c r="D33" s="807">
        <v>9641590.2899999991</v>
      </c>
      <c r="E33" s="807">
        <v>0</v>
      </c>
      <c r="F33" s="807"/>
      <c r="G33" s="807"/>
      <c r="H33" s="476">
        <f t="shared" si="0"/>
        <v>9641590.2899999991</v>
      </c>
      <c r="I33" s="375"/>
    </row>
    <row r="34" spans="1:9">
      <c r="A34" s="477">
        <v>28</v>
      </c>
      <c r="B34" s="491" t="s">
        <v>66</v>
      </c>
      <c r="C34" s="809">
        <f>SUM(C7:C33)</f>
        <v>0</v>
      </c>
      <c r="D34" s="809">
        <f>SUM(D7:D33)</f>
        <v>37326989.249999993</v>
      </c>
      <c r="E34" s="809">
        <f>SUM(E7:E33)</f>
        <v>91001.029999999984</v>
      </c>
      <c r="F34" s="809">
        <f>SUM(F7:F33)</f>
        <v>0</v>
      </c>
      <c r="G34" s="809">
        <f>SUM(G7:G33)</f>
        <v>0</v>
      </c>
      <c r="H34" s="476">
        <f t="shared" si="0"/>
        <v>37235988.219999991</v>
      </c>
      <c r="I34" s="375"/>
    </row>
    <row r="35" spans="1:9">
      <c r="A35" s="375"/>
      <c r="B35" s="375"/>
      <c r="C35" s="810">
        <f>C34-'18. Assets by Exposure classes'!C21</f>
        <v>0</v>
      </c>
      <c r="D35" s="810"/>
      <c r="E35" s="810">
        <f>SUM(E7:E31)-'18. Assets by Exposure classes'!E21</f>
        <v>0</v>
      </c>
      <c r="F35" s="810">
        <f>SUM(F7:F31)-'18. Assets by Exposure classes'!F22</f>
        <v>0</v>
      </c>
      <c r="G35" s="810"/>
      <c r="H35" s="769">
        <f>H34-'18. Assets by Exposure classes'!H21</f>
        <v>0</v>
      </c>
      <c r="I35" s="375"/>
    </row>
    <row r="36" spans="1:9">
      <c r="A36" s="375"/>
      <c r="B36" s="376"/>
      <c r="C36" s="375"/>
      <c r="D36" s="375"/>
      <c r="E36" s="375"/>
      <c r="F36" s="375"/>
      <c r="G36" s="375"/>
      <c r="H36" s="375"/>
      <c r="I36" s="375"/>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0"/>
  <sheetViews>
    <sheetView showGridLines="0" zoomScale="80" zoomScaleNormal="80" workbookViewId="0">
      <selection activeCell="C17" sqref="C17"/>
    </sheetView>
  </sheetViews>
  <sheetFormatPr defaultColWidth="9.140625" defaultRowHeight="12.75"/>
  <cols>
    <col min="1" max="1" width="11.85546875" style="369" bestFit="1" customWidth="1"/>
    <col min="2" max="2" width="108" style="369" bestFit="1" customWidth="1"/>
    <col min="3" max="3" width="35.5703125" style="369" customWidth="1"/>
    <col min="4" max="4" width="38.42578125" style="374" customWidth="1"/>
    <col min="5" max="16384" width="9.140625" style="369"/>
  </cols>
  <sheetData>
    <row r="1" spans="1:4" ht="13.5">
      <c r="A1" s="368" t="s">
        <v>97</v>
      </c>
      <c r="B1" s="285" t="str">
        <f>Info!C2</f>
        <v>სს "ჰეშ ბანკი"</v>
      </c>
      <c r="D1" s="369"/>
    </row>
    <row r="2" spans="1:4">
      <c r="A2" s="370" t="s">
        <v>98</v>
      </c>
      <c r="B2" s="741">
        <f>'1. key ratios'!B2</f>
        <v>45838</v>
      </c>
      <c r="D2" s="369"/>
    </row>
    <row r="3" spans="1:4">
      <c r="A3" s="371" t="s">
        <v>512</v>
      </c>
      <c r="D3" s="369"/>
    </row>
    <row r="5" spans="1:4">
      <c r="A5" s="903" t="s">
        <v>848</v>
      </c>
      <c r="B5" s="903"/>
      <c r="C5" s="502" t="s">
        <v>531</v>
      </c>
      <c r="D5" s="502" t="s">
        <v>847</v>
      </c>
    </row>
    <row r="6" spans="1:4">
      <c r="A6" s="501">
        <v>1</v>
      </c>
      <c r="B6" s="494" t="s">
        <v>846</v>
      </c>
      <c r="C6" s="811">
        <v>84675.41</v>
      </c>
      <c r="D6" s="496"/>
    </row>
    <row r="7" spans="1:4">
      <c r="A7" s="498">
        <v>2</v>
      </c>
      <c r="B7" s="494" t="s">
        <v>845</v>
      </c>
      <c r="C7" s="811">
        <f>SUM(C8:C9)</f>
        <v>6376</v>
      </c>
      <c r="D7" s="496">
        <f>SUM(D8:D9)</f>
        <v>0</v>
      </c>
    </row>
    <row r="8" spans="1:4">
      <c r="A8" s="500">
        <v>2.1</v>
      </c>
      <c r="B8" s="499" t="s">
        <v>844</v>
      </c>
      <c r="C8" s="811">
        <v>6376</v>
      </c>
      <c r="D8" s="496"/>
    </row>
    <row r="9" spans="1:4">
      <c r="A9" s="500">
        <v>2.2000000000000002</v>
      </c>
      <c r="B9" s="499" t="s">
        <v>843</v>
      </c>
      <c r="C9" s="811"/>
      <c r="D9" s="496"/>
    </row>
    <row r="10" spans="1:4">
      <c r="A10" s="501">
        <v>3</v>
      </c>
      <c r="B10" s="494" t="s">
        <v>842</v>
      </c>
      <c r="C10" s="811">
        <f>SUM(C11:C13)</f>
        <v>0</v>
      </c>
      <c r="D10" s="496">
        <f>SUM(D11:D13)</f>
        <v>0</v>
      </c>
    </row>
    <row r="11" spans="1:4">
      <c r="A11" s="500">
        <v>3.1</v>
      </c>
      <c r="B11" s="499" t="s">
        <v>513</v>
      </c>
      <c r="C11" s="811"/>
      <c r="D11" s="496"/>
    </row>
    <row r="12" spans="1:4">
      <c r="A12" s="500">
        <v>3.2</v>
      </c>
      <c r="B12" s="499" t="s">
        <v>841</v>
      </c>
      <c r="C12" s="811"/>
      <c r="D12" s="496"/>
    </row>
    <row r="13" spans="1:4">
      <c r="A13" s="500">
        <v>3.3</v>
      </c>
      <c r="B13" s="499" t="s">
        <v>840</v>
      </c>
      <c r="C13" s="811"/>
      <c r="D13" s="496"/>
    </row>
    <row r="14" spans="1:4">
      <c r="A14" s="498">
        <v>4</v>
      </c>
      <c r="B14" s="497" t="s">
        <v>839</v>
      </c>
      <c r="C14" s="811"/>
      <c r="D14" s="496"/>
    </row>
    <row r="15" spans="1:4">
      <c r="A15" s="495">
        <v>5</v>
      </c>
      <c r="B15" s="494" t="s">
        <v>838</v>
      </c>
      <c r="C15" s="812">
        <f>C6+C7-C10+C14</f>
        <v>91051.41</v>
      </c>
      <c r="D15" s="493">
        <f>D6+D7-D10+D14</f>
        <v>0</v>
      </c>
    </row>
    <row r="16" spans="1:4">
      <c r="C16" s="813"/>
    </row>
    <row r="17" spans="3:3">
      <c r="C17" s="813"/>
    </row>
    <row r="18" spans="3:3">
      <c r="C18" s="813"/>
    </row>
    <row r="19" spans="3:3">
      <c r="C19" s="813"/>
    </row>
    <row r="20" spans="3:3">
      <c r="C20" s="813"/>
    </row>
  </sheetData>
  <mergeCells count="1">
    <mergeCell ref="A5:B5"/>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2" sqref="B2"/>
    </sheetView>
  </sheetViews>
  <sheetFormatPr defaultColWidth="9.140625" defaultRowHeight="12.75"/>
  <cols>
    <col min="1" max="1" width="11.85546875" style="488" bestFit="1" customWidth="1"/>
    <col min="2" max="2" width="128.85546875" style="488" bestFit="1" customWidth="1"/>
    <col min="3" max="3" width="37" style="488" customWidth="1"/>
    <col min="4" max="4" width="50.5703125" style="488" customWidth="1"/>
    <col min="5" max="16384" width="9.140625" style="488"/>
  </cols>
  <sheetData>
    <row r="1" spans="1:4" ht="13.5">
      <c r="A1" s="368" t="s">
        <v>97</v>
      </c>
      <c r="B1" s="285" t="str">
        <f>Info!C2</f>
        <v>სს "ჰეშ ბანკი"</v>
      </c>
    </row>
    <row r="2" spans="1:4">
      <c r="A2" s="370" t="s">
        <v>98</v>
      </c>
      <c r="B2" s="741">
        <f>'1. key ratios'!B2</f>
        <v>45838</v>
      </c>
    </row>
    <row r="3" spans="1:4">
      <c r="A3" s="371" t="s">
        <v>514</v>
      </c>
    </row>
    <row r="4" spans="1:4">
      <c r="A4" s="371"/>
    </row>
    <row r="5" spans="1:4" ht="15" customHeight="1">
      <c r="A5" s="904" t="s">
        <v>515</v>
      </c>
      <c r="B5" s="905"/>
      <c r="C5" s="908" t="s">
        <v>516</v>
      </c>
      <c r="D5" s="908" t="s">
        <v>517</v>
      </c>
    </row>
    <row r="6" spans="1:4">
      <c r="A6" s="906"/>
      <c r="B6" s="907"/>
      <c r="C6" s="908"/>
      <c r="D6" s="908"/>
    </row>
    <row r="7" spans="1:4">
      <c r="A7" s="491">
        <v>1</v>
      </c>
      <c r="B7" s="481" t="s">
        <v>518</v>
      </c>
      <c r="C7" s="477"/>
      <c r="D7" s="503"/>
    </row>
    <row r="8" spans="1:4">
      <c r="A8" s="478">
        <v>2</v>
      </c>
      <c r="B8" s="478" t="s">
        <v>519</v>
      </c>
      <c r="C8" s="477"/>
      <c r="D8" s="503"/>
    </row>
    <row r="9" spans="1:4">
      <c r="A9" s="478">
        <v>3</v>
      </c>
      <c r="B9" s="506" t="s">
        <v>520</v>
      </c>
      <c r="C9" s="477"/>
      <c r="D9" s="503"/>
    </row>
    <row r="10" spans="1:4">
      <c r="A10" s="478">
        <v>4</v>
      </c>
      <c r="B10" s="478" t="s">
        <v>521</v>
      </c>
      <c r="C10" s="477">
        <f>SUM(C11:C17)</f>
        <v>0</v>
      </c>
      <c r="D10" s="503"/>
    </row>
    <row r="11" spans="1:4">
      <c r="A11" s="478">
        <v>5</v>
      </c>
      <c r="B11" s="505" t="s">
        <v>849</v>
      </c>
      <c r="C11" s="477"/>
      <c r="D11" s="503"/>
    </row>
    <row r="12" spans="1:4">
      <c r="A12" s="478">
        <v>6</v>
      </c>
      <c r="B12" s="505" t="s">
        <v>522</v>
      </c>
      <c r="C12" s="477"/>
      <c r="D12" s="503"/>
    </row>
    <row r="13" spans="1:4">
      <c r="A13" s="478">
        <v>7</v>
      </c>
      <c r="B13" s="505" t="s">
        <v>525</v>
      </c>
      <c r="C13" s="477"/>
      <c r="D13" s="503"/>
    </row>
    <row r="14" spans="1:4">
      <c r="A14" s="478">
        <v>8</v>
      </c>
      <c r="B14" s="505" t="s">
        <v>523</v>
      </c>
      <c r="C14" s="477"/>
      <c r="D14" s="478"/>
    </row>
    <row r="15" spans="1:4">
      <c r="A15" s="478">
        <v>9</v>
      </c>
      <c r="B15" s="505" t="s">
        <v>524</v>
      </c>
      <c r="C15" s="477"/>
      <c r="D15" s="478"/>
    </row>
    <row r="16" spans="1:4">
      <c r="A16" s="478">
        <v>10</v>
      </c>
      <c r="B16" s="505" t="s">
        <v>526</v>
      </c>
      <c r="C16" s="477"/>
      <c r="D16" s="478"/>
    </row>
    <row r="17" spans="1:4" ht="25.5">
      <c r="A17" s="478">
        <v>11</v>
      </c>
      <c r="B17" s="505" t="s">
        <v>527</v>
      </c>
      <c r="C17" s="477"/>
      <c r="D17" s="503"/>
    </row>
    <row r="18" spans="1:4">
      <c r="A18" s="491">
        <v>12</v>
      </c>
      <c r="B18" s="504" t="s">
        <v>528</v>
      </c>
      <c r="C18" s="481">
        <f>C7+C8+C9-C10</f>
        <v>0</v>
      </c>
      <c r="D18" s="503"/>
    </row>
    <row r="21" spans="1:4">
      <c r="B21" s="368"/>
    </row>
    <row r="22" spans="1:4">
      <c r="B22" s="370"/>
    </row>
    <row r="23" spans="1:4">
      <c r="B23" s="371"/>
    </row>
  </sheetData>
  <mergeCells count="3">
    <mergeCell ref="A5:B6"/>
    <mergeCell ref="C5:C6"/>
    <mergeCell ref="D5: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D11" sqref="D11"/>
    </sheetView>
  </sheetViews>
  <sheetFormatPr defaultColWidth="9.140625" defaultRowHeight="12.75"/>
  <cols>
    <col min="1" max="1" width="11.85546875" style="488" bestFit="1" customWidth="1"/>
    <col min="2" max="2" width="63.85546875" style="488" customWidth="1"/>
    <col min="3" max="3" width="15.5703125" style="488" customWidth="1"/>
    <col min="4" max="18" width="22.140625" style="488" customWidth="1"/>
    <col min="19" max="19" width="23.140625" style="488" bestFit="1" customWidth="1"/>
    <col min="20" max="26" width="22.140625" style="488" customWidth="1"/>
    <col min="27" max="27" width="23.140625" style="488" bestFit="1" customWidth="1"/>
    <col min="28" max="28" width="20" style="488" customWidth="1"/>
    <col min="29" max="16384" width="9.140625" style="488"/>
  </cols>
  <sheetData>
    <row r="1" spans="1:28" ht="13.5">
      <c r="A1" s="368" t="s">
        <v>97</v>
      </c>
      <c r="B1" s="285" t="str">
        <f>Info!C2</f>
        <v>სს "ჰეშ ბანკი"</v>
      </c>
    </row>
    <row r="2" spans="1:28">
      <c r="A2" s="370" t="s">
        <v>98</v>
      </c>
      <c r="B2" s="741">
        <f>'1. key ratios'!B2</f>
        <v>45838</v>
      </c>
      <c r="C2" s="489"/>
    </row>
    <row r="3" spans="1:28">
      <c r="A3" s="371" t="s">
        <v>529</v>
      </c>
    </row>
    <row r="5" spans="1:28" ht="15" customHeight="1">
      <c r="A5" s="909" t="s">
        <v>862</v>
      </c>
      <c r="B5" s="910"/>
      <c r="C5" s="915" t="s">
        <v>861</v>
      </c>
      <c r="D5" s="916"/>
      <c r="E5" s="916"/>
      <c r="F5" s="916"/>
      <c r="G5" s="916"/>
      <c r="H5" s="916"/>
      <c r="I5" s="916"/>
      <c r="J5" s="916"/>
      <c r="K5" s="916"/>
      <c r="L5" s="916"/>
      <c r="M5" s="916"/>
      <c r="N5" s="916"/>
      <c r="O5" s="916"/>
      <c r="P5" s="916"/>
      <c r="Q5" s="916"/>
      <c r="R5" s="916"/>
      <c r="S5" s="916"/>
      <c r="T5" s="521"/>
      <c r="U5" s="521"/>
      <c r="V5" s="521"/>
      <c r="W5" s="521"/>
      <c r="X5" s="521"/>
      <c r="Y5" s="521"/>
      <c r="Z5" s="521"/>
      <c r="AA5" s="520"/>
      <c r="AB5" s="511"/>
    </row>
    <row r="6" spans="1:28">
      <c r="A6" s="911"/>
      <c r="B6" s="912"/>
      <c r="C6" s="917" t="s">
        <v>66</v>
      </c>
      <c r="D6" s="919" t="s">
        <v>860</v>
      </c>
      <c r="E6" s="919"/>
      <c r="F6" s="919"/>
      <c r="G6" s="919"/>
      <c r="H6" s="920" t="s">
        <v>859</v>
      </c>
      <c r="I6" s="921"/>
      <c r="J6" s="921"/>
      <c r="K6" s="922"/>
      <c r="L6" s="519"/>
      <c r="M6" s="923" t="s">
        <v>858</v>
      </c>
      <c r="N6" s="923"/>
      <c r="O6" s="923"/>
      <c r="P6" s="923"/>
      <c r="Q6" s="923"/>
      <c r="R6" s="923"/>
      <c r="S6" s="899"/>
      <c r="T6" s="518"/>
      <c r="U6" s="902" t="s">
        <v>857</v>
      </c>
      <c r="V6" s="902"/>
      <c r="W6" s="902"/>
      <c r="X6" s="902"/>
      <c r="Y6" s="902"/>
      <c r="Z6" s="902"/>
      <c r="AA6" s="900"/>
      <c r="AB6" s="517"/>
    </row>
    <row r="7" spans="1:28" ht="25.5">
      <c r="A7" s="913"/>
      <c r="B7" s="914"/>
      <c r="C7" s="918"/>
      <c r="D7" s="516"/>
      <c r="E7" s="512" t="s">
        <v>530</v>
      </c>
      <c r="F7" s="485" t="s">
        <v>855</v>
      </c>
      <c r="G7" s="485" t="s">
        <v>856</v>
      </c>
      <c r="H7" s="515"/>
      <c r="I7" s="512" t="s">
        <v>530</v>
      </c>
      <c r="J7" s="485" t="s">
        <v>855</v>
      </c>
      <c r="K7" s="485" t="s">
        <v>856</v>
      </c>
      <c r="L7" s="514"/>
      <c r="M7" s="512" t="s">
        <v>530</v>
      </c>
      <c r="N7" s="485" t="s">
        <v>855</v>
      </c>
      <c r="O7" s="485" t="s">
        <v>854</v>
      </c>
      <c r="P7" s="485" t="s">
        <v>853</v>
      </c>
      <c r="Q7" s="485" t="s">
        <v>852</v>
      </c>
      <c r="R7" s="485" t="s">
        <v>851</v>
      </c>
      <c r="S7" s="485" t="s">
        <v>850</v>
      </c>
      <c r="T7" s="513"/>
      <c r="U7" s="512" t="s">
        <v>530</v>
      </c>
      <c r="V7" s="485" t="s">
        <v>855</v>
      </c>
      <c r="W7" s="485" t="s">
        <v>854</v>
      </c>
      <c r="X7" s="485" t="s">
        <v>853</v>
      </c>
      <c r="Y7" s="485" t="s">
        <v>852</v>
      </c>
      <c r="Z7" s="485" t="s">
        <v>851</v>
      </c>
      <c r="AA7" s="485" t="s">
        <v>850</v>
      </c>
      <c r="AB7" s="511"/>
    </row>
    <row r="8" spans="1:28">
      <c r="A8" s="510">
        <v>1</v>
      </c>
      <c r="B8" s="481" t="s">
        <v>531</v>
      </c>
      <c r="C8" s="816">
        <f>C11</f>
        <v>0</v>
      </c>
      <c r="D8" s="816">
        <f>D11</f>
        <v>0</v>
      </c>
      <c r="E8" s="477"/>
      <c r="F8" s="477"/>
      <c r="G8" s="477"/>
      <c r="H8" s="477"/>
      <c r="I8" s="477"/>
      <c r="J8" s="477"/>
      <c r="K8" s="477"/>
      <c r="L8" s="477"/>
      <c r="M8" s="477"/>
      <c r="N8" s="477"/>
      <c r="O8" s="477"/>
      <c r="P8" s="477"/>
      <c r="Q8" s="477"/>
      <c r="R8" s="477"/>
      <c r="S8" s="477"/>
      <c r="T8" s="477"/>
      <c r="U8" s="477"/>
      <c r="V8" s="477"/>
      <c r="W8" s="477"/>
      <c r="X8" s="477"/>
      <c r="Y8" s="477"/>
      <c r="Z8" s="477"/>
      <c r="AA8" s="477"/>
      <c r="AB8" s="507"/>
    </row>
    <row r="9" spans="1:28">
      <c r="A9" s="477">
        <v>1.1000000000000001</v>
      </c>
      <c r="B9" s="509" t="s">
        <v>532</v>
      </c>
      <c r="C9" s="814"/>
      <c r="D9" s="815"/>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533</v>
      </c>
      <c r="C10" s="814"/>
      <c r="D10" s="815"/>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534</v>
      </c>
      <c r="C11" s="814">
        <f>D11</f>
        <v>0</v>
      </c>
      <c r="D11" s="815"/>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535</v>
      </c>
      <c r="C12" s="814"/>
      <c r="D12" s="815"/>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536</v>
      </c>
      <c r="C13" s="814"/>
      <c r="D13" s="815"/>
      <c r="E13" s="477"/>
      <c r="F13" s="477"/>
      <c r="G13" s="477"/>
      <c r="H13" s="477"/>
      <c r="I13" s="477"/>
      <c r="J13" s="477"/>
      <c r="K13" s="477"/>
      <c r="L13" s="477"/>
      <c r="M13" s="477"/>
      <c r="N13" s="477"/>
      <c r="O13" s="477"/>
      <c r="P13" s="477"/>
      <c r="Q13" s="477"/>
      <c r="R13" s="477"/>
      <c r="S13" s="477"/>
      <c r="T13" s="477"/>
      <c r="U13" s="477"/>
      <c r="V13" s="477"/>
      <c r="W13" s="477"/>
      <c r="X13" s="477"/>
      <c r="Y13" s="477"/>
      <c r="Z13" s="477"/>
      <c r="AA13" s="477"/>
      <c r="AB13" s="507"/>
    </row>
    <row r="14" spans="1:28">
      <c r="A14" s="477">
        <v>1.6</v>
      </c>
      <c r="B14" s="509" t="s">
        <v>537</v>
      </c>
      <c r="C14" s="814"/>
      <c r="D14" s="815"/>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507"/>
    </row>
    <row r="15" spans="1:28">
      <c r="A15" s="510">
        <v>2</v>
      </c>
      <c r="B15" s="491" t="s">
        <v>538</v>
      </c>
      <c r="C15" s="816">
        <f>C18</f>
        <v>9587490.8399999999</v>
      </c>
      <c r="D15" s="816">
        <f>D18</f>
        <v>9587490.8399999999</v>
      </c>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507"/>
    </row>
    <row r="16" spans="1:28">
      <c r="A16" s="477">
        <v>2.1</v>
      </c>
      <c r="B16" s="509" t="s">
        <v>532</v>
      </c>
      <c r="C16" s="814"/>
      <c r="D16" s="815"/>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533</v>
      </c>
      <c r="C17" s="814"/>
      <c r="D17" s="815"/>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534</v>
      </c>
      <c r="C18" s="814">
        <f>D18</f>
        <v>9587490.8399999999</v>
      </c>
      <c r="D18" s="815">
        <v>9587490.8399999999</v>
      </c>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535</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536</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537</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539</v>
      </c>
      <c r="C22" s="481"/>
      <c r="D22" s="481"/>
      <c r="E22" s="508"/>
      <c r="F22" s="508"/>
      <c r="G22" s="508"/>
      <c r="H22" s="481"/>
      <c r="I22" s="508"/>
      <c r="J22" s="508"/>
      <c r="K22" s="508"/>
      <c r="L22" s="481"/>
      <c r="M22" s="508"/>
      <c r="N22" s="508"/>
      <c r="O22" s="508"/>
      <c r="P22" s="508"/>
      <c r="Q22" s="508"/>
      <c r="R22" s="508"/>
      <c r="S22" s="508"/>
      <c r="T22" s="481"/>
      <c r="U22" s="508"/>
      <c r="V22" s="508"/>
      <c r="W22" s="508"/>
      <c r="X22" s="508"/>
      <c r="Y22" s="508"/>
      <c r="Z22" s="508"/>
      <c r="AA22" s="508"/>
      <c r="AB22" s="507"/>
    </row>
    <row r="23" spans="1:28">
      <c r="A23" s="477">
        <v>3.1</v>
      </c>
      <c r="B23" s="509" t="s">
        <v>532</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533</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534</v>
      </c>
      <c r="C25" s="509"/>
      <c r="D25" s="481"/>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535</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536</v>
      </c>
      <c r="C27" s="509"/>
      <c r="D27" s="481"/>
      <c r="E27" s="508"/>
      <c r="F27" s="508"/>
      <c r="G27" s="508"/>
      <c r="H27" s="481"/>
      <c r="I27" s="508"/>
      <c r="J27" s="508"/>
      <c r="K27" s="508"/>
      <c r="L27" s="481"/>
      <c r="M27" s="508"/>
      <c r="N27" s="508"/>
      <c r="O27" s="508"/>
      <c r="P27" s="508"/>
      <c r="Q27" s="508"/>
      <c r="R27" s="508"/>
      <c r="S27" s="508"/>
      <c r="T27" s="481"/>
      <c r="U27" s="508"/>
      <c r="V27" s="508"/>
      <c r="W27" s="508"/>
      <c r="X27" s="508"/>
      <c r="Y27" s="508"/>
      <c r="Z27" s="508"/>
      <c r="AA27" s="508"/>
      <c r="AB27" s="507"/>
    </row>
    <row r="28" spans="1:28">
      <c r="A28" s="477">
        <v>3.6</v>
      </c>
      <c r="B28" s="509" t="s">
        <v>537</v>
      </c>
      <c r="C28" s="509"/>
      <c r="D28" s="481"/>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B2" sqref="B2"/>
    </sheetView>
  </sheetViews>
  <sheetFormatPr defaultColWidth="9.140625" defaultRowHeight="12.75"/>
  <cols>
    <col min="1" max="1" width="11.85546875" style="488" bestFit="1" customWidth="1"/>
    <col min="2" max="2" width="90.140625" style="488" bestFit="1" customWidth="1"/>
    <col min="3" max="3" width="20.140625" style="488" customWidth="1"/>
    <col min="4" max="4" width="22.140625" style="488" customWidth="1"/>
    <col min="5" max="7" width="17.140625" style="488" customWidth="1"/>
    <col min="8" max="8" width="22.140625" style="488" customWidth="1"/>
    <col min="9" max="10" width="17.140625" style="488" customWidth="1"/>
    <col min="11" max="27" width="22.140625" style="488" customWidth="1"/>
    <col min="28" max="16384" width="9.140625" style="488"/>
  </cols>
  <sheetData>
    <row r="1" spans="1:27" ht="13.5">
      <c r="A1" s="368" t="s">
        <v>97</v>
      </c>
      <c r="B1" s="285" t="str">
        <f>Info!C2</f>
        <v>სს "ჰეშ ბანკი"</v>
      </c>
    </row>
    <row r="2" spans="1:27">
      <c r="A2" s="370" t="s">
        <v>98</v>
      </c>
      <c r="B2" s="741">
        <f>'1. key ratios'!B2</f>
        <v>45838</v>
      </c>
    </row>
    <row r="3" spans="1:27">
      <c r="A3" s="371" t="s">
        <v>540</v>
      </c>
      <c r="C3" s="490"/>
    </row>
    <row r="4" spans="1:27" ht="13.5" thickBot="1">
      <c r="A4" s="371"/>
      <c r="B4" s="490"/>
      <c r="C4" s="490"/>
    </row>
    <row r="5" spans="1:27" s="522" customFormat="1" ht="13.5" customHeight="1">
      <c r="A5" s="928" t="s">
        <v>869</v>
      </c>
      <c r="B5" s="929"/>
      <c r="C5" s="925" t="s">
        <v>541</v>
      </c>
      <c r="D5" s="926"/>
      <c r="E5" s="926"/>
      <c r="F5" s="926"/>
      <c r="G5" s="926"/>
      <c r="H5" s="926"/>
      <c r="I5" s="926"/>
      <c r="J5" s="926"/>
      <c r="K5" s="926"/>
      <c r="L5" s="926"/>
      <c r="M5" s="926"/>
      <c r="N5" s="926"/>
      <c r="O5" s="926"/>
      <c r="P5" s="926"/>
      <c r="Q5" s="926"/>
      <c r="R5" s="926"/>
      <c r="S5" s="926"/>
      <c r="T5" s="926"/>
      <c r="U5" s="926"/>
      <c r="V5" s="926"/>
      <c r="W5" s="926"/>
      <c r="X5" s="926"/>
      <c r="Y5" s="926"/>
      <c r="Z5" s="926"/>
      <c r="AA5" s="927"/>
    </row>
    <row r="6" spans="1:27" s="522" customFormat="1" ht="12" customHeight="1">
      <c r="A6" s="930"/>
      <c r="B6" s="931"/>
      <c r="C6" s="935" t="s">
        <v>66</v>
      </c>
      <c r="D6" s="934" t="s">
        <v>860</v>
      </c>
      <c r="E6" s="934"/>
      <c r="F6" s="934"/>
      <c r="G6" s="934"/>
      <c r="H6" s="920" t="s">
        <v>859</v>
      </c>
      <c r="I6" s="921"/>
      <c r="J6" s="921"/>
      <c r="K6" s="921"/>
      <c r="L6" s="518"/>
      <c r="M6" s="902" t="s">
        <v>858</v>
      </c>
      <c r="N6" s="902"/>
      <c r="O6" s="902"/>
      <c r="P6" s="902"/>
      <c r="Q6" s="902"/>
      <c r="R6" s="902"/>
      <c r="S6" s="900"/>
      <c r="T6" s="518"/>
      <c r="U6" s="902" t="s">
        <v>857</v>
      </c>
      <c r="V6" s="902"/>
      <c r="W6" s="902"/>
      <c r="X6" s="902"/>
      <c r="Y6" s="902"/>
      <c r="Z6" s="902"/>
      <c r="AA6" s="924"/>
    </row>
    <row r="7" spans="1:27" s="522" customFormat="1" ht="38.25">
      <c r="A7" s="932"/>
      <c r="B7" s="933"/>
      <c r="C7" s="936"/>
      <c r="D7" s="516"/>
      <c r="E7" s="512" t="s">
        <v>530</v>
      </c>
      <c r="F7" s="485" t="s">
        <v>855</v>
      </c>
      <c r="G7" s="485" t="s">
        <v>856</v>
      </c>
      <c r="H7" s="557"/>
      <c r="I7" s="512" t="s">
        <v>530</v>
      </c>
      <c r="J7" s="485" t="s">
        <v>855</v>
      </c>
      <c r="K7" s="485" t="s">
        <v>856</v>
      </c>
      <c r="L7" s="513"/>
      <c r="M7" s="512" t="s">
        <v>530</v>
      </c>
      <c r="N7" s="485" t="s">
        <v>868</v>
      </c>
      <c r="O7" s="485" t="s">
        <v>867</v>
      </c>
      <c r="P7" s="485" t="s">
        <v>866</v>
      </c>
      <c r="Q7" s="485" t="s">
        <v>865</v>
      </c>
      <c r="R7" s="485" t="s">
        <v>864</v>
      </c>
      <c r="S7" s="485" t="s">
        <v>850</v>
      </c>
      <c r="T7" s="513"/>
      <c r="U7" s="512" t="s">
        <v>530</v>
      </c>
      <c r="V7" s="485" t="s">
        <v>868</v>
      </c>
      <c r="W7" s="485" t="s">
        <v>867</v>
      </c>
      <c r="X7" s="485" t="s">
        <v>866</v>
      </c>
      <c r="Y7" s="485" t="s">
        <v>865</v>
      </c>
      <c r="Z7" s="485" t="s">
        <v>864</v>
      </c>
      <c r="AA7" s="485" t="s">
        <v>850</v>
      </c>
    </row>
    <row r="8" spans="1:27">
      <c r="A8" s="556">
        <v>1</v>
      </c>
      <c r="B8" s="555" t="s">
        <v>531</v>
      </c>
      <c r="C8" s="554"/>
      <c r="D8" s="477"/>
      <c r="E8" s="477"/>
      <c r="F8" s="477"/>
      <c r="G8" s="477"/>
      <c r="H8" s="477"/>
      <c r="I8" s="477"/>
      <c r="J8" s="477"/>
      <c r="K8" s="477"/>
      <c r="L8" s="477"/>
      <c r="M8" s="477"/>
      <c r="N8" s="477"/>
      <c r="O8" s="477"/>
      <c r="P8" s="477"/>
      <c r="Q8" s="477"/>
      <c r="R8" s="477"/>
      <c r="S8" s="477"/>
      <c r="T8" s="477"/>
      <c r="U8" s="477"/>
      <c r="V8" s="477"/>
      <c r="W8" s="477"/>
      <c r="X8" s="477"/>
      <c r="Y8" s="477"/>
      <c r="Z8" s="477"/>
      <c r="AA8" s="544"/>
    </row>
    <row r="9" spans="1:27">
      <c r="A9" s="552">
        <v>1.1000000000000001</v>
      </c>
      <c r="B9" s="553" t="s">
        <v>542</v>
      </c>
      <c r="C9" s="552"/>
      <c r="D9" s="477"/>
      <c r="E9" s="477"/>
      <c r="F9" s="477"/>
      <c r="G9" s="477"/>
      <c r="H9" s="477"/>
      <c r="I9" s="477"/>
      <c r="J9" s="477"/>
      <c r="K9" s="477"/>
      <c r="L9" s="477"/>
      <c r="M9" s="477"/>
      <c r="N9" s="477"/>
      <c r="O9" s="477"/>
      <c r="P9" s="477"/>
      <c r="Q9" s="477"/>
      <c r="R9" s="477"/>
      <c r="S9" s="477"/>
      <c r="T9" s="477"/>
      <c r="U9" s="477"/>
      <c r="V9" s="477"/>
      <c r="W9" s="477"/>
      <c r="X9" s="477"/>
      <c r="Y9" s="477"/>
      <c r="Z9" s="477"/>
      <c r="AA9" s="544"/>
    </row>
    <row r="10" spans="1:27">
      <c r="A10" s="550" t="s">
        <v>146</v>
      </c>
      <c r="B10" s="551" t="s">
        <v>543</v>
      </c>
      <c r="C10" s="550"/>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544"/>
    </row>
    <row r="11" spans="1:27">
      <c r="A11" s="549" t="s">
        <v>544</v>
      </c>
      <c r="B11" s="548" t="s">
        <v>545</v>
      </c>
      <c r="C11" s="54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544"/>
    </row>
    <row r="12" spans="1:27">
      <c r="A12" s="549" t="s">
        <v>546</v>
      </c>
      <c r="B12" s="548" t="s">
        <v>547</v>
      </c>
      <c r="C12" s="54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544"/>
    </row>
    <row r="13" spans="1:27">
      <c r="A13" s="549" t="s">
        <v>548</v>
      </c>
      <c r="B13" s="548" t="s">
        <v>549</v>
      </c>
      <c r="C13" s="547"/>
      <c r="D13" s="477"/>
      <c r="E13" s="477"/>
      <c r="F13" s="477"/>
      <c r="G13" s="477"/>
      <c r="H13" s="477"/>
      <c r="I13" s="477"/>
      <c r="J13" s="477"/>
      <c r="K13" s="477"/>
      <c r="L13" s="477"/>
      <c r="M13" s="477"/>
      <c r="N13" s="477"/>
      <c r="O13" s="477"/>
      <c r="P13" s="477"/>
      <c r="Q13" s="477"/>
      <c r="R13" s="477"/>
      <c r="S13" s="477"/>
      <c r="T13" s="477"/>
      <c r="U13" s="477"/>
      <c r="V13" s="477"/>
      <c r="W13" s="477"/>
      <c r="X13" s="477"/>
      <c r="Y13" s="477"/>
      <c r="Z13" s="477"/>
      <c r="AA13" s="544"/>
    </row>
    <row r="14" spans="1:27">
      <c r="A14" s="549" t="s">
        <v>550</v>
      </c>
      <c r="B14" s="548" t="s">
        <v>551</v>
      </c>
      <c r="C14" s="547"/>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544"/>
    </row>
    <row r="15" spans="1:27">
      <c r="A15" s="546">
        <v>1.2</v>
      </c>
      <c r="B15" s="542" t="s">
        <v>863</v>
      </c>
      <c r="C15" s="545"/>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544"/>
    </row>
    <row r="16" spans="1:27">
      <c r="A16" s="543">
        <v>1.3</v>
      </c>
      <c r="B16" s="542" t="s">
        <v>552</v>
      </c>
      <c r="C16" s="541"/>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39"/>
    </row>
    <row r="17" spans="1:27" s="522" customFormat="1" ht="25.5">
      <c r="A17" s="536" t="s">
        <v>553</v>
      </c>
      <c r="B17" s="538" t="s">
        <v>554</v>
      </c>
      <c r="C17" s="537"/>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528"/>
    </row>
    <row r="18" spans="1:27" s="522" customFormat="1" ht="25.5">
      <c r="A18" s="532" t="s">
        <v>555</v>
      </c>
      <c r="B18" s="533" t="s">
        <v>556</v>
      </c>
      <c r="C18" s="532"/>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528"/>
    </row>
    <row r="19" spans="1:27" s="522" customFormat="1">
      <c r="A19" s="536" t="s">
        <v>557</v>
      </c>
      <c r="B19" s="535" t="s">
        <v>558</v>
      </c>
      <c r="C19" s="534"/>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528"/>
    </row>
    <row r="20" spans="1:27" s="522" customFormat="1">
      <c r="A20" s="532" t="s">
        <v>559</v>
      </c>
      <c r="B20" s="533" t="s">
        <v>560</v>
      </c>
      <c r="C20" s="532"/>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528"/>
    </row>
    <row r="21" spans="1:27" s="522" customFormat="1">
      <c r="A21" s="531">
        <v>1.4</v>
      </c>
      <c r="B21" s="530" t="s">
        <v>649</v>
      </c>
      <c r="C21" s="529"/>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528"/>
    </row>
    <row r="22" spans="1:27" s="522" customFormat="1" ht="13.5" thickBot="1">
      <c r="A22" s="527">
        <v>1.5</v>
      </c>
      <c r="B22" s="526" t="s">
        <v>650</v>
      </c>
      <c r="C22" s="525"/>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topLeftCell="A7" zoomScaleNormal="100" workbookViewId="0">
      <selection activeCell="F70" sqref="F70:G70"/>
    </sheetView>
  </sheetViews>
  <sheetFormatPr defaultRowHeight="15"/>
  <cols>
    <col min="1" max="1" width="8.85546875" style="447"/>
    <col min="2" max="2" width="69.140625" style="419" customWidth="1"/>
    <col min="3" max="3" width="13.5703125" customWidth="1"/>
    <col min="4" max="4" width="14.42578125" customWidth="1"/>
    <col min="5" max="8" width="13.140625" customWidth="1"/>
  </cols>
  <sheetData>
    <row r="1" spans="1:8" ht="15.75">
      <c r="A1" s="17" t="s">
        <v>97</v>
      </c>
      <c r="B1" s="285" t="str">
        <f>Info!C2</f>
        <v>სს "ჰეშ ბანკი"</v>
      </c>
      <c r="C1" s="16"/>
      <c r="D1" s="221"/>
      <c r="E1" s="221"/>
      <c r="F1" s="221"/>
      <c r="G1" s="221"/>
    </row>
    <row r="2" spans="1:8" ht="15.75">
      <c r="A2" s="17" t="s">
        <v>98</v>
      </c>
      <c r="B2" s="726">
        <f>'1. key ratios'!B2</f>
        <v>45838</v>
      </c>
      <c r="C2" s="28"/>
      <c r="D2" s="18"/>
      <c r="E2" s="18"/>
      <c r="F2" s="18"/>
      <c r="G2" s="18"/>
      <c r="H2" s="1"/>
    </row>
    <row r="3" spans="1:8" ht="15.75">
      <c r="A3" s="17"/>
      <c r="B3" s="16"/>
      <c r="C3" s="28"/>
      <c r="D3" s="18"/>
      <c r="E3" s="18"/>
      <c r="F3" s="18"/>
      <c r="G3" s="18"/>
      <c r="H3" s="1"/>
    </row>
    <row r="4" spans="1:8" ht="21" customHeight="1">
      <c r="A4" s="828" t="s">
        <v>25</v>
      </c>
      <c r="B4" s="829" t="s">
        <v>697</v>
      </c>
      <c r="C4" s="831" t="s">
        <v>103</v>
      </c>
      <c r="D4" s="831"/>
      <c r="E4" s="831"/>
      <c r="F4" s="831" t="s">
        <v>104</v>
      </c>
      <c r="G4" s="831"/>
      <c r="H4" s="832"/>
    </row>
    <row r="5" spans="1:8" ht="21" customHeight="1">
      <c r="A5" s="828"/>
      <c r="B5" s="830"/>
      <c r="C5" s="390" t="s">
        <v>26</v>
      </c>
      <c r="D5" s="390" t="s">
        <v>77</v>
      </c>
      <c r="E5" s="390" t="s">
        <v>66</v>
      </c>
      <c r="F5" s="390" t="s">
        <v>26</v>
      </c>
      <c r="G5" s="390" t="s">
        <v>77</v>
      </c>
      <c r="H5" s="390" t="s">
        <v>66</v>
      </c>
    </row>
    <row r="6" spans="1:8" ht="26.45" customHeight="1">
      <c r="A6" s="828"/>
      <c r="B6" s="391" t="s">
        <v>84</v>
      </c>
      <c r="C6" s="833"/>
      <c r="D6" s="834"/>
      <c r="E6" s="834"/>
      <c r="F6" s="834"/>
      <c r="G6" s="834"/>
      <c r="H6" s="835"/>
    </row>
    <row r="7" spans="1:8" ht="23.1" customHeight="1">
      <c r="A7" s="435">
        <v>1</v>
      </c>
      <c r="B7" s="392" t="s">
        <v>811</v>
      </c>
      <c r="C7" s="743">
        <f>SUM(C8:C10)</f>
        <v>15488761.75</v>
      </c>
      <c r="D7" s="743">
        <f>SUM(D8:D10)</f>
        <v>2551700.96</v>
      </c>
      <c r="E7" s="744">
        <f>C7+D7</f>
        <v>18040462.710000001</v>
      </c>
      <c r="F7" s="743">
        <v>2859305.78</v>
      </c>
      <c r="G7" s="743">
        <v>6456.4014999999999</v>
      </c>
      <c r="H7" s="744">
        <f>F7+G7</f>
        <v>2865762.1814999999</v>
      </c>
    </row>
    <row r="8" spans="1:8">
      <c r="A8" s="435">
        <v>1.1000000000000001</v>
      </c>
      <c r="B8" s="393" t="s">
        <v>85</v>
      </c>
      <c r="C8" s="743"/>
      <c r="D8" s="743"/>
      <c r="E8" s="744">
        <f t="shared" ref="E8:E36" si="0">C8+D8</f>
        <v>0</v>
      </c>
      <c r="F8" s="743"/>
      <c r="G8" s="743"/>
      <c r="H8" s="744">
        <f t="shared" ref="H8:H36" si="1">F8+G8</f>
        <v>0</v>
      </c>
    </row>
    <row r="9" spans="1:8">
      <c r="A9" s="435">
        <v>1.2</v>
      </c>
      <c r="B9" s="393" t="s">
        <v>86</v>
      </c>
      <c r="C9" s="743">
        <v>566128</v>
      </c>
      <c r="D9" s="743">
        <v>692</v>
      </c>
      <c r="E9" s="744">
        <f t="shared" si="0"/>
        <v>566820</v>
      </c>
      <c r="F9" s="743"/>
      <c r="G9" s="743"/>
      <c r="H9" s="744">
        <f t="shared" si="1"/>
        <v>0</v>
      </c>
    </row>
    <row r="10" spans="1:8">
      <c r="A10" s="435">
        <v>1.3</v>
      </c>
      <c r="B10" s="393" t="s">
        <v>87</v>
      </c>
      <c r="C10" s="743">
        <v>14922633.75</v>
      </c>
      <c r="D10" s="743">
        <v>2551008.96</v>
      </c>
      <c r="E10" s="744">
        <f t="shared" si="0"/>
        <v>17473642.710000001</v>
      </c>
      <c r="F10" s="743">
        <v>2859305.78</v>
      </c>
      <c r="G10" s="743">
        <v>6456.4014999999999</v>
      </c>
      <c r="H10" s="744">
        <f t="shared" si="1"/>
        <v>2865762.1814999999</v>
      </c>
    </row>
    <row r="11" spans="1:8">
      <c r="A11" s="435">
        <v>2</v>
      </c>
      <c r="B11" s="394" t="s">
        <v>698</v>
      </c>
      <c r="C11" s="743"/>
      <c r="D11" s="743"/>
      <c r="E11" s="744">
        <f t="shared" si="0"/>
        <v>0</v>
      </c>
      <c r="F11" s="743"/>
      <c r="G11" s="743"/>
      <c r="H11" s="744">
        <f t="shared" si="1"/>
        <v>0</v>
      </c>
    </row>
    <row r="12" spans="1:8">
      <c r="A12" s="435">
        <v>2.1</v>
      </c>
      <c r="B12" s="395" t="s">
        <v>699</v>
      </c>
      <c r="C12" s="743"/>
      <c r="D12" s="743"/>
      <c r="E12" s="744">
        <f t="shared" si="0"/>
        <v>0</v>
      </c>
      <c r="F12" s="743"/>
      <c r="G12" s="743"/>
      <c r="H12" s="744">
        <f t="shared" si="1"/>
        <v>0</v>
      </c>
    </row>
    <row r="13" spans="1:8" ht="26.45" customHeight="1">
      <c r="A13" s="435">
        <v>3</v>
      </c>
      <c r="B13" s="396" t="s">
        <v>700</v>
      </c>
      <c r="C13" s="743"/>
      <c r="D13" s="743"/>
      <c r="E13" s="744">
        <f t="shared" si="0"/>
        <v>0</v>
      </c>
      <c r="F13" s="743"/>
      <c r="G13" s="743"/>
      <c r="H13" s="744">
        <f t="shared" si="1"/>
        <v>0</v>
      </c>
    </row>
    <row r="14" spans="1:8" ht="26.45" customHeight="1">
      <c r="A14" s="435">
        <v>4</v>
      </c>
      <c r="B14" s="397" t="s">
        <v>701</v>
      </c>
      <c r="C14" s="743"/>
      <c r="D14" s="743"/>
      <c r="E14" s="744">
        <f t="shared" si="0"/>
        <v>0</v>
      </c>
      <c r="F14" s="743"/>
      <c r="G14" s="743"/>
      <c r="H14" s="744">
        <f t="shared" si="1"/>
        <v>0</v>
      </c>
    </row>
    <row r="15" spans="1:8" ht="24.6" customHeight="1">
      <c r="A15" s="435">
        <v>5</v>
      </c>
      <c r="B15" s="397" t="s">
        <v>702</v>
      </c>
      <c r="C15" s="745">
        <f>SUM(C16:C18)</f>
        <v>0</v>
      </c>
      <c r="D15" s="745">
        <f>SUM(D16:D18)</f>
        <v>0</v>
      </c>
      <c r="E15" s="746">
        <f t="shared" si="0"/>
        <v>0</v>
      </c>
      <c r="F15" s="745">
        <v>0</v>
      </c>
      <c r="G15" s="745">
        <v>0</v>
      </c>
      <c r="H15" s="746">
        <f t="shared" si="1"/>
        <v>0</v>
      </c>
    </row>
    <row r="16" spans="1:8">
      <c r="A16" s="435">
        <v>5.0999999999999996</v>
      </c>
      <c r="B16" s="398" t="s">
        <v>703</v>
      </c>
      <c r="C16" s="743"/>
      <c r="D16" s="743"/>
      <c r="E16" s="744">
        <f t="shared" si="0"/>
        <v>0</v>
      </c>
      <c r="F16" s="743">
        <v>0</v>
      </c>
      <c r="G16" s="743">
        <v>0</v>
      </c>
      <c r="H16" s="744">
        <f t="shared" si="1"/>
        <v>0</v>
      </c>
    </row>
    <row r="17" spans="1:8">
      <c r="A17" s="435">
        <v>5.2</v>
      </c>
      <c r="B17" s="398" t="s">
        <v>538</v>
      </c>
      <c r="C17" s="742"/>
      <c r="D17" s="743"/>
      <c r="E17" s="744">
        <f t="shared" si="0"/>
        <v>0</v>
      </c>
      <c r="F17" s="742"/>
      <c r="G17" s="743"/>
      <c r="H17" s="744">
        <f t="shared" si="1"/>
        <v>0</v>
      </c>
    </row>
    <row r="18" spans="1:8">
      <c r="A18" s="435">
        <v>5.3</v>
      </c>
      <c r="B18" s="398" t="s">
        <v>704</v>
      </c>
      <c r="C18" s="743"/>
      <c r="D18" s="743"/>
      <c r="E18" s="744">
        <f t="shared" si="0"/>
        <v>0</v>
      </c>
      <c r="F18" s="743"/>
      <c r="G18" s="743"/>
      <c r="H18" s="744">
        <f t="shared" si="1"/>
        <v>0</v>
      </c>
    </row>
    <row r="19" spans="1:8">
      <c r="A19" s="435">
        <v>6</v>
      </c>
      <c r="B19" s="396" t="s">
        <v>705</v>
      </c>
      <c r="C19" s="743">
        <f>SUM(C20:C21)</f>
        <v>9553935</v>
      </c>
      <c r="D19" s="743">
        <f>SUM(D20:D21)</f>
        <v>0</v>
      </c>
      <c r="E19" s="744">
        <f t="shared" si="0"/>
        <v>9553935</v>
      </c>
      <c r="F19" s="743">
        <v>6224559</v>
      </c>
      <c r="G19" s="743">
        <v>0</v>
      </c>
      <c r="H19" s="744">
        <f t="shared" si="1"/>
        <v>6224559</v>
      </c>
    </row>
    <row r="20" spans="1:8">
      <c r="A20" s="435">
        <v>6.1</v>
      </c>
      <c r="B20" s="398" t="s">
        <v>538</v>
      </c>
      <c r="C20" s="742">
        <v>9553935</v>
      </c>
      <c r="D20" s="743"/>
      <c r="E20" s="744">
        <f t="shared" si="0"/>
        <v>9553935</v>
      </c>
      <c r="F20" s="742">
        <v>6224559</v>
      </c>
      <c r="G20" s="743"/>
      <c r="H20" s="744">
        <f t="shared" si="1"/>
        <v>6224559</v>
      </c>
    </row>
    <row r="21" spans="1:8">
      <c r="A21" s="435">
        <v>6.2</v>
      </c>
      <c r="B21" s="398" t="s">
        <v>704</v>
      </c>
      <c r="C21" s="743"/>
      <c r="D21" s="743"/>
      <c r="E21" s="744">
        <f t="shared" si="0"/>
        <v>0</v>
      </c>
      <c r="F21" s="743">
        <v>0</v>
      </c>
      <c r="G21" s="743">
        <v>0</v>
      </c>
      <c r="H21" s="744">
        <f t="shared" si="1"/>
        <v>0</v>
      </c>
    </row>
    <row r="22" spans="1:8">
      <c r="A22" s="435">
        <v>7</v>
      </c>
      <c r="B22" s="399" t="s">
        <v>706</v>
      </c>
      <c r="C22" s="743"/>
      <c r="D22" s="743"/>
      <c r="E22" s="744">
        <f t="shared" si="0"/>
        <v>0</v>
      </c>
      <c r="F22" s="743">
        <v>0</v>
      </c>
      <c r="G22" s="743"/>
      <c r="H22" s="744">
        <f t="shared" si="1"/>
        <v>0</v>
      </c>
    </row>
    <row r="23" spans="1:8" ht="21">
      <c r="A23" s="435">
        <v>8</v>
      </c>
      <c r="B23" s="400" t="s">
        <v>707</v>
      </c>
      <c r="C23" s="743"/>
      <c r="D23" s="743"/>
      <c r="E23" s="744">
        <f t="shared" si="0"/>
        <v>0</v>
      </c>
      <c r="F23" s="743"/>
      <c r="G23" s="743"/>
      <c r="H23" s="744">
        <f t="shared" si="1"/>
        <v>0</v>
      </c>
    </row>
    <row r="24" spans="1:8">
      <c r="A24" s="435">
        <v>9</v>
      </c>
      <c r="B24" s="397" t="s">
        <v>708</v>
      </c>
      <c r="C24" s="743">
        <f>SUM(C25:C26)</f>
        <v>3310825</v>
      </c>
      <c r="D24" s="743">
        <f>SUM(D25:D26)</f>
        <v>0</v>
      </c>
      <c r="E24" s="744">
        <f t="shared" si="0"/>
        <v>3310825</v>
      </c>
      <c r="F24" s="743">
        <v>562013</v>
      </c>
      <c r="G24" s="743">
        <v>0</v>
      </c>
      <c r="H24" s="744">
        <f t="shared" si="1"/>
        <v>562013</v>
      </c>
    </row>
    <row r="25" spans="1:8">
      <c r="A25" s="435">
        <v>9.1</v>
      </c>
      <c r="B25" s="401" t="s">
        <v>709</v>
      </c>
      <c r="C25" s="742">
        <v>3310825</v>
      </c>
      <c r="D25" s="743"/>
      <c r="E25" s="744">
        <f t="shared" si="0"/>
        <v>3310825</v>
      </c>
      <c r="F25" s="742">
        <v>562013</v>
      </c>
      <c r="G25" s="743"/>
      <c r="H25" s="744">
        <f t="shared" si="1"/>
        <v>562013</v>
      </c>
    </row>
    <row r="26" spans="1:8">
      <c r="A26" s="435">
        <v>9.1999999999999993</v>
      </c>
      <c r="B26" s="401" t="s">
        <v>710</v>
      </c>
      <c r="C26" s="743"/>
      <c r="D26" s="743"/>
      <c r="E26" s="744">
        <f t="shared" si="0"/>
        <v>0</v>
      </c>
      <c r="F26" s="743">
        <v>0</v>
      </c>
      <c r="G26" s="743"/>
      <c r="H26" s="744">
        <f t="shared" si="1"/>
        <v>0</v>
      </c>
    </row>
    <row r="27" spans="1:8">
      <c r="A27" s="435">
        <v>10</v>
      </c>
      <c r="B27" s="397" t="s">
        <v>36</v>
      </c>
      <c r="C27" s="743">
        <f>SUM(C28:C29)</f>
        <v>5342957</v>
      </c>
      <c r="D27" s="743">
        <f>SUM(D28:D29)</f>
        <v>0</v>
      </c>
      <c r="E27" s="744">
        <f t="shared" si="0"/>
        <v>5342957</v>
      </c>
      <c r="F27" s="743">
        <v>1387678.77</v>
      </c>
      <c r="G27" s="743">
        <v>0</v>
      </c>
      <c r="H27" s="744">
        <f t="shared" si="1"/>
        <v>1387678.77</v>
      </c>
    </row>
    <row r="28" spans="1:8">
      <c r="A28" s="435">
        <v>10.1</v>
      </c>
      <c r="B28" s="401" t="s">
        <v>711</v>
      </c>
      <c r="C28" s="743"/>
      <c r="D28" s="743"/>
      <c r="E28" s="744">
        <f t="shared" si="0"/>
        <v>0</v>
      </c>
      <c r="F28" s="743"/>
      <c r="G28" s="743"/>
      <c r="H28" s="744">
        <f t="shared" si="1"/>
        <v>0</v>
      </c>
    </row>
    <row r="29" spans="1:8">
      <c r="A29" s="435">
        <v>10.199999999999999</v>
      </c>
      <c r="B29" s="401" t="s">
        <v>712</v>
      </c>
      <c r="C29" s="742">
        <v>5342957</v>
      </c>
      <c r="D29" s="743"/>
      <c r="E29" s="744">
        <f t="shared" si="0"/>
        <v>5342957</v>
      </c>
      <c r="F29" s="742">
        <v>1387678.77</v>
      </c>
      <c r="G29" s="743"/>
      <c r="H29" s="744">
        <f t="shared" si="1"/>
        <v>1387678.77</v>
      </c>
    </row>
    <row r="30" spans="1:8">
      <c r="A30" s="435">
        <v>11</v>
      </c>
      <c r="B30" s="397" t="s">
        <v>713</v>
      </c>
      <c r="C30" s="743">
        <f>SUM(C31:C32)</f>
        <v>0</v>
      </c>
      <c r="D30" s="743">
        <f>SUM(D31:D32)</f>
        <v>0</v>
      </c>
      <c r="E30" s="744">
        <f t="shared" si="0"/>
        <v>0</v>
      </c>
      <c r="F30" s="743">
        <v>832564</v>
      </c>
      <c r="G30" s="743">
        <v>0</v>
      </c>
      <c r="H30" s="744">
        <f t="shared" si="1"/>
        <v>832564</v>
      </c>
    </row>
    <row r="31" spans="1:8">
      <c r="A31" s="435">
        <v>11.1</v>
      </c>
      <c r="B31" s="401" t="s">
        <v>714</v>
      </c>
      <c r="C31" s="742">
        <v>0</v>
      </c>
      <c r="D31" s="743"/>
      <c r="E31" s="744">
        <f t="shared" si="0"/>
        <v>0</v>
      </c>
      <c r="F31" s="742">
        <v>1196</v>
      </c>
      <c r="G31" s="743"/>
      <c r="H31" s="744">
        <f t="shared" si="1"/>
        <v>1196</v>
      </c>
    </row>
    <row r="32" spans="1:8">
      <c r="A32" s="435">
        <v>11.2</v>
      </c>
      <c r="B32" s="401" t="s">
        <v>715</v>
      </c>
      <c r="C32" s="742">
        <v>0</v>
      </c>
      <c r="D32" s="743"/>
      <c r="E32" s="744">
        <f t="shared" si="0"/>
        <v>0</v>
      </c>
      <c r="F32" s="742">
        <v>831368</v>
      </c>
      <c r="G32" s="743"/>
      <c r="H32" s="744">
        <f t="shared" si="1"/>
        <v>831368</v>
      </c>
    </row>
    <row r="33" spans="1:8">
      <c r="A33" s="435">
        <v>13</v>
      </c>
      <c r="B33" s="397" t="s">
        <v>88</v>
      </c>
      <c r="C33" s="743">
        <v>974220.25</v>
      </c>
      <c r="D33" s="743">
        <v>13588.04</v>
      </c>
      <c r="E33" s="744">
        <f t="shared" si="0"/>
        <v>987808.29</v>
      </c>
      <c r="F33" s="742">
        <v>1215238</v>
      </c>
      <c r="G33" s="742">
        <v>210.64510000000001</v>
      </c>
      <c r="H33" s="744">
        <f t="shared" si="1"/>
        <v>1215448.6451000001</v>
      </c>
    </row>
    <row r="34" spans="1:8">
      <c r="A34" s="435">
        <v>13.1</v>
      </c>
      <c r="B34" s="402" t="s">
        <v>716</v>
      </c>
      <c r="C34" s="743"/>
      <c r="D34" s="743"/>
      <c r="E34" s="744">
        <f t="shared" si="0"/>
        <v>0</v>
      </c>
      <c r="F34" s="743">
        <v>0</v>
      </c>
      <c r="G34" s="743"/>
      <c r="H34" s="744">
        <f t="shared" si="1"/>
        <v>0</v>
      </c>
    </row>
    <row r="35" spans="1:8">
      <c r="A35" s="435">
        <v>13.2</v>
      </c>
      <c r="B35" s="402" t="s">
        <v>717</v>
      </c>
      <c r="C35" s="743"/>
      <c r="D35" s="743"/>
      <c r="E35" s="744">
        <f t="shared" si="0"/>
        <v>0</v>
      </c>
      <c r="F35" s="743"/>
      <c r="G35" s="743"/>
      <c r="H35" s="744">
        <f t="shared" si="1"/>
        <v>0</v>
      </c>
    </row>
    <row r="36" spans="1:8">
      <c r="A36" s="435">
        <v>14</v>
      </c>
      <c r="B36" s="403" t="s">
        <v>718</v>
      </c>
      <c r="C36" s="743">
        <f>SUM(C7,C11,C13,C14,C15,C19,C22,C23,C24,C27,C30,C33)</f>
        <v>34670699</v>
      </c>
      <c r="D36" s="743">
        <f>SUM(D7,D11,D13,D14,D15,D19,D22,D23,D24,D27,D30,D33)</f>
        <v>2565289</v>
      </c>
      <c r="E36" s="744">
        <f t="shared" si="0"/>
        <v>37235988</v>
      </c>
      <c r="F36" s="743">
        <f>SUM(F7,F11,F13,F14,F15,F19,F22,F23,F24,F27,F30,F33)</f>
        <v>13081358.549999999</v>
      </c>
      <c r="G36" s="743">
        <f>SUM(G7,G11,G13,G14,G15,G19,G22,G23,G24,G27,G30,G33)</f>
        <v>6667.0465999999997</v>
      </c>
      <c r="H36" s="744">
        <f t="shared" si="1"/>
        <v>13088025.596599998</v>
      </c>
    </row>
    <row r="37" spans="1:8" ht="22.5" customHeight="1">
      <c r="A37" s="435"/>
      <c r="B37" s="404" t="s">
        <v>93</v>
      </c>
      <c r="C37" s="822"/>
      <c r="D37" s="823"/>
      <c r="E37" s="823"/>
      <c r="F37" s="823"/>
      <c r="G37" s="823"/>
      <c r="H37" s="824"/>
    </row>
    <row r="38" spans="1:8">
      <c r="A38" s="435">
        <v>15</v>
      </c>
      <c r="B38" s="405" t="s">
        <v>719</v>
      </c>
      <c r="C38" s="747"/>
      <c r="D38" s="747"/>
      <c r="E38" s="748">
        <f>C38+D38</f>
        <v>0</v>
      </c>
      <c r="F38" s="747"/>
      <c r="G38" s="747"/>
      <c r="H38" s="748">
        <f>F38+G38</f>
        <v>0</v>
      </c>
    </row>
    <row r="39" spans="1:8">
      <c r="A39" s="435">
        <v>15.1</v>
      </c>
      <c r="B39" s="406" t="s">
        <v>699</v>
      </c>
      <c r="C39" s="747"/>
      <c r="D39" s="747"/>
      <c r="E39" s="748">
        <f t="shared" ref="E39:E53" si="2">C39+D39</f>
        <v>0</v>
      </c>
      <c r="F39" s="747"/>
      <c r="G39" s="747"/>
      <c r="H39" s="748">
        <f t="shared" ref="H39:H53" si="3">F39+G39</f>
        <v>0</v>
      </c>
    </row>
    <row r="40" spans="1:8" ht="24" customHeight="1">
      <c r="A40" s="435">
        <v>16</v>
      </c>
      <c r="B40" s="399" t="s">
        <v>720</v>
      </c>
      <c r="C40" s="747"/>
      <c r="D40" s="747"/>
      <c r="E40" s="748">
        <f t="shared" si="2"/>
        <v>0</v>
      </c>
      <c r="F40" s="747"/>
      <c r="G40" s="747"/>
      <c r="H40" s="748">
        <f t="shared" si="3"/>
        <v>0</v>
      </c>
    </row>
    <row r="41" spans="1:8" ht="21">
      <c r="A41" s="435">
        <v>17</v>
      </c>
      <c r="B41" s="399" t="s">
        <v>721</v>
      </c>
      <c r="C41" s="747">
        <f>SUM(C42:C45)</f>
        <v>398072</v>
      </c>
      <c r="D41" s="747">
        <f>SUM(D42:D45)</f>
        <v>2133692</v>
      </c>
      <c r="E41" s="748">
        <f t="shared" si="2"/>
        <v>2531764</v>
      </c>
      <c r="F41" s="747"/>
      <c r="G41" s="747"/>
      <c r="H41" s="748">
        <f t="shared" si="3"/>
        <v>0</v>
      </c>
    </row>
    <row r="42" spans="1:8">
      <c r="A42" s="435">
        <v>17.100000000000001</v>
      </c>
      <c r="B42" s="407" t="s">
        <v>722</v>
      </c>
      <c r="C42" s="742">
        <v>398072</v>
      </c>
      <c r="D42" s="742">
        <v>4754</v>
      </c>
      <c r="E42" s="748">
        <f t="shared" si="2"/>
        <v>402826</v>
      </c>
      <c r="F42" s="747"/>
      <c r="G42" s="747"/>
      <c r="H42" s="748">
        <f t="shared" si="3"/>
        <v>0</v>
      </c>
    </row>
    <row r="43" spans="1:8">
      <c r="A43" s="435">
        <v>17.2</v>
      </c>
      <c r="B43" s="408" t="s">
        <v>89</v>
      </c>
      <c r="C43" s="747"/>
      <c r="D43" s="747"/>
      <c r="E43" s="748">
        <f t="shared" si="2"/>
        <v>0</v>
      </c>
      <c r="F43" s="747"/>
      <c r="G43" s="747"/>
      <c r="H43" s="748">
        <f t="shared" si="3"/>
        <v>0</v>
      </c>
    </row>
    <row r="44" spans="1:8">
      <c r="A44" s="435">
        <v>17.3</v>
      </c>
      <c r="B44" s="407" t="s">
        <v>723</v>
      </c>
      <c r="C44" s="747"/>
      <c r="D44" s="747"/>
      <c r="E44" s="748">
        <f t="shared" si="2"/>
        <v>0</v>
      </c>
      <c r="F44" s="747"/>
      <c r="G44" s="747"/>
      <c r="H44" s="748">
        <f t="shared" si="3"/>
        <v>0</v>
      </c>
    </row>
    <row r="45" spans="1:8">
      <c r="A45" s="435">
        <v>17.399999999999999</v>
      </c>
      <c r="B45" s="407" t="s">
        <v>724</v>
      </c>
      <c r="C45" s="747"/>
      <c r="D45" s="747">
        <v>2128938</v>
      </c>
      <c r="E45" s="748">
        <f t="shared" si="2"/>
        <v>2128938</v>
      </c>
      <c r="F45" s="747"/>
      <c r="G45" s="747"/>
      <c r="H45" s="748">
        <f t="shared" si="3"/>
        <v>0</v>
      </c>
    </row>
    <row r="46" spans="1:8">
      <c r="A46" s="435">
        <v>18</v>
      </c>
      <c r="B46" s="409" t="s">
        <v>725</v>
      </c>
      <c r="C46" s="747"/>
      <c r="D46" s="747"/>
      <c r="E46" s="748">
        <f t="shared" si="2"/>
        <v>0</v>
      </c>
      <c r="F46" s="747">
        <v>0</v>
      </c>
      <c r="G46" s="747">
        <v>0</v>
      </c>
      <c r="H46" s="748">
        <f t="shared" si="3"/>
        <v>0</v>
      </c>
    </row>
    <row r="47" spans="1:8">
      <c r="A47" s="435">
        <v>19</v>
      </c>
      <c r="B47" s="409" t="s">
        <v>726</v>
      </c>
      <c r="C47" s="747">
        <f>SUM(C48:C49)</f>
        <v>151035</v>
      </c>
      <c r="D47" s="747">
        <f>SUM(D48:D49)</f>
        <v>0</v>
      </c>
      <c r="E47" s="748">
        <f t="shared" si="2"/>
        <v>151035</v>
      </c>
      <c r="F47" s="747">
        <v>2926</v>
      </c>
      <c r="G47" s="747">
        <v>0</v>
      </c>
      <c r="H47" s="748">
        <f t="shared" si="3"/>
        <v>2926</v>
      </c>
    </row>
    <row r="48" spans="1:8">
      <c r="A48" s="435">
        <v>19.100000000000001</v>
      </c>
      <c r="B48" s="410" t="s">
        <v>727</v>
      </c>
      <c r="C48" s="742">
        <v>0</v>
      </c>
      <c r="D48" s="747"/>
      <c r="E48" s="748">
        <f t="shared" si="2"/>
        <v>0</v>
      </c>
      <c r="F48" s="742">
        <v>2926</v>
      </c>
      <c r="G48" s="747">
        <v>0</v>
      </c>
      <c r="H48" s="748">
        <f t="shared" si="3"/>
        <v>2926</v>
      </c>
    </row>
    <row r="49" spans="1:8">
      <c r="A49" s="435">
        <v>19.2</v>
      </c>
      <c r="B49" s="411" t="s">
        <v>728</v>
      </c>
      <c r="C49" s="747">
        <v>151035</v>
      </c>
      <c r="D49" s="747"/>
      <c r="E49" s="748">
        <f t="shared" si="2"/>
        <v>151035</v>
      </c>
      <c r="F49" s="747">
        <v>0</v>
      </c>
      <c r="G49" s="747">
        <v>0</v>
      </c>
      <c r="H49" s="748">
        <f t="shared" si="3"/>
        <v>0</v>
      </c>
    </row>
    <row r="50" spans="1:8">
      <c r="A50" s="435">
        <v>20</v>
      </c>
      <c r="B50" s="412" t="s">
        <v>90</v>
      </c>
      <c r="C50" s="747"/>
      <c r="D50" s="747"/>
      <c r="E50" s="748">
        <f t="shared" si="2"/>
        <v>0</v>
      </c>
      <c r="F50" s="747">
        <v>0</v>
      </c>
      <c r="G50" s="747">
        <v>0</v>
      </c>
      <c r="H50" s="748">
        <f t="shared" si="3"/>
        <v>0</v>
      </c>
    </row>
    <row r="51" spans="1:8">
      <c r="A51" s="435">
        <v>21</v>
      </c>
      <c r="B51" s="413" t="s">
        <v>78</v>
      </c>
      <c r="C51" s="742">
        <v>613864</v>
      </c>
      <c r="D51" s="742">
        <v>231367</v>
      </c>
      <c r="E51" s="748">
        <f t="shared" si="2"/>
        <v>845231</v>
      </c>
      <c r="F51" s="742">
        <v>162966.44</v>
      </c>
      <c r="G51" s="747">
        <v>50923.227200000001</v>
      </c>
      <c r="H51" s="748">
        <f t="shared" si="3"/>
        <v>213889.6672</v>
      </c>
    </row>
    <row r="52" spans="1:8">
      <c r="A52" s="435">
        <v>21.1</v>
      </c>
      <c r="B52" s="408" t="s">
        <v>729</v>
      </c>
      <c r="C52" s="747"/>
      <c r="D52" s="747"/>
      <c r="E52" s="748">
        <f t="shared" si="2"/>
        <v>0</v>
      </c>
      <c r="F52" s="747">
        <v>0</v>
      </c>
      <c r="G52" s="747"/>
      <c r="H52" s="748">
        <f t="shared" si="3"/>
        <v>0</v>
      </c>
    </row>
    <row r="53" spans="1:8">
      <c r="A53" s="435">
        <v>22</v>
      </c>
      <c r="B53" s="412" t="s">
        <v>730</v>
      </c>
      <c r="C53" s="747">
        <f>SUM(C38,C40,C41,C46,C47,C50,C51)</f>
        <v>1162971</v>
      </c>
      <c r="D53" s="747">
        <f>SUM(D38,D40,D41,D46,D47,D50,D51)</f>
        <v>2365059</v>
      </c>
      <c r="E53" s="748">
        <f t="shared" si="2"/>
        <v>3528030</v>
      </c>
      <c r="F53" s="747">
        <f>SUM(F38,F40,F41,F46,F47,F50,F51)</f>
        <v>165892.44</v>
      </c>
      <c r="G53" s="747">
        <f>SUM(G38,G40,G41,G46,G47,G50,G51)</f>
        <v>50923.227200000001</v>
      </c>
      <c r="H53" s="748">
        <f t="shared" si="3"/>
        <v>216815.6672</v>
      </c>
    </row>
    <row r="54" spans="1:8" ht="24" customHeight="1">
      <c r="A54" s="435"/>
      <c r="B54" s="414" t="s">
        <v>731</v>
      </c>
      <c r="C54" s="825"/>
      <c r="D54" s="826"/>
      <c r="E54" s="826"/>
      <c r="F54" s="826"/>
      <c r="G54" s="826"/>
      <c r="H54" s="827"/>
    </row>
    <row r="55" spans="1:8">
      <c r="A55" s="435">
        <v>23</v>
      </c>
      <c r="B55" s="670" t="s">
        <v>960</v>
      </c>
      <c r="C55" s="742">
        <v>46774750</v>
      </c>
      <c r="D55" s="747"/>
      <c r="E55" s="748">
        <f>C55+D55</f>
        <v>46774750</v>
      </c>
      <c r="F55" s="742">
        <v>16632000</v>
      </c>
      <c r="G55" s="747"/>
      <c r="H55" s="748">
        <f>F55+G55</f>
        <v>16632000</v>
      </c>
    </row>
    <row r="56" spans="1:8">
      <c r="A56" s="435">
        <v>24</v>
      </c>
      <c r="B56" s="412" t="s">
        <v>732</v>
      </c>
      <c r="C56" s="742">
        <v>2100</v>
      </c>
      <c r="D56" s="747"/>
      <c r="E56" s="748">
        <f t="shared" ref="E56:E69" si="4">C56+D56</f>
        <v>2100</v>
      </c>
      <c r="F56" s="742">
        <v>2100</v>
      </c>
      <c r="G56" s="747"/>
      <c r="H56" s="748">
        <f t="shared" ref="H56:H68" si="5">F56+G56</f>
        <v>2100</v>
      </c>
    </row>
    <row r="57" spans="1:8">
      <c r="A57" s="435">
        <v>25</v>
      </c>
      <c r="B57" s="415" t="s">
        <v>91</v>
      </c>
      <c r="C57" s="747"/>
      <c r="D57" s="747"/>
      <c r="E57" s="748">
        <f t="shared" si="4"/>
        <v>0</v>
      </c>
      <c r="F57" s="747"/>
      <c r="G57" s="747"/>
      <c r="H57" s="748">
        <f t="shared" si="5"/>
        <v>0</v>
      </c>
    </row>
    <row r="58" spans="1:8">
      <c r="A58" s="435">
        <v>26</v>
      </c>
      <c r="B58" s="409" t="s">
        <v>733</v>
      </c>
      <c r="C58" s="747"/>
      <c r="D58" s="747"/>
      <c r="E58" s="748">
        <f t="shared" si="4"/>
        <v>0</v>
      </c>
      <c r="F58" s="747"/>
      <c r="G58" s="747"/>
      <c r="H58" s="748">
        <f t="shared" si="5"/>
        <v>0</v>
      </c>
    </row>
    <row r="59" spans="1:8" ht="21">
      <c r="A59" s="435">
        <v>27</v>
      </c>
      <c r="B59" s="409" t="s">
        <v>734</v>
      </c>
      <c r="C59" s="747">
        <f>SUM(C60:C61)</f>
        <v>0</v>
      </c>
      <c r="D59" s="747">
        <f>SUM(D60:D61)</f>
        <v>0</v>
      </c>
      <c r="E59" s="748">
        <f t="shared" si="4"/>
        <v>0</v>
      </c>
      <c r="F59" s="747">
        <v>0</v>
      </c>
      <c r="G59" s="747">
        <v>0</v>
      </c>
      <c r="H59" s="748">
        <f t="shared" si="5"/>
        <v>0</v>
      </c>
    </row>
    <row r="60" spans="1:8">
      <c r="A60" s="435">
        <v>27.1</v>
      </c>
      <c r="B60" s="416" t="s">
        <v>735</v>
      </c>
      <c r="C60" s="747"/>
      <c r="D60" s="747"/>
      <c r="E60" s="748">
        <f t="shared" si="4"/>
        <v>0</v>
      </c>
      <c r="F60" s="747">
        <v>0</v>
      </c>
      <c r="G60" s="747"/>
      <c r="H60" s="748">
        <f t="shared" si="5"/>
        <v>0</v>
      </c>
    </row>
    <row r="61" spans="1:8">
      <c r="A61" s="435">
        <v>27.2</v>
      </c>
      <c r="B61" s="407" t="s">
        <v>736</v>
      </c>
      <c r="C61" s="747"/>
      <c r="D61" s="747"/>
      <c r="E61" s="748">
        <f t="shared" si="4"/>
        <v>0</v>
      </c>
      <c r="F61" s="747"/>
      <c r="G61" s="747"/>
      <c r="H61" s="748">
        <f t="shared" si="5"/>
        <v>0</v>
      </c>
    </row>
    <row r="62" spans="1:8">
      <c r="A62" s="435">
        <v>28</v>
      </c>
      <c r="B62" s="413" t="s">
        <v>737</v>
      </c>
      <c r="C62" s="747"/>
      <c r="D62" s="747"/>
      <c r="E62" s="748">
        <f t="shared" si="4"/>
        <v>0</v>
      </c>
      <c r="F62" s="747"/>
      <c r="G62" s="747"/>
      <c r="H62" s="748">
        <f t="shared" si="5"/>
        <v>0</v>
      </c>
    </row>
    <row r="63" spans="1:8">
      <c r="A63" s="435">
        <v>29</v>
      </c>
      <c r="B63" s="409" t="s">
        <v>738</v>
      </c>
      <c r="C63" s="747">
        <f>SUM(C64:C66)</f>
        <v>0</v>
      </c>
      <c r="D63" s="747">
        <f>SUM(D64:D66)</f>
        <v>0</v>
      </c>
      <c r="E63" s="748">
        <f t="shared" si="4"/>
        <v>0</v>
      </c>
      <c r="F63" s="747">
        <v>0</v>
      </c>
      <c r="G63" s="747">
        <v>0</v>
      </c>
      <c r="H63" s="748">
        <f t="shared" si="5"/>
        <v>0</v>
      </c>
    </row>
    <row r="64" spans="1:8">
      <c r="A64" s="435">
        <v>29.1</v>
      </c>
      <c r="B64" s="398" t="s">
        <v>739</v>
      </c>
      <c r="C64" s="747"/>
      <c r="D64" s="747"/>
      <c r="E64" s="748">
        <f t="shared" si="4"/>
        <v>0</v>
      </c>
      <c r="F64" s="747">
        <v>0</v>
      </c>
      <c r="G64" s="747"/>
      <c r="H64" s="748">
        <f t="shared" si="5"/>
        <v>0</v>
      </c>
    </row>
    <row r="65" spans="1:8" ht="24.95" customHeight="1">
      <c r="A65" s="435">
        <v>29.2</v>
      </c>
      <c r="B65" s="416" t="s">
        <v>740</v>
      </c>
      <c r="C65" s="747"/>
      <c r="D65" s="747"/>
      <c r="E65" s="748">
        <f t="shared" si="4"/>
        <v>0</v>
      </c>
      <c r="F65" s="747"/>
      <c r="G65" s="747"/>
      <c r="H65" s="748">
        <f t="shared" si="5"/>
        <v>0</v>
      </c>
    </row>
    <row r="66" spans="1:8" ht="22.5" customHeight="1">
      <c r="A66" s="435">
        <v>29.3</v>
      </c>
      <c r="B66" s="401" t="s">
        <v>741</v>
      </c>
      <c r="C66" s="747"/>
      <c r="D66" s="747"/>
      <c r="E66" s="748">
        <f t="shared" si="4"/>
        <v>0</v>
      </c>
      <c r="F66" s="747"/>
      <c r="G66" s="747"/>
      <c r="H66" s="748">
        <f t="shared" si="5"/>
        <v>0</v>
      </c>
    </row>
    <row r="67" spans="1:8">
      <c r="A67" s="435">
        <v>30</v>
      </c>
      <c r="B67" s="397" t="s">
        <v>92</v>
      </c>
      <c r="C67" s="747">
        <v>-13068892</v>
      </c>
      <c r="D67" s="747"/>
      <c r="E67" s="748">
        <f t="shared" si="4"/>
        <v>-13068892</v>
      </c>
      <c r="F67" s="742">
        <v>-3762890.0700000003</v>
      </c>
      <c r="G67" s="747"/>
      <c r="H67" s="748">
        <f t="shared" si="5"/>
        <v>-3762890.0700000003</v>
      </c>
    </row>
    <row r="68" spans="1:8">
      <c r="A68" s="435">
        <v>31</v>
      </c>
      <c r="B68" s="417" t="s">
        <v>742</v>
      </c>
      <c r="C68" s="747">
        <f>SUM(C55,C56,C57,C58,C59,C62,C63,C67)</f>
        <v>33707958</v>
      </c>
      <c r="D68" s="747">
        <f>SUM(D55,D56,D57,D58,D59,D62,D63,D67)</f>
        <v>0</v>
      </c>
      <c r="E68" s="748">
        <f t="shared" si="4"/>
        <v>33707958</v>
      </c>
      <c r="F68" s="747">
        <f>SUM(F55,F56,F57,F58,F59,F62,F63,F67)</f>
        <v>12871209.93</v>
      </c>
      <c r="G68" s="747">
        <f>SUM(G55,G56,G57,G58,G59,G62,G63,G67)</f>
        <v>0</v>
      </c>
      <c r="H68" s="748">
        <f t="shared" si="5"/>
        <v>12871209.93</v>
      </c>
    </row>
    <row r="69" spans="1:8">
      <c r="A69" s="435">
        <v>32</v>
      </c>
      <c r="B69" s="418" t="s">
        <v>743</v>
      </c>
      <c r="C69" s="747">
        <f>SUM(C53,C68)</f>
        <v>34870929</v>
      </c>
      <c r="D69" s="747">
        <f>SUM(D53,D68)</f>
        <v>2365059</v>
      </c>
      <c r="E69" s="748">
        <f t="shared" si="4"/>
        <v>37235988</v>
      </c>
      <c r="F69" s="747">
        <f>SUM(F53,F68)</f>
        <v>13037102.369999999</v>
      </c>
      <c r="G69" s="747">
        <f>SUM(G53,G68)</f>
        <v>50923.227200000001</v>
      </c>
      <c r="H69" s="748">
        <f>SUM(H53,H68)</f>
        <v>13088025.597199999</v>
      </c>
    </row>
    <row r="70" spans="1:8">
      <c r="C70" s="803"/>
      <c r="D70" s="803"/>
      <c r="E70" s="803">
        <f t="shared" ref="E70:H70" si="6">E69-E36</f>
        <v>0</v>
      </c>
      <c r="F70" s="803"/>
      <c r="G70" s="803"/>
      <c r="H70" s="803">
        <f t="shared" si="6"/>
        <v>6.0000084340572357E-4</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B2" sqref="B2"/>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58" customWidth="1"/>
    <col min="7" max="7" width="25.140625" style="558" customWidth="1"/>
    <col min="8" max="8" width="16.140625" style="488" customWidth="1"/>
    <col min="9" max="11" width="16.140625" style="558" customWidth="1"/>
    <col min="12" max="12" width="26.140625" style="558" customWidth="1"/>
    <col min="13" max="16384" width="9.140625" style="488"/>
  </cols>
  <sheetData>
    <row r="1" spans="1:12" ht="13.5">
      <c r="A1" s="368" t="s">
        <v>97</v>
      </c>
      <c r="B1" s="285" t="str">
        <f>Info!C2</f>
        <v>სს "ჰეშ ბანკი"</v>
      </c>
      <c r="F1" s="488"/>
      <c r="G1" s="488"/>
      <c r="I1" s="488"/>
      <c r="J1" s="488"/>
      <c r="K1" s="488"/>
      <c r="L1" s="488"/>
    </row>
    <row r="2" spans="1:12">
      <c r="A2" s="370" t="s">
        <v>98</v>
      </c>
      <c r="B2" s="741">
        <f>'1. key ratios'!B2</f>
        <v>45838</v>
      </c>
      <c r="F2" s="488"/>
      <c r="G2" s="488"/>
      <c r="I2" s="488"/>
      <c r="J2" s="488"/>
      <c r="K2" s="488"/>
      <c r="L2" s="488"/>
    </row>
    <row r="3" spans="1:12">
      <c r="A3" s="371" t="s">
        <v>563</v>
      </c>
      <c r="F3" s="488"/>
      <c r="G3" s="488"/>
      <c r="I3" s="488"/>
      <c r="J3" s="488"/>
      <c r="K3" s="488"/>
      <c r="L3" s="488"/>
    </row>
    <row r="4" spans="1:12">
      <c r="F4" s="488"/>
      <c r="G4" s="488"/>
      <c r="I4" s="488"/>
      <c r="J4" s="488"/>
      <c r="K4" s="488"/>
      <c r="L4" s="488"/>
    </row>
    <row r="5" spans="1:12" ht="37.5" customHeight="1">
      <c r="A5" s="886" t="s">
        <v>564</v>
      </c>
      <c r="B5" s="887"/>
      <c r="C5" s="937" t="s">
        <v>565</v>
      </c>
      <c r="D5" s="938"/>
      <c r="E5" s="938"/>
      <c r="F5" s="938"/>
      <c r="G5" s="938"/>
      <c r="H5" s="939" t="s">
        <v>875</v>
      </c>
      <c r="I5" s="940"/>
      <c r="J5" s="940"/>
      <c r="K5" s="940"/>
      <c r="L5" s="941"/>
    </row>
    <row r="6" spans="1:12" ht="39.6" customHeight="1">
      <c r="A6" s="890"/>
      <c r="B6" s="891"/>
      <c r="C6" s="377"/>
      <c r="D6" s="486" t="s">
        <v>860</v>
      </c>
      <c r="E6" s="486" t="s">
        <v>859</v>
      </c>
      <c r="F6" s="486" t="s">
        <v>858</v>
      </c>
      <c r="G6" s="486" t="s">
        <v>857</v>
      </c>
      <c r="H6" s="562"/>
      <c r="I6" s="486" t="s">
        <v>860</v>
      </c>
      <c r="J6" s="486" t="s">
        <v>859</v>
      </c>
      <c r="K6" s="486" t="s">
        <v>858</v>
      </c>
      <c r="L6" s="486" t="s">
        <v>857</v>
      </c>
    </row>
    <row r="7" spans="1:12">
      <c r="A7" s="477">
        <v>1</v>
      </c>
      <c r="B7" s="492" t="s">
        <v>487</v>
      </c>
      <c r="C7" s="492"/>
      <c r="D7" s="477"/>
      <c r="E7" s="477"/>
      <c r="F7" s="561"/>
      <c r="G7" s="561"/>
      <c r="H7" s="477"/>
      <c r="I7" s="561"/>
      <c r="J7" s="561"/>
      <c r="K7" s="561"/>
      <c r="L7" s="561"/>
    </row>
    <row r="8" spans="1:12">
      <c r="A8" s="477">
        <v>2</v>
      </c>
      <c r="B8" s="492" t="s">
        <v>488</v>
      </c>
      <c r="C8" s="492"/>
      <c r="D8" s="477"/>
      <c r="E8" s="477"/>
      <c r="F8" s="485"/>
      <c r="G8" s="485"/>
      <c r="H8" s="477"/>
      <c r="I8" s="485"/>
      <c r="J8" s="485"/>
      <c r="K8" s="485"/>
      <c r="L8" s="485"/>
    </row>
    <row r="9" spans="1:12">
      <c r="A9" s="477">
        <v>3</v>
      </c>
      <c r="B9" s="492" t="s">
        <v>836</v>
      </c>
      <c r="C9" s="492"/>
      <c r="D9" s="477"/>
      <c r="E9" s="477"/>
      <c r="F9" s="487"/>
      <c r="G9" s="487"/>
      <c r="H9" s="477"/>
      <c r="I9" s="487"/>
      <c r="J9" s="487"/>
      <c r="K9" s="487"/>
      <c r="L9" s="487"/>
    </row>
    <row r="10" spans="1:12">
      <c r="A10" s="477">
        <v>4</v>
      </c>
      <c r="B10" s="492" t="s">
        <v>489</v>
      </c>
      <c r="C10" s="492"/>
      <c r="D10" s="477"/>
      <c r="E10" s="477"/>
      <c r="F10" s="487"/>
      <c r="G10" s="487"/>
      <c r="H10" s="477"/>
      <c r="I10" s="487"/>
      <c r="J10" s="487"/>
      <c r="K10" s="487"/>
      <c r="L10" s="487"/>
    </row>
    <row r="11" spans="1:12">
      <c r="A11" s="477">
        <v>5</v>
      </c>
      <c r="B11" s="492" t="s">
        <v>490</v>
      </c>
      <c r="C11" s="492"/>
      <c r="D11" s="477"/>
      <c r="E11" s="477"/>
      <c r="F11" s="487"/>
      <c r="G11" s="487"/>
      <c r="H11" s="477"/>
      <c r="I11" s="487"/>
      <c r="J11" s="487"/>
      <c r="K11" s="487"/>
      <c r="L11" s="487"/>
    </row>
    <row r="12" spans="1:12">
      <c r="A12" s="477">
        <v>6</v>
      </c>
      <c r="B12" s="492" t="s">
        <v>491</v>
      </c>
      <c r="C12" s="492"/>
      <c r="D12" s="477"/>
      <c r="E12" s="477"/>
      <c r="F12" s="487"/>
      <c r="G12" s="487"/>
      <c r="H12" s="477"/>
      <c r="I12" s="487"/>
      <c r="J12" s="487"/>
      <c r="K12" s="487"/>
      <c r="L12" s="487"/>
    </row>
    <row r="13" spans="1:12">
      <c r="A13" s="477">
        <v>7</v>
      </c>
      <c r="B13" s="492" t="s">
        <v>492</v>
      </c>
      <c r="C13" s="492"/>
      <c r="D13" s="477"/>
      <c r="E13" s="477"/>
      <c r="F13" s="487"/>
      <c r="G13" s="487"/>
      <c r="H13" s="477"/>
      <c r="I13" s="487"/>
      <c r="J13" s="487"/>
      <c r="K13" s="487"/>
      <c r="L13" s="487"/>
    </row>
    <row r="14" spans="1:12">
      <c r="A14" s="477">
        <v>8</v>
      </c>
      <c r="B14" s="492" t="s">
        <v>493</v>
      </c>
      <c r="C14" s="492"/>
      <c r="D14" s="477"/>
      <c r="E14" s="477"/>
      <c r="F14" s="487"/>
      <c r="G14" s="487"/>
      <c r="H14" s="477"/>
      <c r="I14" s="487"/>
      <c r="J14" s="487"/>
      <c r="K14" s="487"/>
      <c r="L14" s="487"/>
    </row>
    <row r="15" spans="1:12">
      <c r="A15" s="477">
        <v>9</v>
      </c>
      <c r="B15" s="492" t="s">
        <v>494</v>
      </c>
      <c r="C15" s="492"/>
      <c r="D15" s="477"/>
      <c r="E15" s="477"/>
      <c r="F15" s="487"/>
      <c r="G15" s="487"/>
      <c r="H15" s="477"/>
      <c r="I15" s="487"/>
      <c r="J15" s="487"/>
      <c r="K15" s="487"/>
      <c r="L15" s="487"/>
    </row>
    <row r="16" spans="1:12">
      <c r="A16" s="477">
        <v>10</v>
      </c>
      <c r="B16" s="492" t="s">
        <v>495</v>
      </c>
      <c r="C16" s="492"/>
      <c r="D16" s="477"/>
      <c r="E16" s="477"/>
      <c r="F16" s="487"/>
      <c r="G16" s="487"/>
      <c r="H16" s="477"/>
      <c r="I16" s="487"/>
      <c r="J16" s="487"/>
      <c r="K16" s="487"/>
      <c r="L16" s="487"/>
    </row>
    <row r="17" spans="1:12">
      <c r="A17" s="477">
        <v>11</v>
      </c>
      <c r="B17" s="492" t="s">
        <v>496</v>
      </c>
      <c r="C17" s="492"/>
      <c r="D17" s="477"/>
      <c r="E17" s="477"/>
      <c r="F17" s="487"/>
      <c r="G17" s="487"/>
      <c r="H17" s="477"/>
      <c r="I17" s="487"/>
      <c r="J17" s="487"/>
      <c r="K17" s="487"/>
      <c r="L17" s="487"/>
    </row>
    <row r="18" spans="1:12">
      <c r="A18" s="477">
        <v>12</v>
      </c>
      <c r="B18" s="492" t="s">
        <v>497</v>
      </c>
      <c r="C18" s="492"/>
      <c r="D18" s="477"/>
      <c r="E18" s="477"/>
      <c r="F18" s="487"/>
      <c r="G18" s="487"/>
      <c r="H18" s="477"/>
      <c r="I18" s="487"/>
      <c r="J18" s="487"/>
      <c r="K18" s="487"/>
      <c r="L18" s="487"/>
    </row>
    <row r="19" spans="1:12">
      <c r="A19" s="477">
        <v>13</v>
      </c>
      <c r="B19" s="492" t="s">
        <v>498</v>
      </c>
      <c r="C19" s="492"/>
      <c r="D19" s="477"/>
      <c r="E19" s="477"/>
      <c r="F19" s="487"/>
      <c r="G19" s="487"/>
      <c r="H19" s="477"/>
      <c r="I19" s="487"/>
      <c r="J19" s="487"/>
      <c r="K19" s="487"/>
      <c r="L19" s="487"/>
    </row>
    <row r="20" spans="1:12">
      <c r="A20" s="477">
        <v>14</v>
      </c>
      <c r="B20" s="492" t="s">
        <v>499</v>
      </c>
      <c r="C20" s="492"/>
      <c r="D20" s="477"/>
      <c r="E20" s="477"/>
      <c r="F20" s="487"/>
      <c r="G20" s="487"/>
      <c r="H20" s="477"/>
      <c r="I20" s="487"/>
      <c r="J20" s="487"/>
      <c r="K20" s="487"/>
      <c r="L20" s="487"/>
    </row>
    <row r="21" spans="1:12">
      <c r="A21" s="477">
        <v>15</v>
      </c>
      <c r="B21" s="492" t="s">
        <v>500</v>
      </c>
      <c r="C21" s="492"/>
      <c r="D21" s="477"/>
      <c r="E21" s="477"/>
      <c r="F21" s="487"/>
      <c r="G21" s="487"/>
      <c r="H21" s="477"/>
      <c r="I21" s="487"/>
      <c r="J21" s="487"/>
      <c r="K21" s="487"/>
      <c r="L21" s="487"/>
    </row>
    <row r="22" spans="1:12">
      <c r="A22" s="477">
        <v>16</v>
      </c>
      <c r="B22" s="492" t="s">
        <v>501</v>
      </c>
      <c r="C22" s="492"/>
      <c r="D22" s="477"/>
      <c r="E22" s="477"/>
      <c r="F22" s="487"/>
      <c r="G22" s="487"/>
      <c r="H22" s="477"/>
      <c r="I22" s="487"/>
      <c r="J22" s="487"/>
      <c r="K22" s="487"/>
      <c r="L22" s="487"/>
    </row>
    <row r="23" spans="1:12">
      <c r="A23" s="477">
        <v>17</v>
      </c>
      <c r="B23" s="492" t="s">
        <v>502</v>
      </c>
      <c r="C23" s="492"/>
      <c r="D23" s="477"/>
      <c r="E23" s="477"/>
      <c r="F23" s="487"/>
      <c r="G23" s="487"/>
      <c r="H23" s="477"/>
      <c r="I23" s="487"/>
      <c r="J23" s="487"/>
      <c r="K23" s="487"/>
      <c r="L23" s="487"/>
    </row>
    <row r="24" spans="1:12">
      <c r="A24" s="477">
        <v>18</v>
      </c>
      <c r="B24" s="492" t="s">
        <v>503</v>
      </c>
      <c r="C24" s="492"/>
      <c r="D24" s="477"/>
      <c r="E24" s="477"/>
      <c r="F24" s="487"/>
      <c r="G24" s="487"/>
      <c r="H24" s="477"/>
      <c r="I24" s="487"/>
      <c r="J24" s="487"/>
      <c r="K24" s="487"/>
      <c r="L24" s="487"/>
    </row>
    <row r="25" spans="1:12">
      <c r="A25" s="477">
        <v>19</v>
      </c>
      <c r="B25" s="492" t="s">
        <v>504</v>
      </c>
      <c r="C25" s="492"/>
      <c r="D25" s="477"/>
      <c r="E25" s="477"/>
      <c r="F25" s="487"/>
      <c r="G25" s="487"/>
      <c r="H25" s="477"/>
      <c r="I25" s="487"/>
      <c r="J25" s="487"/>
      <c r="K25" s="487"/>
      <c r="L25" s="487"/>
    </row>
    <row r="26" spans="1:12">
      <c r="A26" s="477">
        <v>20</v>
      </c>
      <c r="B26" s="492" t="s">
        <v>505</v>
      </c>
      <c r="C26" s="492"/>
      <c r="D26" s="477"/>
      <c r="E26" s="477"/>
      <c r="F26" s="487"/>
      <c r="G26" s="487"/>
      <c r="H26" s="477"/>
      <c r="I26" s="487"/>
      <c r="J26" s="487"/>
      <c r="K26" s="487"/>
      <c r="L26" s="487"/>
    </row>
    <row r="27" spans="1:12">
      <c r="A27" s="477">
        <v>21</v>
      </c>
      <c r="B27" s="492" t="s">
        <v>506</v>
      </c>
      <c r="C27" s="492"/>
      <c r="D27" s="477"/>
      <c r="E27" s="477"/>
      <c r="F27" s="487"/>
      <c r="G27" s="487"/>
      <c r="H27" s="477"/>
      <c r="I27" s="487"/>
      <c r="J27" s="487"/>
      <c r="K27" s="487"/>
      <c r="L27" s="487"/>
    </row>
    <row r="28" spans="1:12">
      <c r="A28" s="477">
        <v>22</v>
      </c>
      <c r="B28" s="492" t="s">
        <v>507</v>
      </c>
      <c r="C28" s="492"/>
      <c r="D28" s="477"/>
      <c r="E28" s="477"/>
      <c r="F28" s="487"/>
      <c r="G28" s="487"/>
      <c r="H28" s="477"/>
      <c r="I28" s="487"/>
      <c r="J28" s="487"/>
      <c r="K28" s="487"/>
      <c r="L28" s="487"/>
    </row>
    <row r="29" spans="1:12">
      <c r="A29" s="477">
        <v>23</v>
      </c>
      <c r="B29" s="492" t="s">
        <v>508</v>
      </c>
      <c r="C29" s="492"/>
      <c r="D29" s="477"/>
      <c r="E29" s="477"/>
      <c r="F29" s="487"/>
      <c r="G29" s="487"/>
      <c r="H29" s="477"/>
      <c r="I29" s="487"/>
      <c r="J29" s="487"/>
      <c r="K29" s="487"/>
      <c r="L29" s="487"/>
    </row>
    <row r="30" spans="1:12">
      <c r="A30" s="477">
        <v>24</v>
      </c>
      <c r="B30" s="492" t="s">
        <v>509</v>
      </c>
      <c r="C30" s="492"/>
      <c r="D30" s="477"/>
      <c r="E30" s="477"/>
      <c r="F30" s="487"/>
      <c r="G30" s="487"/>
      <c r="H30" s="477"/>
      <c r="I30" s="487"/>
      <c r="J30" s="487"/>
      <c r="K30" s="487"/>
      <c r="L30" s="487"/>
    </row>
    <row r="31" spans="1:12">
      <c r="A31" s="477">
        <v>25</v>
      </c>
      <c r="B31" s="492" t="s">
        <v>510</v>
      </c>
      <c r="C31" s="492"/>
      <c r="D31" s="477"/>
      <c r="E31" s="477"/>
      <c r="F31" s="487"/>
      <c r="G31" s="487"/>
      <c r="H31" s="477"/>
      <c r="I31" s="487"/>
      <c r="J31" s="487"/>
      <c r="K31" s="487"/>
      <c r="L31" s="487"/>
    </row>
    <row r="32" spans="1:12">
      <c r="A32" s="477">
        <v>26</v>
      </c>
      <c r="B32" s="492" t="s">
        <v>566</v>
      </c>
      <c r="C32" s="492"/>
      <c r="D32" s="477"/>
      <c r="E32" s="477"/>
      <c r="F32" s="487"/>
      <c r="G32" s="487"/>
      <c r="H32" s="477"/>
      <c r="I32" s="487"/>
      <c r="J32" s="487"/>
      <c r="K32" s="487"/>
      <c r="L32" s="487"/>
    </row>
    <row r="33" spans="1:12">
      <c r="A33" s="477">
        <v>27</v>
      </c>
      <c r="B33" s="560" t="s">
        <v>66</v>
      </c>
      <c r="C33" s="560"/>
      <c r="D33" s="477"/>
      <c r="E33" s="477"/>
      <c r="F33" s="487"/>
      <c r="G33" s="487"/>
      <c r="H33" s="478"/>
      <c r="I33" s="487"/>
      <c r="J33" s="487"/>
      <c r="K33" s="487"/>
      <c r="L33" s="487"/>
    </row>
    <row r="34" spans="1:12">
      <c r="A34" s="507"/>
      <c r="B34" s="507"/>
      <c r="C34" s="507"/>
      <c r="D34" s="507"/>
      <c r="E34" s="507"/>
      <c r="H34" s="507"/>
    </row>
    <row r="35" spans="1:12">
      <c r="A35" s="507"/>
      <c r="B35" s="559"/>
      <c r="C35" s="559"/>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2" sqref="B2"/>
    </sheetView>
  </sheetViews>
  <sheetFormatPr defaultColWidth="8.85546875" defaultRowHeight="12"/>
  <cols>
    <col min="1" max="1" width="11.85546875" style="378" bestFit="1" customWidth="1"/>
    <col min="2" max="2" width="165.140625" style="378" customWidth="1"/>
    <col min="3" max="11" width="28.140625" style="378" customWidth="1"/>
    <col min="12" max="16384" width="8.85546875" style="378"/>
  </cols>
  <sheetData>
    <row r="1" spans="1:11" s="369" customFormat="1" ht="13.5">
      <c r="A1" s="368" t="s">
        <v>97</v>
      </c>
      <c r="B1" s="285" t="str">
        <f>Info!C2</f>
        <v>სს "ჰეშ ბანკი"</v>
      </c>
      <c r="C1" s="488"/>
      <c r="D1" s="488"/>
      <c r="E1" s="488"/>
      <c r="F1" s="488"/>
      <c r="G1" s="488"/>
      <c r="H1" s="488"/>
      <c r="I1" s="488"/>
      <c r="J1" s="488"/>
      <c r="K1" s="488"/>
    </row>
    <row r="2" spans="1:11" s="369" customFormat="1" ht="12.75">
      <c r="A2" s="370" t="s">
        <v>98</v>
      </c>
      <c r="B2" s="741">
        <f>'1. key ratios'!B2</f>
        <v>45838</v>
      </c>
      <c r="C2" s="488"/>
      <c r="D2" s="488"/>
      <c r="E2" s="488"/>
      <c r="F2" s="488"/>
      <c r="G2" s="488"/>
      <c r="H2" s="488"/>
      <c r="I2" s="488"/>
      <c r="J2" s="488"/>
      <c r="K2" s="488"/>
    </row>
    <row r="3" spans="1:11" s="369" customFormat="1" ht="12.75">
      <c r="A3" s="371" t="s">
        <v>567</v>
      </c>
      <c r="B3" s="488"/>
      <c r="C3" s="488"/>
      <c r="D3" s="488"/>
      <c r="E3" s="488"/>
      <c r="F3" s="488"/>
      <c r="G3" s="488"/>
      <c r="H3" s="488"/>
      <c r="I3" s="488"/>
      <c r="J3" s="488"/>
      <c r="K3" s="488"/>
    </row>
    <row r="4" spans="1:11">
      <c r="A4" s="567"/>
      <c r="B4" s="567"/>
      <c r="C4" s="566" t="s">
        <v>471</v>
      </c>
      <c r="D4" s="566" t="s">
        <v>472</v>
      </c>
      <c r="E4" s="566" t="s">
        <v>473</v>
      </c>
      <c r="F4" s="566" t="s">
        <v>474</v>
      </c>
      <c r="G4" s="566" t="s">
        <v>475</v>
      </c>
      <c r="H4" s="566" t="s">
        <v>476</v>
      </c>
      <c r="I4" s="566" t="s">
        <v>477</v>
      </c>
      <c r="J4" s="566" t="s">
        <v>478</v>
      </c>
      <c r="K4" s="566" t="s">
        <v>479</v>
      </c>
    </row>
    <row r="5" spans="1:11" ht="104.1" customHeight="1">
      <c r="A5" s="942" t="s">
        <v>874</v>
      </c>
      <c r="B5" s="943"/>
      <c r="C5" s="565" t="s">
        <v>568</v>
      </c>
      <c r="D5" s="565" t="s">
        <v>561</v>
      </c>
      <c r="E5" s="565" t="s">
        <v>562</v>
      </c>
      <c r="F5" s="565" t="s">
        <v>873</v>
      </c>
      <c r="G5" s="565" t="s">
        <v>569</v>
      </c>
      <c r="H5" s="565" t="s">
        <v>570</v>
      </c>
      <c r="I5" s="565" t="s">
        <v>571</v>
      </c>
      <c r="J5" s="565" t="s">
        <v>572</v>
      </c>
      <c r="K5" s="565" t="s">
        <v>573</v>
      </c>
    </row>
    <row r="6" spans="1:11" ht="12.75">
      <c r="A6" s="477">
        <v>1</v>
      </c>
      <c r="B6" s="477" t="s">
        <v>574</v>
      </c>
      <c r="C6" s="477"/>
      <c r="D6" s="477"/>
      <c r="E6" s="477"/>
      <c r="F6" s="477"/>
      <c r="G6" s="477"/>
      <c r="H6" s="477"/>
      <c r="I6" s="477"/>
      <c r="J6" s="477"/>
      <c r="K6" s="477"/>
    </row>
    <row r="7" spans="1:11" ht="12.75">
      <c r="A7" s="477">
        <v>2</v>
      </c>
      <c r="B7" s="478" t="s">
        <v>575</v>
      </c>
      <c r="C7" s="477"/>
      <c r="D7" s="477"/>
      <c r="E7" s="477"/>
      <c r="F7" s="477"/>
      <c r="G7" s="477"/>
      <c r="H7" s="477"/>
      <c r="I7" s="477"/>
      <c r="J7" s="477"/>
      <c r="K7" s="477"/>
    </row>
    <row r="8" spans="1:11" ht="12.75">
      <c r="A8" s="477">
        <v>3</v>
      </c>
      <c r="B8" s="478" t="s">
        <v>539</v>
      </c>
      <c r="C8" s="477"/>
      <c r="D8" s="477"/>
      <c r="E8" s="477"/>
      <c r="F8" s="477"/>
      <c r="G8" s="477"/>
      <c r="H8" s="477"/>
      <c r="I8" s="477"/>
      <c r="J8" s="477"/>
      <c r="K8" s="477"/>
    </row>
    <row r="9" spans="1:11" ht="12.75">
      <c r="A9" s="477">
        <v>4</v>
      </c>
      <c r="B9" s="509" t="s">
        <v>872</v>
      </c>
      <c r="C9" s="564"/>
      <c r="D9" s="564"/>
      <c r="E9" s="564"/>
      <c r="F9" s="564"/>
      <c r="G9" s="564"/>
      <c r="H9" s="564"/>
      <c r="I9" s="564"/>
      <c r="J9" s="564"/>
      <c r="K9" s="564"/>
    </row>
    <row r="10" spans="1:11" ht="12.75">
      <c r="A10" s="477">
        <v>5</v>
      </c>
      <c r="B10" s="498" t="s">
        <v>871</v>
      </c>
      <c r="C10" s="564"/>
      <c r="D10" s="564"/>
      <c r="E10" s="564"/>
      <c r="F10" s="564"/>
      <c r="G10" s="564"/>
      <c r="H10" s="564"/>
      <c r="I10" s="564"/>
      <c r="J10" s="564"/>
      <c r="K10" s="564"/>
    </row>
    <row r="11" spans="1:11" ht="12.75">
      <c r="A11" s="477">
        <v>6</v>
      </c>
      <c r="B11" s="498" t="s">
        <v>870</v>
      </c>
      <c r="C11" s="564"/>
      <c r="D11" s="564"/>
      <c r="E11" s="564"/>
      <c r="F11" s="564"/>
      <c r="G11" s="564"/>
      <c r="H11" s="564"/>
      <c r="I11" s="564"/>
      <c r="J11" s="564"/>
      <c r="K11" s="564"/>
    </row>
    <row r="13" spans="1:11" ht="15">
      <c r="B13" s="563"/>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2" sqref="B2"/>
    </sheetView>
  </sheetViews>
  <sheetFormatPr defaultColWidth="8.85546875" defaultRowHeight="15"/>
  <cols>
    <col min="1" max="1" width="10" style="568" bestFit="1" customWidth="1"/>
    <col min="2" max="2" width="71.85546875" style="568" customWidth="1"/>
    <col min="3" max="3" width="10.5703125" style="568" bestFit="1" customWidth="1"/>
    <col min="4" max="5" width="15.140625" style="568" bestFit="1" customWidth="1"/>
    <col min="6" max="6" width="20" style="568" bestFit="1" customWidth="1"/>
    <col min="7" max="7" width="37.5703125" style="568" bestFit="1" customWidth="1"/>
    <col min="8" max="8" width="10.5703125" style="568" bestFit="1" customWidth="1"/>
    <col min="9" max="10" width="15.140625" style="568" bestFit="1" customWidth="1"/>
    <col min="11" max="11" width="20" style="568" bestFit="1" customWidth="1"/>
    <col min="12" max="12" width="37.5703125" style="568" bestFit="1" customWidth="1"/>
    <col min="13" max="13" width="10.5703125" style="568" bestFit="1" customWidth="1"/>
    <col min="14" max="15" width="15.140625" style="568" bestFit="1" customWidth="1"/>
    <col min="16" max="16" width="20" style="568" bestFit="1" customWidth="1"/>
    <col min="17" max="17" width="37.5703125" style="568" bestFit="1" customWidth="1"/>
    <col min="18" max="18" width="18" style="568" bestFit="1" customWidth="1"/>
    <col min="19" max="19" width="48" style="568" bestFit="1" customWidth="1"/>
    <col min="20" max="20" width="45.85546875" style="568" bestFit="1" customWidth="1"/>
    <col min="21" max="21" width="48" style="568" bestFit="1" customWidth="1"/>
    <col min="22" max="22" width="44.42578125" style="568" bestFit="1" customWidth="1"/>
    <col min="23" max="16384" width="8.85546875" style="568"/>
  </cols>
  <sheetData>
    <row r="1" spans="1:22">
      <c r="A1" s="368" t="s">
        <v>97</v>
      </c>
      <c r="B1" s="285" t="str">
        <f>Info!C2</f>
        <v>სს "ჰეშ ბანკი"</v>
      </c>
    </row>
    <row r="2" spans="1:22">
      <c r="A2" s="370" t="s">
        <v>98</v>
      </c>
      <c r="B2" s="741">
        <f>'1. key ratios'!B2</f>
        <v>45838</v>
      </c>
    </row>
    <row r="3" spans="1:22">
      <c r="A3" s="371" t="s">
        <v>657</v>
      </c>
      <c r="B3" s="488"/>
    </row>
    <row r="4" spans="1:22">
      <c r="A4" s="371"/>
      <c r="B4" s="488"/>
    </row>
    <row r="5" spans="1:22" ht="24" customHeight="1">
      <c r="A5" s="944" t="s">
        <v>684</v>
      </c>
      <c r="B5" s="944"/>
      <c r="C5" s="946" t="s">
        <v>876</v>
      </c>
      <c r="D5" s="946"/>
      <c r="E5" s="946"/>
      <c r="F5" s="946"/>
      <c r="G5" s="946"/>
      <c r="H5" s="946" t="s">
        <v>565</v>
      </c>
      <c r="I5" s="946"/>
      <c r="J5" s="946"/>
      <c r="K5" s="946"/>
      <c r="L5" s="946"/>
      <c r="M5" s="946" t="s">
        <v>875</v>
      </c>
      <c r="N5" s="946"/>
      <c r="O5" s="946"/>
      <c r="P5" s="946"/>
      <c r="Q5" s="946"/>
      <c r="R5" s="945" t="s">
        <v>683</v>
      </c>
      <c r="S5" s="945" t="s">
        <v>687</v>
      </c>
      <c r="T5" s="945" t="s">
        <v>686</v>
      </c>
      <c r="U5" s="945" t="s">
        <v>915</v>
      </c>
      <c r="V5" s="945" t="s">
        <v>916</v>
      </c>
    </row>
    <row r="6" spans="1:22" ht="36" customHeight="1">
      <c r="A6" s="944"/>
      <c r="B6" s="944"/>
      <c r="C6" s="579"/>
      <c r="D6" s="486" t="s">
        <v>860</v>
      </c>
      <c r="E6" s="486" t="s">
        <v>859</v>
      </c>
      <c r="F6" s="486" t="s">
        <v>858</v>
      </c>
      <c r="G6" s="486" t="s">
        <v>857</v>
      </c>
      <c r="H6" s="579"/>
      <c r="I6" s="486" t="s">
        <v>860</v>
      </c>
      <c r="J6" s="486" t="s">
        <v>859</v>
      </c>
      <c r="K6" s="486" t="s">
        <v>858</v>
      </c>
      <c r="L6" s="486" t="s">
        <v>857</v>
      </c>
      <c r="M6" s="579"/>
      <c r="N6" s="486" t="s">
        <v>860</v>
      </c>
      <c r="O6" s="486" t="s">
        <v>859</v>
      </c>
      <c r="P6" s="486" t="s">
        <v>858</v>
      </c>
      <c r="Q6" s="486" t="s">
        <v>857</v>
      </c>
      <c r="R6" s="945"/>
      <c r="S6" s="945"/>
      <c r="T6" s="945"/>
      <c r="U6" s="945"/>
      <c r="V6" s="945"/>
    </row>
    <row r="7" spans="1:22">
      <c r="A7" s="577">
        <v>1</v>
      </c>
      <c r="B7" s="578" t="s">
        <v>658</v>
      </c>
      <c r="C7" s="564"/>
      <c r="D7" s="564"/>
      <c r="E7" s="564"/>
      <c r="F7" s="564"/>
      <c r="G7" s="564"/>
      <c r="H7" s="564"/>
      <c r="I7" s="564"/>
      <c r="J7" s="564"/>
      <c r="K7" s="564"/>
      <c r="L7" s="564"/>
      <c r="M7" s="564"/>
      <c r="N7" s="564"/>
      <c r="O7" s="564"/>
      <c r="P7" s="564"/>
      <c r="Q7" s="564"/>
      <c r="R7" s="564"/>
      <c r="S7" s="564"/>
      <c r="T7" s="564"/>
      <c r="U7" s="564"/>
      <c r="V7" s="564"/>
    </row>
    <row r="8" spans="1:22">
      <c r="A8" s="577">
        <v>2</v>
      </c>
      <c r="B8" s="576" t="s">
        <v>659</v>
      </c>
      <c r="C8" s="564"/>
      <c r="D8" s="564"/>
      <c r="E8" s="564"/>
      <c r="F8" s="564"/>
      <c r="G8" s="564"/>
      <c r="H8" s="564"/>
      <c r="I8" s="564"/>
      <c r="J8" s="564"/>
      <c r="K8" s="564"/>
      <c r="L8" s="564"/>
      <c r="M8" s="564"/>
      <c r="N8" s="564"/>
      <c r="O8" s="564"/>
      <c r="P8" s="564"/>
      <c r="Q8" s="564"/>
      <c r="R8" s="564"/>
      <c r="S8" s="564"/>
      <c r="T8" s="564"/>
      <c r="U8" s="564"/>
      <c r="V8" s="564"/>
    </row>
    <row r="9" spans="1:22">
      <c r="A9" s="577">
        <v>3</v>
      </c>
      <c r="B9" s="576" t="s">
        <v>660</v>
      </c>
      <c r="C9" s="564"/>
      <c r="D9" s="564"/>
      <c r="E9" s="564"/>
      <c r="F9" s="564"/>
      <c r="G9" s="564"/>
      <c r="H9" s="564"/>
      <c r="I9" s="564"/>
      <c r="J9" s="564"/>
      <c r="K9" s="564"/>
      <c r="L9" s="564"/>
      <c r="M9" s="564"/>
      <c r="N9" s="564"/>
      <c r="O9" s="564"/>
      <c r="P9" s="564"/>
      <c r="Q9" s="564"/>
      <c r="R9" s="564"/>
      <c r="S9" s="564"/>
      <c r="T9" s="564"/>
      <c r="U9" s="564"/>
      <c r="V9" s="564"/>
    </row>
    <row r="10" spans="1:22">
      <c r="A10" s="577">
        <v>4</v>
      </c>
      <c r="B10" s="576" t="s">
        <v>661</v>
      </c>
      <c r="C10" s="564"/>
      <c r="D10" s="564"/>
      <c r="E10" s="564"/>
      <c r="F10" s="564"/>
      <c r="G10" s="564"/>
      <c r="H10" s="564"/>
      <c r="I10" s="564"/>
      <c r="J10" s="564"/>
      <c r="K10" s="564"/>
      <c r="L10" s="564"/>
      <c r="M10" s="564"/>
      <c r="N10" s="564"/>
      <c r="O10" s="564"/>
      <c r="P10" s="564"/>
      <c r="Q10" s="564"/>
      <c r="R10" s="564"/>
      <c r="S10" s="564"/>
      <c r="T10" s="564"/>
      <c r="U10" s="564"/>
      <c r="V10" s="564"/>
    </row>
    <row r="11" spans="1:22">
      <c r="A11" s="577">
        <v>5</v>
      </c>
      <c r="B11" s="576" t="s">
        <v>662</v>
      </c>
      <c r="C11" s="564"/>
      <c r="D11" s="564"/>
      <c r="E11" s="564"/>
      <c r="F11" s="564"/>
      <c r="G11" s="564"/>
      <c r="H11" s="564"/>
      <c r="I11" s="564"/>
      <c r="J11" s="564"/>
      <c r="K11" s="564"/>
      <c r="L11" s="564"/>
      <c r="M11" s="564"/>
      <c r="N11" s="564"/>
      <c r="O11" s="564"/>
      <c r="P11" s="564"/>
      <c r="Q11" s="564"/>
      <c r="R11" s="564"/>
      <c r="S11" s="564"/>
      <c r="T11" s="564"/>
      <c r="U11" s="564"/>
      <c r="V11" s="564"/>
    </row>
    <row r="12" spans="1:22">
      <c r="A12" s="577">
        <v>6</v>
      </c>
      <c r="B12" s="576" t="s">
        <v>663</v>
      </c>
      <c r="C12" s="564"/>
      <c r="D12" s="564"/>
      <c r="E12" s="564"/>
      <c r="F12" s="564"/>
      <c r="G12" s="564"/>
      <c r="H12" s="564"/>
      <c r="I12" s="564"/>
      <c r="J12" s="564"/>
      <c r="K12" s="564"/>
      <c r="L12" s="564"/>
      <c r="M12" s="564"/>
      <c r="N12" s="564"/>
      <c r="O12" s="564"/>
      <c r="P12" s="564"/>
      <c r="Q12" s="564"/>
      <c r="R12" s="564"/>
      <c r="S12" s="564"/>
      <c r="T12" s="564"/>
      <c r="U12" s="564"/>
      <c r="V12" s="564"/>
    </row>
    <row r="13" spans="1:22">
      <c r="A13" s="577">
        <v>7</v>
      </c>
      <c r="B13" s="576" t="s">
        <v>664</v>
      </c>
      <c r="C13" s="564"/>
      <c r="D13" s="564"/>
      <c r="E13" s="564"/>
      <c r="F13" s="564"/>
      <c r="G13" s="564"/>
      <c r="H13" s="564"/>
      <c r="I13" s="564"/>
      <c r="J13" s="564"/>
      <c r="K13" s="564"/>
      <c r="L13" s="564"/>
      <c r="M13" s="564"/>
      <c r="N13" s="564"/>
      <c r="O13" s="564"/>
      <c r="P13" s="564"/>
      <c r="Q13" s="564"/>
      <c r="R13" s="564"/>
      <c r="S13" s="564"/>
      <c r="T13" s="564"/>
      <c r="U13" s="564"/>
      <c r="V13" s="564"/>
    </row>
    <row r="14" spans="1:22">
      <c r="A14" s="570">
        <v>7.1</v>
      </c>
      <c r="B14" s="569" t="s">
        <v>665</v>
      </c>
      <c r="C14" s="564"/>
      <c r="D14" s="564"/>
      <c r="E14" s="564"/>
      <c r="F14" s="564"/>
      <c r="G14" s="564"/>
      <c r="H14" s="564"/>
      <c r="I14" s="564"/>
      <c r="J14" s="564"/>
      <c r="K14" s="564"/>
      <c r="L14" s="564"/>
      <c r="M14" s="564"/>
      <c r="N14" s="564"/>
      <c r="O14" s="564"/>
      <c r="P14" s="564"/>
      <c r="Q14" s="564"/>
      <c r="R14" s="564"/>
      <c r="S14" s="564"/>
      <c r="T14" s="564"/>
      <c r="U14" s="564"/>
      <c r="V14" s="564"/>
    </row>
    <row r="15" spans="1:22" ht="25.5">
      <c r="A15" s="570">
        <v>7.2</v>
      </c>
      <c r="B15" s="569" t="s">
        <v>666</v>
      </c>
      <c r="C15" s="564"/>
      <c r="D15" s="564"/>
      <c r="E15" s="564"/>
      <c r="F15" s="564"/>
      <c r="G15" s="564"/>
      <c r="H15" s="564"/>
      <c r="I15" s="564"/>
      <c r="J15" s="564"/>
      <c r="K15" s="564"/>
      <c r="L15" s="564"/>
      <c r="M15" s="564"/>
      <c r="N15" s="564"/>
      <c r="O15" s="564"/>
      <c r="P15" s="564"/>
      <c r="Q15" s="564"/>
      <c r="R15" s="564"/>
      <c r="S15" s="564"/>
      <c r="T15" s="564"/>
      <c r="U15" s="564"/>
      <c r="V15" s="564"/>
    </row>
    <row r="16" spans="1:22">
      <c r="A16" s="570">
        <v>7.3</v>
      </c>
      <c r="B16" s="569" t="s">
        <v>667</v>
      </c>
      <c r="C16" s="564"/>
      <c r="D16" s="564"/>
      <c r="E16" s="564"/>
      <c r="F16" s="564"/>
      <c r="G16" s="564"/>
      <c r="H16" s="564"/>
      <c r="I16" s="564"/>
      <c r="J16" s="564"/>
      <c r="K16" s="564"/>
      <c r="L16" s="564"/>
      <c r="M16" s="564"/>
      <c r="N16" s="564"/>
      <c r="O16" s="564"/>
      <c r="P16" s="564"/>
      <c r="Q16" s="564"/>
      <c r="R16" s="564"/>
      <c r="S16" s="564"/>
      <c r="T16" s="564"/>
      <c r="U16" s="564"/>
      <c r="V16" s="564"/>
    </row>
    <row r="17" spans="1:22">
      <c r="A17" s="577">
        <v>8</v>
      </c>
      <c r="B17" s="576" t="s">
        <v>668</v>
      </c>
      <c r="C17" s="564"/>
      <c r="D17" s="564"/>
      <c r="E17" s="564"/>
      <c r="F17" s="564"/>
      <c r="G17" s="564"/>
      <c r="H17" s="564"/>
      <c r="I17" s="564"/>
      <c r="J17" s="564"/>
      <c r="K17" s="564"/>
      <c r="L17" s="564"/>
      <c r="M17" s="564"/>
      <c r="N17" s="564"/>
      <c r="O17" s="564"/>
      <c r="P17" s="564"/>
      <c r="Q17" s="564"/>
      <c r="R17" s="564"/>
      <c r="S17" s="564"/>
      <c r="T17" s="564"/>
      <c r="U17" s="564"/>
      <c r="V17" s="564"/>
    </row>
    <row r="18" spans="1:22">
      <c r="A18" s="575">
        <v>9</v>
      </c>
      <c r="B18" s="574" t="s">
        <v>669</v>
      </c>
      <c r="C18" s="573"/>
      <c r="D18" s="573"/>
      <c r="E18" s="573"/>
      <c r="F18" s="573"/>
      <c r="G18" s="573"/>
      <c r="H18" s="573"/>
      <c r="I18" s="573"/>
      <c r="J18" s="573"/>
      <c r="K18" s="573"/>
      <c r="L18" s="573"/>
      <c r="M18" s="573"/>
      <c r="N18" s="573"/>
      <c r="O18" s="573"/>
      <c r="P18" s="573"/>
      <c r="Q18" s="573"/>
      <c r="R18" s="573"/>
      <c r="S18" s="573"/>
      <c r="T18" s="573"/>
      <c r="U18" s="573"/>
      <c r="V18" s="573"/>
    </row>
    <row r="19" spans="1:22">
      <c r="A19" s="572">
        <v>10</v>
      </c>
      <c r="B19" s="571" t="s">
        <v>685</v>
      </c>
      <c r="C19" s="564"/>
      <c r="D19" s="564"/>
      <c r="E19" s="564"/>
      <c r="F19" s="564"/>
      <c r="G19" s="564"/>
      <c r="H19" s="564"/>
      <c r="I19" s="564"/>
      <c r="J19" s="564"/>
      <c r="K19" s="564"/>
      <c r="L19" s="564"/>
      <c r="M19" s="564"/>
      <c r="N19" s="564"/>
      <c r="O19" s="564"/>
      <c r="P19" s="564"/>
      <c r="Q19" s="564"/>
      <c r="R19" s="564"/>
      <c r="S19" s="564"/>
      <c r="T19" s="564"/>
      <c r="U19" s="564"/>
      <c r="V19" s="564"/>
    </row>
    <row r="20" spans="1:22" ht="25.5">
      <c r="A20" s="570">
        <v>10.1</v>
      </c>
      <c r="B20" s="569" t="s">
        <v>688</v>
      </c>
      <c r="C20" s="564"/>
      <c r="D20" s="564"/>
      <c r="E20" s="564"/>
      <c r="F20" s="564"/>
      <c r="G20" s="564"/>
      <c r="H20" s="564"/>
      <c r="I20" s="564"/>
      <c r="J20" s="564"/>
      <c r="K20" s="564"/>
      <c r="L20" s="564"/>
      <c r="M20" s="564"/>
      <c r="N20" s="564"/>
      <c r="O20" s="564"/>
      <c r="P20" s="564"/>
      <c r="Q20" s="564"/>
      <c r="R20" s="564"/>
      <c r="S20" s="564"/>
      <c r="T20" s="564"/>
      <c r="U20" s="564"/>
      <c r="V20" s="56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168" zoomScale="110" zoomScaleNormal="110" workbookViewId="0">
      <selection activeCell="B178" sqref="B178:C178"/>
    </sheetView>
  </sheetViews>
  <sheetFormatPr defaultColWidth="43.5703125" defaultRowHeight="11.25"/>
  <cols>
    <col min="1" max="1" width="8" style="141" customWidth="1"/>
    <col min="2" max="2" width="66.140625" style="142" customWidth="1"/>
    <col min="3" max="3" width="131.42578125" style="143" customWidth="1"/>
    <col min="4" max="5" width="10.140625" style="134" customWidth="1"/>
    <col min="6" max="6" width="67.5703125" style="134" customWidth="1"/>
    <col min="7" max="16384" width="43.5703125" style="134"/>
  </cols>
  <sheetData>
    <row r="1" spans="1:3" ht="12.75" thickTop="1" thickBot="1">
      <c r="A1" s="947" t="s">
        <v>176</v>
      </c>
      <c r="B1" s="948"/>
      <c r="C1" s="949"/>
    </row>
    <row r="2" spans="1:3" ht="26.25" customHeight="1">
      <c r="A2" s="379"/>
      <c r="B2" s="740" t="s">
        <v>177</v>
      </c>
      <c r="C2" s="723"/>
    </row>
    <row r="3" spans="1:3" s="139" customFormat="1" ht="11.25" customHeight="1">
      <c r="A3" s="138"/>
      <c r="B3" s="950" t="s">
        <v>251</v>
      </c>
      <c r="C3" s="950"/>
    </row>
    <row r="4" spans="1:3" ht="12" customHeight="1" thickBot="1">
      <c r="A4" s="951" t="s">
        <v>255</v>
      </c>
      <c r="B4" s="952"/>
      <c r="C4" s="953"/>
    </row>
    <row r="5" spans="1:3" ht="12" thickTop="1">
      <c r="A5" s="135"/>
      <c r="B5" s="954" t="s">
        <v>178</v>
      </c>
      <c r="C5" s="955"/>
    </row>
    <row r="6" spans="1:3">
      <c r="A6" s="379"/>
      <c r="B6" s="956" t="s">
        <v>252</v>
      </c>
      <c r="C6" s="957"/>
    </row>
    <row r="7" spans="1:3">
      <c r="A7" s="379"/>
      <c r="B7" s="956" t="s">
        <v>179</v>
      </c>
      <c r="C7" s="957"/>
    </row>
    <row r="8" spans="1:3">
      <c r="A8" s="379"/>
      <c r="B8" s="956" t="s">
        <v>253</v>
      </c>
      <c r="C8" s="957"/>
    </row>
    <row r="9" spans="1:3">
      <c r="A9" s="379"/>
      <c r="B9" s="962" t="s">
        <v>254</v>
      </c>
      <c r="C9" s="963"/>
    </row>
    <row r="10" spans="1:3">
      <c r="A10" s="379"/>
      <c r="B10" s="960" t="s">
        <v>180</v>
      </c>
      <c r="C10" s="961" t="s">
        <v>180</v>
      </c>
    </row>
    <row r="11" spans="1:3">
      <c r="A11" s="379"/>
      <c r="B11" s="960" t="s">
        <v>181</v>
      </c>
      <c r="C11" s="961" t="s">
        <v>181</v>
      </c>
    </row>
    <row r="12" spans="1:3">
      <c r="A12" s="379"/>
      <c r="B12" s="960" t="s">
        <v>182</v>
      </c>
      <c r="C12" s="961" t="s">
        <v>182</v>
      </c>
    </row>
    <row r="13" spans="1:3">
      <c r="A13" s="379"/>
      <c r="B13" s="960" t="s">
        <v>183</v>
      </c>
      <c r="C13" s="961" t="s">
        <v>183</v>
      </c>
    </row>
    <row r="14" spans="1:3">
      <c r="A14" s="379"/>
      <c r="B14" s="960" t="s">
        <v>184</v>
      </c>
      <c r="C14" s="961" t="s">
        <v>184</v>
      </c>
    </row>
    <row r="15" spans="1:3" ht="21.75" customHeight="1">
      <c r="A15" s="379"/>
      <c r="B15" s="960" t="s">
        <v>185</v>
      </c>
      <c r="C15" s="961" t="s">
        <v>185</v>
      </c>
    </row>
    <row r="16" spans="1:3">
      <c r="A16" s="379"/>
      <c r="B16" s="960" t="s">
        <v>186</v>
      </c>
      <c r="C16" s="961" t="s">
        <v>187</v>
      </c>
    </row>
    <row r="17" spans="1:6">
      <c r="A17" s="379"/>
      <c r="B17" s="960" t="s">
        <v>188</v>
      </c>
      <c r="C17" s="961" t="s">
        <v>189</v>
      </c>
    </row>
    <row r="18" spans="1:6">
      <c r="A18" s="379"/>
      <c r="B18" s="960" t="s">
        <v>190</v>
      </c>
      <c r="C18" s="961" t="s">
        <v>191</v>
      </c>
    </row>
    <row r="19" spans="1:6">
      <c r="A19" s="666"/>
      <c r="B19" s="958" t="s">
        <v>192</v>
      </c>
      <c r="C19" s="959" t="s">
        <v>192</v>
      </c>
    </row>
    <row r="20" spans="1:6">
      <c r="A20" s="666"/>
      <c r="B20" s="958" t="s">
        <v>918</v>
      </c>
      <c r="C20" s="959" t="s">
        <v>193</v>
      </c>
    </row>
    <row r="21" spans="1:6">
      <c r="A21" s="379"/>
      <c r="B21" s="958" t="s">
        <v>961</v>
      </c>
      <c r="C21" s="959" t="s">
        <v>194</v>
      </c>
    </row>
    <row r="22" spans="1:6" ht="23.25" customHeight="1">
      <c r="A22" s="379"/>
      <c r="B22" s="960" t="s">
        <v>195</v>
      </c>
      <c r="C22" s="961" t="s">
        <v>196</v>
      </c>
      <c r="F22" s="629"/>
    </row>
    <row r="23" spans="1:6">
      <c r="A23" s="379"/>
      <c r="B23" s="960" t="s">
        <v>197</v>
      </c>
      <c r="C23" s="961" t="s">
        <v>197</v>
      </c>
    </row>
    <row r="24" spans="1:6">
      <c r="A24" s="379"/>
      <c r="B24" s="960" t="s">
        <v>198</v>
      </c>
      <c r="C24" s="961" t="s">
        <v>199</v>
      </c>
    </row>
    <row r="25" spans="1:6" ht="12" thickBot="1">
      <c r="A25" s="136"/>
      <c r="B25" s="969" t="s">
        <v>200</v>
      </c>
      <c r="C25" s="970"/>
    </row>
    <row r="26" spans="1:6" ht="12.75" thickTop="1" thickBot="1">
      <c r="A26" s="951" t="s">
        <v>812</v>
      </c>
      <c r="B26" s="952"/>
      <c r="C26" s="953"/>
    </row>
    <row r="27" spans="1:6" ht="12.75" thickTop="1" thickBot="1">
      <c r="A27" s="137"/>
      <c r="B27" s="971" t="s">
        <v>813</v>
      </c>
      <c r="C27" s="972"/>
    </row>
    <row r="28" spans="1:6" ht="12.75" thickTop="1" thickBot="1">
      <c r="A28" s="951" t="s">
        <v>256</v>
      </c>
      <c r="B28" s="952"/>
      <c r="C28" s="953"/>
    </row>
    <row r="29" spans="1:6" ht="12" thickTop="1">
      <c r="A29" s="135"/>
      <c r="B29" s="973" t="s">
        <v>816</v>
      </c>
      <c r="C29" s="974" t="s">
        <v>201</v>
      </c>
    </row>
    <row r="30" spans="1:6">
      <c r="A30" s="379"/>
      <c r="B30" s="964" t="s">
        <v>205</v>
      </c>
      <c r="C30" s="965" t="s">
        <v>202</v>
      </c>
    </row>
    <row r="31" spans="1:6">
      <c r="A31" s="379"/>
      <c r="B31" s="964" t="s">
        <v>814</v>
      </c>
      <c r="C31" s="965" t="s">
        <v>203</v>
      </c>
    </row>
    <row r="32" spans="1:6">
      <c r="A32" s="379"/>
      <c r="B32" s="964" t="s">
        <v>815</v>
      </c>
      <c r="C32" s="965" t="s">
        <v>204</v>
      </c>
    </row>
    <row r="33" spans="1:3">
      <c r="A33" s="379"/>
      <c r="B33" s="964" t="s">
        <v>208</v>
      </c>
      <c r="C33" s="965" t="s">
        <v>209</v>
      </c>
    </row>
    <row r="34" spans="1:3">
      <c r="A34" s="379"/>
      <c r="B34" s="964" t="s">
        <v>817</v>
      </c>
      <c r="C34" s="965" t="s">
        <v>206</v>
      </c>
    </row>
    <row r="35" spans="1:3">
      <c r="A35" s="379"/>
      <c r="B35" s="964" t="s">
        <v>818</v>
      </c>
      <c r="C35" s="965" t="s">
        <v>207</v>
      </c>
    </row>
    <row r="36" spans="1:3">
      <c r="A36" s="379"/>
      <c r="B36" s="966" t="s">
        <v>819</v>
      </c>
      <c r="C36" s="967"/>
    </row>
    <row r="37" spans="1:3" ht="24.75" customHeight="1">
      <c r="A37" s="379"/>
      <c r="B37" s="964" t="s">
        <v>820</v>
      </c>
      <c r="C37" s="965" t="s">
        <v>210</v>
      </c>
    </row>
    <row r="38" spans="1:3" ht="23.25" customHeight="1">
      <c r="A38" s="379"/>
      <c r="B38" s="964" t="s">
        <v>821</v>
      </c>
      <c r="C38" s="965" t="s">
        <v>211</v>
      </c>
    </row>
    <row r="39" spans="1:3" ht="23.25" customHeight="1">
      <c r="A39" s="449"/>
      <c r="B39" s="966" t="s">
        <v>822</v>
      </c>
      <c r="C39" s="968"/>
    </row>
    <row r="40" spans="1:3" ht="12" customHeight="1">
      <c r="A40" s="379"/>
      <c r="B40" s="964" t="s">
        <v>823</v>
      </c>
      <c r="C40" s="965"/>
    </row>
    <row r="41" spans="1:3" ht="12" thickBot="1">
      <c r="A41" s="951" t="s">
        <v>257</v>
      </c>
      <c r="B41" s="952"/>
      <c r="C41" s="953"/>
    </row>
    <row r="42" spans="1:3" ht="12" thickTop="1">
      <c r="A42" s="135"/>
      <c r="B42" s="954" t="s">
        <v>287</v>
      </c>
      <c r="C42" s="955" t="s">
        <v>212</v>
      </c>
    </row>
    <row r="43" spans="1:3">
      <c r="A43" s="379"/>
      <c r="B43" s="956" t="s">
        <v>286</v>
      </c>
      <c r="C43" s="957"/>
    </row>
    <row r="44" spans="1:3" ht="23.25" customHeight="1" thickBot="1">
      <c r="A44" s="136"/>
      <c r="B44" s="975" t="s">
        <v>213</v>
      </c>
      <c r="C44" s="976" t="s">
        <v>214</v>
      </c>
    </row>
    <row r="45" spans="1:3" ht="11.25" customHeight="1" thickTop="1" thickBot="1">
      <c r="A45" s="951" t="s">
        <v>258</v>
      </c>
      <c r="B45" s="952"/>
      <c r="C45" s="953"/>
    </row>
    <row r="46" spans="1:3" ht="26.25" customHeight="1" thickTop="1">
      <c r="A46" s="379"/>
      <c r="B46" s="956" t="s">
        <v>259</v>
      </c>
      <c r="C46" s="957"/>
    </row>
    <row r="47" spans="1:3" ht="12" thickBot="1">
      <c r="A47" s="951" t="s">
        <v>260</v>
      </c>
      <c r="B47" s="952"/>
      <c r="C47" s="953"/>
    </row>
    <row r="48" spans="1:3" ht="12" thickTop="1">
      <c r="A48" s="135"/>
      <c r="B48" s="954" t="s">
        <v>215</v>
      </c>
      <c r="C48" s="955" t="s">
        <v>215</v>
      </c>
    </row>
    <row r="49" spans="1:3" ht="11.25" customHeight="1">
      <c r="A49" s="379"/>
      <c r="B49" s="956" t="s">
        <v>216</v>
      </c>
      <c r="C49" s="957" t="s">
        <v>216</v>
      </c>
    </row>
    <row r="50" spans="1:3">
      <c r="A50" s="379"/>
      <c r="B50" s="956" t="s">
        <v>217</v>
      </c>
      <c r="C50" s="957" t="s">
        <v>217</v>
      </c>
    </row>
    <row r="51" spans="1:3" ht="11.25" customHeight="1">
      <c r="A51" s="379"/>
      <c r="B51" s="956" t="s">
        <v>825</v>
      </c>
      <c r="C51" s="957" t="s">
        <v>218</v>
      </c>
    </row>
    <row r="52" spans="1:3" ht="33.6" customHeight="1">
      <c r="A52" s="379"/>
      <c r="B52" s="956" t="s">
        <v>219</v>
      </c>
      <c r="C52" s="957" t="s">
        <v>219</v>
      </c>
    </row>
    <row r="53" spans="1:3" ht="11.25" customHeight="1">
      <c r="A53" s="379"/>
      <c r="B53" s="956" t="s">
        <v>307</v>
      </c>
      <c r="C53" s="957" t="s">
        <v>220</v>
      </c>
    </row>
    <row r="54" spans="1:3" ht="11.25" customHeight="1" thickBot="1">
      <c r="A54" s="951" t="s">
        <v>261</v>
      </c>
      <c r="B54" s="952"/>
      <c r="C54" s="953"/>
    </row>
    <row r="55" spans="1:3" ht="12" thickTop="1">
      <c r="A55" s="135"/>
      <c r="B55" s="954" t="s">
        <v>215</v>
      </c>
      <c r="C55" s="955" t="s">
        <v>215</v>
      </c>
    </row>
    <row r="56" spans="1:3">
      <c r="A56" s="379"/>
      <c r="B56" s="956" t="s">
        <v>221</v>
      </c>
      <c r="C56" s="957" t="s">
        <v>221</v>
      </c>
    </row>
    <row r="57" spans="1:3">
      <c r="A57" s="379"/>
      <c r="B57" s="956" t="s">
        <v>264</v>
      </c>
      <c r="C57" s="957" t="s">
        <v>222</v>
      </c>
    </row>
    <row r="58" spans="1:3">
      <c r="A58" s="379"/>
      <c r="B58" s="956" t="s">
        <v>223</v>
      </c>
      <c r="C58" s="957" t="s">
        <v>223</v>
      </c>
    </row>
    <row r="59" spans="1:3">
      <c r="A59" s="379"/>
      <c r="B59" s="956" t="s">
        <v>224</v>
      </c>
      <c r="C59" s="957" t="s">
        <v>224</v>
      </c>
    </row>
    <row r="60" spans="1:3">
      <c r="A60" s="379"/>
      <c r="B60" s="956" t="s">
        <v>225</v>
      </c>
      <c r="C60" s="957" t="s">
        <v>225</v>
      </c>
    </row>
    <row r="61" spans="1:3">
      <c r="A61" s="379"/>
      <c r="B61" s="956" t="s">
        <v>265</v>
      </c>
      <c r="C61" s="957" t="s">
        <v>226</v>
      </c>
    </row>
    <row r="62" spans="1:3" ht="12" customHeight="1">
      <c r="A62" s="379"/>
      <c r="B62" s="981" t="s">
        <v>998</v>
      </c>
      <c r="C62" s="982" t="s">
        <v>227</v>
      </c>
    </row>
    <row r="63" spans="1:3" ht="22.5" customHeight="1" thickBot="1">
      <c r="A63" s="136"/>
      <c r="B63" s="975" t="s">
        <v>228</v>
      </c>
      <c r="C63" s="976" t="s">
        <v>228</v>
      </c>
    </row>
    <row r="64" spans="1:3" ht="11.25" customHeight="1" thickTop="1">
      <c r="A64" s="983" t="s">
        <v>262</v>
      </c>
      <c r="B64" s="984"/>
      <c r="C64" s="985"/>
    </row>
    <row r="65" spans="1:3" ht="12" thickBot="1">
      <c r="A65" s="136"/>
      <c r="B65" s="975" t="s">
        <v>229</v>
      </c>
      <c r="C65" s="976" t="s">
        <v>229</v>
      </c>
    </row>
    <row r="66" spans="1:3" ht="11.25" customHeight="1" thickTop="1">
      <c r="A66" s="983" t="s">
        <v>951</v>
      </c>
      <c r="B66" s="984"/>
      <c r="C66" s="985"/>
    </row>
    <row r="67" spans="1:3" ht="12" thickBot="1">
      <c r="A67" s="136"/>
      <c r="B67" s="975" t="s">
        <v>950</v>
      </c>
      <c r="C67" s="976"/>
    </row>
    <row r="68" spans="1:3" ht="11.25" customHeight="1" thickTop="1" thickBot="1">
      <c r="A68" s="951" t="s">
        <v>263</v>
      </c>
      <c r="B68" s="952"/>
      <c r="C68" s="953"/>
    </row>
    <row r="69" spans="1:3" ht="12" thickTop="1">
      <c r="A69" s="135"/>
      <c r="B69" s="954" t="s">
        <v>230</v>
      </c>
      <c r="C69" s="955" t="s">
        <v>230</v>
      </c>
    </row>
    <row r="70" spans="1:3">
      <c r="A70" s="379"/>
      <c r="B70" s="956" t="s">
        <v>827</v>
      </c>
      <c r="C70" s="957" t="s">
        <v>231</v>
      </c>
    </row>
    <row r="71" spans="1:3">
      <c r="A71" s="379"/>
      <c r="B71" s="956" t="s">
        <v>232</v>
      </c>
      <c r="C71" s="957" t="s">
        <v>232</v>
      </c>
    </row>
    <row r="72" spans="1:3" ht="54.95" customHeight="1">
      <c r="A72" s="379"/>
      <c r="B72" s="977" t="s">
        <v>962</v>
      </c>
      <c r="C72" s="978" t="s">
        <v>233</v>
      </c>
    </row>
    <row r="73" spans="1:3" ht="33.75" customHeight="1">
      <c r="A73" s="379"/>
      <c r="B73" s="979" t="s">
        <v>266</v>
      </c>
      <c r="C73" s="980" t="s">
        <v>234</v>
      </c>
    </row>
    <row r="74" spans="1:3" ht="15.75" customHeight="1">
      <c r="A74" s="379"/>
      <c r="B74" s="979" t="s">
        <v>828</v>
      </c>
      <c r="C74" s="980" t="s">
        <v>235</v>
      </c>
    </row>
    <row r="75" spans="1:3">
      <c r="A75" s="379"/>
      <c r="B75" s="956" t="s">
        <v>236</v>
      </c>
      <c r="C75" s="957" t="s">
        <v>236</v>
      </c>
    </row>
    <row r="76" spans="1:3" ht="12" thickBot="1">
      <c r="A76" s="136"/>
      <c r="B76" s="975" t="s">
        <v>237</v>
      </c>
      <c r="C76" s="976" t="s">
        <v>237</v>
      </c>
    </row>
    <row r="77" spans="1:3" ht="12" thickTop="1">
      <c r="A77" s="983" t="s">
        <v>290</v>
      </c>
      <c r="B77" s="984"/>
      <c r="C77" s="985"/>
    </row>
    <row r="78" spans="1:3">
      <c r="A78" s="379"/>
      <c r="B78" s="956" t="s">
        <v>229</v>
      </c>
      <c r="C78" s="957"/>
    </row>
    <row r="79" spans="1:3">
      <c r="A79" s="379"/>
      <c r="B79" s="956" t="s">
        <v>288</v>
      </c>
      <c r="C79" s="957"/>
    </row>
    <row r="80" spans="1:3">
      <c r="A80" s="379"/>
      <c r="B80" s="956" t="s">
        <v>289</v>
      </c>
      <c r="C80" s="957"/>
    </row>
    <row r="81" spans="1:3">
      <c r="A81" s="983" t="s">
        <v>291</v>
      </c>
      <c r="B81" s="984"/>
      <c r="C81" s="985"/>
    </row>
    <row r="82" spans="1:3">
      <c r="A82" s="379"/>
      <c r="B82" s="956" t="s">
        <v>229</v>
      </c>
      <c r="C82" s="957"/>
    </row>
    <row r="83" spans="1:3">
      <c r="A83" s="379"/>
      <c r="B83" s="956" t="s">
        <v>292</v>
      </c>
      <c r="C83" s="957"/>
    </row>
    <row r="84" spans="1:3" ht="79.5" customHeight="1">
      <c r="A84" s="379"/>
      <c r="B84" s="956" t="s">
        <v>306</v>
      </c>
      <c r="C84" s="957"/>
    </row>
    <row r="85" spans="1:3" ht="53.25" customHeight="1">
      <c r="A85" s="379"/>
      <c r="B85" s="956" t="s">
        <v>305</v>
      </c>
      <c r="C85" s="957"/>
    </row>
    <row r="86" spans="1:3">
      <c r="A86" s="379"/>
      <c r="B86" s="956" t="s">
        <v>293</v>
      </c>
      <c r="C86" s="957"/>
    </row>
    <row r="87" spans="1:3">
      <c r="A87" s="379"/>
      <c r="B87" s="956" t="s">
        <v>294</v>
      </c>
      <c r="C87" s="957"/>
    </row>
    <row r="88" spans="1:3">
      <c r="A88" s="379"/>
      <c r="B88" s="956" t="s">
        <v>295</v>
      </c>
      <c r="C88" s="957"/>
    </row>
    <row r="89" spans="1:3">
      <c r="A89" s="983" t="s">
        <v>296</v>
      </c>
      <c r="B89" s="984"/>
      <c r="C89" s="985"/>
    </row>
    <row r="90" spans="1:3">
      <c r="A90" s="379"/>
      <c r="B90" s="956" t="s">
        <v>229</v>
      </c>
      <c r="C90" s="957"/>
    </row>
    <row r="91" spans="1:3">
      <c r="A91" s="379"/>
      <c r="B91" s="956" t="s">
        <v>298</v>
      </c>
      <c r="C91" s="957"/>
    </row>
    <row r="92" spans="1:3" ht="12" customHeight="1">
      <c r="A92" s="379"/>
      <c r="B92" s="956" t="s">
        <v>299</v>
      </c>
      <c r="C92" s="957"/>
    </row>
    <row r="93" spans="1:3">
      <c r="A93" s="379"/>
      <c r="B93" s="956" t="s">
        <v>300</v>
      </c>
      <c r="C93" s="957"/>
    </row>
    <row r="94" spans="1:3" ht="24.75" customHeight="1">
      <c r="A94" s="379"/>
      <c r="B94" s="964" t="s">
        <v>336</v>
      </c>
      <c r="C94" s="965"/>
    </row>
    <row r="95" spans="1:3" ht="24" customHeight="1">
      <c r="A95" s="379"/>
      <c r="B95" s="964" t="s">
        <v>337</v>
      </c>
      <c r="C95" s="965"/>
    </row>
    <row r="96" spans="1:3" ht="13.5" customHeight="1">
      <c r="A96" s="379"/>
      <c r="B96" s="964" t="s">
        <v>301</v>
      </c>
      <c r="C96" s="965"/>
    </row>
    <row r="97" spans="1:3" ht="11.25" customHeight="1" thickBot="1">
      <c r="A97" s="986" t="s">
        <v>332</v>
      </c>
      <c r="B97" s="987"/>
      <c r="C97" s="988"/>
    </row>
    <row r="98" spans="1:3" ht="12.75" thickTop="1" thickBot="1">
      <c r="A98" s="995" t="s">
        <v>238</v>
      </c>
      <c r="B98" s="995"/>
      <c r="C98" s="995"/>
    </row>
    <row r="99" spans="1:3">
      <c r="A99" s="224">
        <v>2</v>
      </c>
      <c r="B99" s="365" t="s">
        <v>312</v>
      </c>
      <c r="C99" s="365" t="s">
        <v>333</v>
      </c>
    </row>
    <row r="100" spans="1:3">
      <c r="A100" s="140">
        <v>3</v>
      </c>
      <c r="B100" s="366" t="s">
        <v>313</v>
      </c>
      <c r="C100" s="367" t="s">
        <v>334</v>
      </c>
    </row>
    <row r="101" spans="1:3">
      <c r="A101" s="140">
        <v>4</v>
      </c>
      <c r="B101" s="366" t="s">
        <v>314</v>
      </c>
      <c r="C101" s="367" t="s">
        <v>338</v>
      </c>
    </row>
    <row r="102" spans="1:3" ht="11.25" customHeight="1">
      <c r="A102" s="140">
        <v>5</v>
      </c>
      <c r="B102" s="366" t="s">
        <v>315</v>
      </c>
      <c r="C102" s="367" t="s">
        <v>335</v>
      </c>
    </row>
    <row r="103" spans="1:3" ht="12" customHeight="1">
      <c r="A103" s="140">
        <v>6</v>
      </c>
      <c r="B103" s="366" t="s">
        <v>330</v>
      </c>
      <c r="C103" s="367" t="s">
        <v>316</v>
      </c>
    </row>
    <row r="104" spans="1:3" ht="12" customHeight="1">
      <c r="A104" s="140">
        <v>7</v>
      </c>
      <c r="B104" s="366" t="s">
        <v>317</v>
      </c>
      <c r="C104" s="367" t="s">
        <v>331</v>
      </c>
    </row>
    <row r="105" spans="1:3">
      <c r="A105" s="140">
        <v>8</v>
      </c>
      <c r="B105" s="366" t="s">
        <v>322</v>
      </c>
      <c r="C105" s="367" t="s">
        <v>342</v>
      </c>
    </row>
    <row r="106" spans="1:3" ht="11.25" customHeight="1">
      <c r="A106" s="983" t="s">
        <v>302</v>
      </c>
      <c r="B106" s="984"/>
      <c r="C106" s="985"/>
    </row>
    <row r="107" spans="1:3" ht="12" customHeight="1">
      <c r="A107" s="379"/>
      <c r="B107" s="981" t="s">
        <v>999</v>
      </c>
      <c r="C107" s="982"/>
    </row>
    <row r="108" spans="1:3">
      <c r="A108" s="983" t="s">
        <v>458</v>
      </c>
      <c r="B108" s="984"/>
      <c r="C108" s="985"/>
    </row>
    <row r="109" spans="1:3" ht="12" customHeight="1">
      <c r="A109" s="379"/>
      <c r="B109" s="956" t="s">
        <v>460</v>
      </c>
      <c r="C109" s="957"/>
    </row>
    <row r="110" spans="1:3">
      <c r="A110" s="379"/>
      <c r="B110" s="956" t="s">
        <v>461</v>
      </c>
      <c r="C110" s="957"/>
    </row>
    <row r="111" spans="1:3">
      <c r="A111" s="379"/>
      <c r="B111" s="956" t="s">
        <v>459</v>
      </c>
      <c r="C111" s="957"/>
    </row>
    <row r="112" spans="1:3">
      <c r="A112" s="989" t="s">
        <v>692</v>
      </c>
      <c r="B112" s="989"/>
      <c r="C112" s="989"/>
    </row>
    <row r="113" spans="1:3">
      <c r="A113" s="990" t="s">
        <v>176</v>
      </c>
      <c r="B113" s="990"/>
      <c r="C113" s="990"/>
    </row>
    <row r="114" spans="1:3">
      <c r="A114" s="611">
        <v>1</v>
      </c>
      <c r="B114" s="991" t="s">
        <v>576</v>
      </c>
      <c r="C114" s="992"/>
    </row>
    <row r="115" spans="1:3">
      <c r="A115" s="611">
        <v>2</v>
      </c>
      <c r="B115" s="993" t="s">
        <v>577</v>
      </c>
      <c r="C115" s="994"/>
    </row>
    <row r="116" spans="1:3">
      <c r="A116" s="611">
        <v>3</v>
      </c>
      <c r="B116" s="991" t="s">
        <v>902</v>
      </c>
      <c r="C116" s="992"/>
    </row>
    <row r="117" spans="1:3">
      <c r="A117" s="611">
        <v>4</v>
      </c>
      <c r="B117" s="991" t="s">
        <v>901</v>
      </c>
      <c r="C117" s="992"/>
    </row>
    <row r="118" spans="1:3">
      <c r="A118" s="611">
        <v>5</v>
      </c>
      <c r="B118" s="615" t="s">
        <v>900</v>
      </c>
      <c r="C118" s="614"/>
    </row>
    <row r="119" spans="1:3">
      <c r="A119" s="611">
        <v>6</v>
      </c>
      <c r="B119" s="1006" t="s">
        <v>968</v>
      </c>
      <c r="C119" s="1007"/>
    </row>
    <row r="120" spans="1:3" ht="48.6" customHeight="1">
      <c r="A120" s="611">
        <v>7</v>
      </c>
      <c r="B120" s="1006" t="s">
        <v>969</v>
      </c>
      <c r="C120" s="1007"/>
    </row>
    <row r="121" spans="1:3">
      <c r="A121" s="586">
        <v>8</v>
      </c>
      <c r="B121" s="583" t="s">
        <v>603</v>
      </c>
      <c r="C121" s="608" t="s">
        <v>899</v>
      </c>
    </row>
    <row r="122" spans="1:3" ht="22.5">
      <c r="A122" s="611">
        <v>9.01</v>
      </c>
      <c r="B122" s="583" t="s">
        <v>487</v>
      </c>
      <c r="C122" s="595" t="s">
        <v>652</v>
      </c>
    </row>
    <row r="123" spans="1:3" ht="33.75">
      <c r="A123" s="611">
        <v>9.02</v>
      </c>
      <c r="B123" s="583" t="s">
        <v>488</v>
      </c>
      <c r="C123" s="595" t="s">
        <v>655</v>
      </c>
    </row>
    <row r="124" spans="1:3">
      <c r="A124" s="611">
        <v>9.0299999999999994</v>
      </c>
      <c r="B124" s="598" t="s">
        <v>836</v>
      </c>
      <c r="C124" s="598" t="s">
        <v>578</v>
      </c>
    </row>
    <row r="125" spans="1:3">
      <c r="A125" s="611">
        <v>9.0399999999999991</v>
      </c>
      <c r="B125" s="583" t="s">
        <v>489</v>
      </c>
      <c r="C125" s="598" t="s">
        <v>579</v>
      </c>
    </row>
    <row r="126" spans="1:3">
      <c r="A126" s="611">
        <v>9.0500000000000007</v>
      </c>
      <c r="B126" s="583" t="s">
        <v>490</v>
      </c>
      <c r="C126" s="598" t="s">
        <v>580</v>
      </c>
    </row>
    <row r="127" spans="1:3" ht="22.5">
      <c r="A127" s="611">
        <v>9.06</v>
      </c>
      <c r="B127" s="583" t="s">
        <v>491</v>
      </c>
      <c r="C127" s="598" t="s">
        <v>581</v>
      </c>
    </row>
    <row r="128" spans="1:3">
      <c r="A128" s="611">
        <v>9.07</v>
      </c>
      <c r="B128" s="613" t="s">
        <v>492</v>
      </c>
      <c r="C128" s="598" t="s">
        <v>582</v>
      </c>
    </row>
    <row r="129" spans="1:3" ht="22.5">
      <c r="A129" s="611">
        <v>9.08</v>
      </c>
      <c r="B129" s="583" t="s">
        <v>493</v>
      </c>
      <c r="C129" s="598" t="s">
        <v>583</v>
      </c>
    </row>
    <row r="130" spans="1:3" ht="22.5">
      <c r="A130" s="611">
        <v>9.09</v>
      </c>
      <c r="B130" s="583" t="s">
        <v>494</v>
      </c>
      <c r="C130" s="598" t="s">
        <v>584</v>
      </c>
    </row>
    <row r="131" spans="1:3">
      <c r="A131" s="612">
        <v>9.1</v>
      </c>
      <c r="B131" s="583" t="s">
        <v>495</v>
      </c>
      <c r="C131" s="598" t="s">
        <v>585</v>
      </c>
    </row>
    <row r="132" spans="1:3">
      <c r="A132" s="611">
        <v>9.11</v>
      </c>
      <c r="B132" s="583" t="s">
        <v>496</v>
      </c>
      <c r="C132" s="598" t="s">
        <v>586</v>
      </c>
    </row>
    <row r="133" spans="1:3">
      <c r="A133" s="611">
        <v>9.1199999999999992</v>
      </c>
      <c r="B133" s="583" t="s">
        <v>497</v>
      </c>
      <c r="C133" s="598" t="s">
        <v>587</v>
      </c>
    </row>
    <row r="134" spans="1:3">
      <c r="A134" s="611">
        <v>9.1300000000000008</v>
      </c>
      <c r="B134" s="583" t="s">
        <v>498</v>
      </c>
      <c r="C134" s="598" t="s">
        <v>588</v>
      </c>
    </row>
    <row r="135" spans="1:3">
      <c r="A135" s="611">
        <v>9.14</v>
      </c>
      <c r="B135" s="583" t="s">
        <v>499</v>
      </c>
      <c r="C135" s="598" t="s">
        <v>589</v>
      </c>
    </row>
    <row r="136" spans="1:3">
      <c r="A136" s="611">
        <v>9.15</v>
      </c>
      <c r="B136" s="583" t="s">
        <v>500</v>
      </c>
      <c r="C136" s="598" t="s">
        <v>590</v>
      </c>
    </row>
    <row r="137" spans="1:3" ht="22.5">
      <c r="A137" s="611">
        <v>9.16</v>
      </c>
      <c r="B137" s="583" t="s">
        <v>501</v>
      </c>
      <c r="C137" s="598" t="s">
        <v>591</v>
      </c>
    </row>
    <row r="138" spans="1:3">
      <c r="A138" s="611">
        <v>9.17</v>
      </c>
      <c r="B138" s="598" t="s">
        <v>502</v>
      </c>
      <c r="C138" s="598" t="s">
        <v>592</v>
      </c>
    </row>
    <row r="139" spans="1:3" ht="22.5">
      <c r="A139" s="611">
        <v>9.18</v>
      </c>
      <c r="B139" s="583" t="s">
        <v>503</v>
      </c>
      <c r="C139" s="598" t="s">
        <v>593</v>
      </c>
    </row>
    <row r="140" spans="1:3">
      <c r="A140" s="611">
        <v>9.19</v>
      </c>
      <c r="B140" s="583" t="s">
        <v>504</v>
      </c>
      <c r="C140" s="598" t="s">
        <v>594</v>
      </c>
    </row>
    <row r="141" spans="1:3">
      <c r="A141" s="612">
        <v>9.1999999999999993</v>
      </c>
      <c r="B141" s="583" t="s">
        <v>505</v>
      </c>
      <c r="C141" s="598" t="s">
        <v>595</v>
      </c>
    </row>
    <row r="142" spans="1:3">
      <c r="A142" s="611">
        <v>9.2100000000000009</v>
      </c>
      <c r="B142" s="583" t="s">
        <v>506</v>
      </c>
      <c r="C142" s="598" t="s">
        <v>596</v>
      </c>
    </row>
    <row r="143" spans="1:3">
      <c r="A143" s="611">
        <v>9.2200000000000006</v>
      </c>
      <c r="B143" s="583" t="s">
        <v>507</v>
      </c>
      <c r="C143" s="598" t="s">
        <v>597</v>
      </c>
    </row>
    <row r="144" spans="1:3" ht="22.5">
      <c r="A144" s="611">
        <v>9.23</v>
      </c>
      <c r="B144" s="583" t="s">
        <v>508</v>
      </c>
      <c r="C144" s="598" t="s">
        <v>598</v>
      </c>
    </row>
    <row r="145" spans="1:3" ht="22.5">
      <c r="A145" s="611">
        <v>9.24</v>
      </c>
      <c r="B145" s="583" t="s">
        <v>509</v>
      </c>
      <c r="C145" s="598" t="s">
        <v>599</v>
      </c>
    </row>
    <row r="146" spans="1:3">
      <c r="A146" s="611">
        <v>9.2500000000000107</v>
      </c>
      <c r="B146" s="583" t="s">
        <v>510</v>
      </c>
      <c r="C146" s="598" t="s">
        <v>600</v>
      </c>
    </row>
    <row r="147" spans="1:3" ht="22.5">
      <c r="A147" s="611">
        <v>9.2600000000000193</v>
      </c>
      <c r="B147" s="583" t="s">
        <v>601</v>
      </c>
      <c r="C147" s="610" t="s">
        <v>602</v>
      </c>
    </row>
    <row r="148" spans="1:3" s="380" customFormat="1" ht="22.5">
      <c r="A148" s="611">
        <v>9.2700000000000298</v>
      </c>
      <c r="B148" s="583" t="s">
        <v>88</v>
      </c>
      <c r="C148" s="610" t="s">
        <v>653</v>
      </c>
    </row>
    <row r="149" spans="1:3" s="380" customFormat="1">
      <c r="A149" s="587"/>
      <c r="B149" s="997" t="s">
        <v>604</v>
      </c>
      <c r="C149" s="998"/>
    </row>
    <row r="150" spans="1:3" s="380" customFormat="1">
      <c r="A150" s="586">
        <v>1</v>
      </c>
      <c r="B150" s="999" t="s">
        <v>898</v>
      </c>
      <c r="C150" s="1000"/>
    </row>
    <row r="151" spans="1:3" s="380" customFormat="1">
      <c r="A151" s="586">
        <v>2</v>
      </c>
      <c r="B151" s="999" t="s">
        <v>654</v>
      </c>
      <c r="C151" s="1000"/>
    </row>
    <row r="152" spans="1:3" s="380" customFormat="1">
      <c r="A152" s="586">
        <v>3</v>
      </c>
      <c r="B152" s="999" t="s">
        <v>651</v>
      </c>
      <c r="C152" s="1000"/>
    </row>
    <row r="153" spans="1:3" s="380" customFormat="1">
      <c r="A153" s="587"/>
      <c r="B153" s="997" t="s">
        <v>605</v>
      </c>
      <c r="C153" s="998"/>
    </row>
    <row r="154" spans="1:3" s="380" customFormat="1">
      <c r="A154" s="586">
        <v>1</v>
      </c>
      <c r="B154" s="1008" t="s">
        <v>897</v>
      </c>
      <c r="C154" s="1009"/>
    </row>
    <row r="155" spans="1:3" s="380" customFormat="1">
      <c r="A155" s="586">
        <v>2</v>
      </c>
      <c r="B155" s="583" t="s">
        <v>834</v>
      </c>
      <c r="C155" s="667" t="s">
        <v>963</v>
      </c>
    </row>
    <row r="156" spans="1:3" ht="22.5">
      <c r="A156" s="586">
        <v>3</v>
      </c>
      <c r="B156" s="583" t="s">
        <v>833</v>
      </c>
      <c r="C156" s="608" t="s">
        <v>896</v>
      </c>
    </row>
    <row r="157" spans="1:3">
      <c r="A157" s="586">
        <v>4</v>
      </c>
      <c r="B157" s="583" t="s">
        <v>480</v>
      </c>
      <c r="C157" s="583" t="s">
        <v>914</v>
      </c>
    </row>
    <row r="158" spans="1:3" ht="24.95" customHeight="1">
      <c r="A158" s="587"/>
      <c r="B158" s="997" t="s">
        <v>606</v>
      </c>
      <c r="C158" s="998"/>
    </row>
    <row r="159" spans="1:3" ht="33.75">
      <c r="A159" s="586"/>
      <c r="B159" s="583" t="s">
        <v>885</v>
      </c>
      <c r="C159" s="668" t="s">
        <v>964</v>
      </c>
    </row>
    <row r="160" spans="1:3">
      <c r="A160" s="587"/>
      <c r="B160" s="997" t="s">
        <v>607</v>
      </c>
      <c r="C160" s="998"/>
    </row>
    <row r="161" spans="1:3" ht="39" customHeight="1">
      <c r="A161" s="587"/>
      <c r="B161" s="981" t="s">
        <v>895</v>
      </c>
      <c r="C161" s="982"/>
    </row>
    <row r="162" spans="1:3">
      <c r="A162" s="587" t="s">
        <v>608</v>
      </c>
      <c r="B162" s="609" t="s">
        <v>518</v>
      </c>
      <c r="C162" s="600" t="s">
        <v>609</v>
      </c>
    </row>
    <row r="163" spans="1:3">
      <c r="A163" s="587" t="s">
        <v>357</v>
      </c>
      <c r="B163" s="606" t="s">
        <v>519</v>
      </c>
      <c r="C163" s="608" t="s">
        <v>894</v>
      </c>
    </row>
    <row r="164" spans="1:3" ht="22.5">
      <c r="A164" s="587" t="s">
        <v>364</v>
      </c>
      <c r="B164" s="600" t="s">
        <v>520</v>
      </c>
      <c r="C164" s="608" t="s">
        <v>610</v>
      </c>
    </row>
    <row r="165" spans="1:3">
      <c r="A165" s="587" t="s">
        <v>611</v>
      </c>
      <c r="B165" s="606" t="s">
        <v>521</v>
      </c>
      <c r="C165" s="607" t="s">
        <v>612</v>
      </c>
    </row>
    <row r="166" spans="1:3" ht="22.5">
      <c r="A166" s="587" t="s">
        <v>613</v>
      </c>
      <c r="B166" s="606" t="s">
        <v>849</v>
      </c>
      <c r="C166" s="605" t="s">
        <v>893</v>
      </c>
    </row>
    <row r="167" spans="1:3" ht="22.5">
      <c r="A167" s="587" t="s">
        <v>365</v>
      </c>
      <c r="B167" s="606" t="s">
        <v>522</v>
      </c>
      <c r="C167" s="605" t="s">
        <v>615</v>
      </c>
    </row>
    <row r="168" spans="1:3" ht="22.5">
      <c r="A168" s="587" t="s">
        <v>614</v>
      </c>
      <c r="B168" s="603" t="s">
        <v>525</v>
      </c>
      <c r="C168" s="604" t="s">
        <v>622</v>
      </c>
    </row>
    <row r="169" spans="1:3" ht="22.5">
      <c r="A169" s="587" t="s">
        <v>616</v>
      </c>
      <c r="B169" s="603" t="s">
        <v>523</v>
      </c>
      <c r="C169" s="605" t="s">
        <v>618</v>
      </c>
    </row>
    <row r="170" spans="1:3" ht="26.45" customHeight="1">
      <c r="A170" s="587" t="s">
        <v>617</v>
      </c>
      <c r="B170" s="603" t="s">
        <v>524</v>
      </c>
      <c r="C170" s="604" t="s">
        <v>620</v>
      </c>
    </row>
    <row r="171" spans="1:3" ht="22.5">
      <c r="A171" s="587" t="s">
        <v>619</v>
      </c>
      <c r="B171" s="581" t="s">
        <v>526</v>
      </c>
      <c r="C171" s="604" t="s">
        <v>624</v>
      </c>
    </row>
    <row r="172" spans="1:3" ht="22.5">
      <c r="A172" s="587" t="s">
        <v>621</v>
      </c>
      <c r="B172" s="603" t="s">
        <v>527</v>
      </c>
      <c r="C172" s="602" t="s">
        <v>625</v>
      </c>
    </row>
    <row r="173" spans="1:3">
      <c r="A173" s="587" t="s">
        <v>623</v>
      </c>
      <c r="B173" s="601" t="s">
        <v>528</v>
      </c>
      <c r="C173" s="600" t="s">
        <v>626</v>
      </c>
    </row>
    <row r="174" spans="1:3" ht="22.5">
      <c r="A174" s="587"/>
      <c r="B174" s="599" t="s">
        <v>892</v>
      </c>
      <c r="C174" s="598" t="s">
        <v>627</v>
      </c>
    </row>
    <row r="175" spans="1:3" ht="22.5">
      <c r="A175" s="587"/>
      <c r="B175" s="599" t="s">
        <v>891</v>
      </c>
      <c r="C175" s="598" t="s">
        <v>628</v>
      </c>
    </row>
    <row r="176" spans="1:3" ht="22.5">
      <c r="A176" s="587"/>
      <c r="B176" s="599" t="s">
        <v>890</v>
      </c>
      <c r="C176" s="598" t="s">
        <v>629</v>
      </c>
    </row>
    <row r="177" spans="1:3">
      <c r="A177" s="587"/>
      <c r="B177" s="997" t="s">
        <v>630</v>
      </c>
      <c r="C177" s="998"/>
    </row>
    <row r="178" spans="1:3">
      <c r="A178" s="587"/>
      <c r="B178" s="999" t="s">
        <v>889</v>
      </c>
      <c r="C178" s="1000"/>
    </row>
    <row r="179" spans="1:3">
      <c r="A179" s="586">
        <v>1</v>
      </c>
      <c r="B179" s="598" t="s">
        <v>532</v>
      </c>
      <c r="C179" s="598" t="s">
        <v>532</v>
      </c>
    </row>
    <row r="180" spans="1:3" ht="33.75">
      <c r="A180" s="586">
        <v>2</v>
      </c>
      <c r="B180" s="598" t="s">
        <v>631</v>
      </c>
      <c r="C180" s="598" t="s">
        <v>632</v>
      </c>
    </row>
    <row r="181" spans="1:3">
      <c r="A181" s="586">
        <v>3</v>
      </c>
      <c r="B181" s="598" t="s">
        <v>534</v>
      </c>
      <c r="C181" s="598" t="s">
        <v>633</v>
      </c>
    </row>
    <row r="182" spans="1:3" ht="22.5">
      <c r="A182" s="586">
        <v>4</v>
      </c>
      <c r="B182" s="598" t="s">
        <v>535</v>
      </c>
      <c r="C182" s="598" t="s">
        <v>634</v>
      </c>
    </row>
    <row r="183" spans="1:3" ht="22.5">
      <c r="A183" s="586">
        <v>5</v>
      </c>
      <c r="B183" s="598" t="s">
        <v>536</v>
      </c>
      <c r="C183" s="598" t="s">
        <v>656</v>
      </c>
    </row>
    <row r="184" spans="1:3" ht="45">
      <c r="A184" s="586">
        <v>6</v>
      </c>
      <c r="B184" s="598" t="s">
        <v>537</v>
      </c>
      <c r="C184" s="598" t="s">
        <v>635</v>
      </c>
    </row>
    <row r="185" spans="1:3">
      <c r="A185" s="587"/>
      <c r="B185" s="997" t="s">
        <v>636</v>
      </c>
      <c r="C185" s="998"/>
    </row>
    <row r="186" spans="1:3">
      <c r="A186" s="587"/>
      <c r="B186" s="1001" t="s">
        <v>888</v>
      </c>
      <c r="C186" s="1002"/>
    </row>
    <row r="187" spans="1:3" ht="22.5">
      <c r="A187" s="587">
        <v>1.1000000000000001</v>
      </c>
      <c r="B187" s="597" t="s">
        <v>542</v>
      </c>
      <c r="C187" s="595" t="s">
        <v>637</v>
      </c>
    </row>
    <row r="188" spans="1:3" ht="50.1" customHeight="1">
      <c r="A188" s="587" t="s">
        <v>146</v>
      </c>
      <c r="B188" s="582" t="s">
        <v>543</v>
      </c>
      <c r="C188" s="595" t="s">
        <v>638</v>
      </c>
    </row>
    <row r="189" spans="1:3">
      <c r="A189" s="587" t="s">
        <v>544</v>
      </c>
      <c r="B189" s="596" t="s">
        <v>545</v>
      </c>
      <c r="C189" s="1003" t="s">
        <v>887</v>
      </c>
    </row>
    <row r="190" spans="1:3">
      <c r="A190" s="587" t="s">
        <v>546</v>
      </c>
      <c r="B190" s="596" t="s">
        <v>547</v>
      </c>
      <c r="C190" s="1003"/>
    </row>
    <row r="191" spans="1:3">
      <c r="A191" s="587" t="s">
        <v>548</v>
      </c>
      <c r="B191" s="596" t="s">
        <v>549</v>
      </c>
      <c r="C191" s="1003"/>
    </row>
    <row r="192" spans="1:3">
      <c r="A192" s="587" t="s">
        <v>550</v>
      </c>
      <c r="B192" s="596" t="s">
        <v>551</v>
      </c>
      <c r="C192" s="1003"/>
    </row>
    <row r="193" spans="1:4" ht="25.5" customHeight="1">
      <c r="A193" s="587">
        <v>1.2</v>
      </c>
      <c r="B193" s="594" t="s">
        <v>863</v>
      </c>
      <c r="C193" s="669" t="s">
        <v>965</v>
      </c>
    </row>
    <row r="194" spans="1:4" ht="22.5">
      <c r="A194" s="587" t="s">
        <v>553</v>
      </c>
      <c r="B194" s="589" t="s">
        <v>554</v>
      </c>
      <c r="C194" s="592" t="s">
        <v>639</v>
      </c>
    </row>
    <row r="195" spans="1:4" ht="22.5">
      <c r="A195" s="587" t="s">
        <v>555</v>
      </c>
      <c r="B195" s="593" t="s">
        <v>556</v>
      </c>
      <c r="C195" s="592" t="s">
        <v>640</v>
      </c>
    </row>
    <row r="196" spans="1:4" ht="26.1" customHeight="1">
      <c r="A196" s="587" t="s">
        <v>557</v>
      </c>
      <c r="B196" s="591" t="s">
        <v>558</v>
      </c>
      <c r="C196" s="580" t="s">
        <v>641</v>
      </c>
    </row>
    <row r="197" spans="1:4" ht="22.5">
      <c r="A197" s="587" t="s">
        <v>559</v>
      </c>
      <c r="B197" s="590" t="s">
        <v>560</v>
      </c>
      <c r="C197" s="580" t="s">
        <v>642</v>
      </c>
      <c r="D197" s="381"/>
    </row>
    <row r="198" spans="1:4" ht="22.5">
      <c r="A198" s="587">
        <v>1.4</v>
      </c>
      <c r="B198" s="589" t="s">
        <v>649</v>
      </c>
      <c r="C198" s="588" t="s">
        <v>643</v>
      </c>
      <c r="D198" s="382"/>
    </row>
    <row r="199" spans="1:4" ht="12.75">
      <c r="A199" s="587">
        <v>1.5</v>
      </c>
      <c r="B199" s="589" t="s">
        <v>650</v>
      </c>
      <c r="C199" s="588" t="s">
        <v>643</v>
      </c>
      <c r="D199" s="383"/>
    </row>
    <row r="200" spans="1:4" ht="12.75">
      <c r="A200" s="587"/>
      <c r="B200" s="989" t="s">
        <v>644</v>
      </c>
      <c r="C200" s="989"/>
      <c r="D200" s="383"/>
    </row>
    <row r="201" spans="1:4" ht="12.75">
      <c r="A201" s="587"/>
      <c r="B201" s="1001" t="s">
        <v>886</v>
      </c>
      <c r="C201" s="1001"/>
      <c r="D201" s="383"/>
    </row>
    <row r="202" spans="1:4" ht="12.75">
      <c r="A202" s="586"/>
      <c r="B202" s="583" t="s">
        <v>885</v>
      </c>
      <c r="C202" s="668" t="s">
        <v>963</v>
      </c>
      <c r="D202" s="383"/>
    </row>
    <row r="203" spans="1:4" ht="12.75">
      <c r="A203" s="587"/>
      <c r="B203" s="989" t="s">
        <v>645</v>
      </c>
      <c r="C203" s="989"/>
      <c r="D203" s="384"/>
    </row>
    <row r="204" spans="1:4" ht="12.75">
      <c r="A204" s="586"/>
      <c r="B204" s="1004" t="s">
        <v>884</v>
      </c>
      <c r="C204" s="1004"/>
      <c r="D204" s="385"/>
    </row>
    <row r="205" spans="1:4" ht="12.75">
      <c r="B205" s="989" t="s">
        <v>682</v>
      </c>
      <c r="C205" s="989"/>
      <c r="D205" s="386"/>
    </row>
    <row r="206" spans="1:4" ht="22.5">
      <c r="A206" s="582">
        <v>1</v>
      </c>
      <c r="B206" s="583" t="s">
        <v>658</v>
      </c>
      <c r="C206" s="580" t="s">
        <v>670</v>
      </c>
      <c r="D206" s="385"/>
    </row>
    <row r="207" spans="1:4" ht="18" customHeight="1">
      <c r="A207" s="582">
        <v>2</v>
      </c>
      <c r="B207" s="583" t="s">
        <v>659</v>
      </c>
      <c r="C207" s="580" t="s">
        <v>671</v>
      </c>
      <c r="D207" s="386"/>
    </row>
    <row r="208" spans="1:4" ht="22.5">
      <c r="A208" s="582">
        <v>3</v>
      </c>
      <c r="B208" s="583" t="s">
        <v>660</v>
      </c>
      <c r="C208" s="583" t="s">
        <v>672</v>
      </c>
      <c r="D208" s="387"/>
    </row>
    <row r="209" spans="1:4" ht="12.75">
      <c r="A209" s="582">
        <v>4</v>
      </c>
      <c r="B209" s="583" t="s">
        <v>661</v>
      </c>
      <c r="C209" s="583" t="s">
        <v>673</v>
      </c>
      <c r="D209" s="387"/>
    </row>
    <row r="210" spans="1:4" ht="22.5">
      <c r="A210" s="582">
        <v>5</v>
      </c>
      <c r="B210" s="583" t="s">
        <v>662</v>
      </c>
      <c r="C210" s="583" t="s">
        <v>674</v>
      </c>
    </row>
    <row r="211" spans="1:4" ht="24.6" customHeight="1">
      <c r="A211" s="582">
        <v>6</v>
      </c>
      <c r="B211" s="583" t="s">
        <v>663</v>
      </c>
      <c r="C211" s="583" t="s">
        <v>675</v>
      </c>
    </row>
    <row r="212" spans="1:4" ht="22.5">
      <c r="A212" s="582">
        <v>7</v>
      </c>
      <c r="B212" s="583" t="s">
        <v>664</v>
      </c>
      <c r="C212" s="583" t="s">
        <v>676</v>
      </c>
    </row>
    <row r="213" spans="1:4">
      <c r="A213" s="582">
        <v>7.1</v>
      </c>
      <c r="B213" s="585" t="s">
        <v>665</v>
      </c>
      <c r="C213" s="583" t="s">
        <v>677</v>
      </c>
    </row>
    <row r="214" spans="1:4" ht="22.5">
      <c r="A214" s="582">
        <v>7.2</v>
      </c>
      <c r="B214" s="585" t="s">
        <v>666</v>
      </c>
      <c r="C214" s="583" t="s">
        <v>678</v>
      </c>
    </row>
    <row r="215" spans="1:4">
      <c r="A215" s="582">
        <v>7.3</v>
      </c>
      <c r="B215" s="584" t="s">
        <v>667</v>
      </c>
      <c r="C215" s="583" t="s">
        <v>679</v>
      </c>
    </row>
    <row r="216" spans="1:4" ht="39.6" customHeight="1">
      <c r="A216" s="582">
        <v>8</v>
      </c>
      <c r="B216" s="583" t="s">
        <v>668</v>
      </c>
      <c r="C216" s="580" t="s">
        <v>680</v>
      </c>
    </row>
    <row r="217" spans="1:4">
      <c r="A217" s="582">
        <v>9</v>
      </c>
      <c r="B217" s="583" t="s">
        <v>669</v>
      </c>
      <c r="C217" s="580" t="s">
        <v>681</v>
      </c>
    </row>
    <row r="218" spans="1:4" ht="22.5">
      <c r="A218" s="624">
        <v>10.1</v>
      </c>
      <c r="B218" s="625" t="s">
        <v>689</v>
      </c>
      <c r="C218" s="616" t="s">
        <v>690</v>
      </c>
    </row>
    <row r="219" spans="1:4">
      <c r="A219" s="1005"/>
      <c r="B219" s="626" t="s">
        <v>876</v>
      </c>
      <c r="C219" s="580" t="s">
        <v>883</v>
      </c>
    </row>
    <row r="220" spans="1:4">
      <c r="A220" s="1005"/>
      <c r="B220" s="581" t="s">
        <v>541</v>
      </c>
      <c r="C220" s="580" t="s">
        <v>882</v>
      </c>
    </row>
    <row r="221" spans="1:4">
      <c r="A221" s="1005"/>
      <c r="B221" s="581" t="s">
        <v>875</v>
      </c>
      <c r="C221" s="669" t="s">
        <v>966</v>
      </c>
    </row>
    <row r="222" spans="1:4">
      <c r="A222" s="1005"/>
      <c r="B222" s="581" t="s">
        <v>683</v>
      </c>
      <c r="C222" s="580" t="s">
        <v>881</v>
      </c>
    </row>
    <row r="223" spans="1:4" ht="22.5">
      <c r="A223" s="1005"/>
      <c r="B223" s="581" t="s">
        <v>687</v>
      </c>
      <c r="C223" s="595" t="s">
        <v>880</v>
      </c>
    </row>
    <row r="224" spans="1:4" ht="33.75">
      <c r="A224" s="1005"/>
      <c r="B224" s="581" t="s">
        <v>686</v>
      </c>
      <c r="C224" s="580" t="s">
        <v>879</v>
      </c>
    </row>
    <row r="225" spans="1:3">
      <c r="A225" s="1005"/>
      <c r="B225" s="581" t="s">
        <v>915</v>
      </c>
      <c r="C225" s="580" t="s">
        <v>878</v>
      </c>
    </row>
    <row r="226" spans="1:3" ht="22.5">
      <c r="A226" s="1005"/>
      <c r="B226" s="581" t="s">
        <v>916</v>
      </c>
      <c r="C226" s="580" t="s">
        <v>877</v>
      </c>
    </row>
    <row r="227" spans="1:3" ht="12.75">
      <c r="A227" s="617"/>
      <c r="B227" s="618"/>
      <c r="C227" s="619"/>
    </row>
    <row r="228" spans="1:3" ht="12.75">
      <c r="A228" s="617"/>
      <c r="B228" s="619"/>
      <c r="C228" s="620"/>
    </row>
    <row r="229" spans="1:3" ht="12.75">
      <c r="A229" s="617"/>
      <c r="B229" s="619"/>
      <c r="C229" s="620"/>
    </row>
    <row r="230" spans="1:3" ht="12.75">
      <c r="A230" s="617"/>
      <c r="B230" s="621"/>
      <c r="C230" s="620"/>
    </row>
    <row r="231" spans="1:3" ht="12.75">
      <c r="A231" s="996"/>
      <c r="B231" s="622"/>
      <c r="C231" s="620"/>
    </row>
    <row r="232" spans="1:3" ht="12.75">
      <c r="A232" s="996"/>
      <c r="B232" s="622"/>
      <c r="C232" s="620"/>
    </row>
    <row r="233" spans="1:3" ht="12.75">
      <c r="A233" s="996"/>
      <c r="B233" s="622"/>
      <c r="C233" s="620"/>
    </row>
    <row r="234" spans="1:3" ht="12.75">
      <c r="A234" s="996"/>
      <c r="B234" s="622"/>
      <c r="C234" s="623"/>
    </row>
    <row r="235" spans="1:3" ht="40.5" customHeight="1">
      <c r="A235" s="996"/>
      <c r="B235" s="622"/>
      <c r="C235" s="620"/>
    </row>
    <row r="236" spans="1:3" ht="24" customHeight="1">
      <c r="A236" s="996"/>
      <c r="B236" s="622"/>
      <c r="C236" s="620"/>
    </row>
    <row r="237" spans="1:3" ht="12.75">
      <c r="A237" s="996"/>
      <c r="B237" s="622"/>
      <c r="C237" s="620"/>
    </row>
  </sheetData>
  <mergeCells count="132">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topLeftCell="A24" zoomScale="80" zoomScaleNormal="80" workbookViewId="0">
      <selection activeCell="E46" sqref="E46"/>
    </sheetView>
  </sheetViews>
  <sheetFormatPr defaultRowHeight="15"/>
  <cols>
    <col min="2" max="2" width="66.5703125" customWidth="1"/>
    <col min="3" max="8" width="17.85546875" customWidth="1"/>
  </cols>
  <sheetData>
    <row r="1" spans="1:8" ht="15.75">
      <c r="A1" s="17" t="s">
        <v>97</v>
      </c>
      <c r="B1" s="285" t="str">
        <f>Info!C2</f>
        <v>სს "ჰეშ ბანკი"</v>
      </c>
      <c r="C1" s="16"/>
      <c r="D1" s="221"/>
      <c r="E1" s="221"/>
      <c r="F1" s="221"/>
      <c r="G1" s="221"/>
    </row>
    <row r="2" spans="1:8" ht="15.75">
      <c r="A2" s="17" t="s">
        <v>98</v>
      </c>
      <c r="B2" s="726">
        <f>'1. key ratios'!B2</f>
        <v>45838</v>
      </c>
      <c r="C2" s="28"/>
      <c r="D2" s="18"/>
      <c r="E2" s="18"/>
      <c r="F2" s="18"/>
      <c r="G2" s="18"/>
      <c r="H2" s="1"/>
    </row>
    <row r="3" spans="1:8" ht="15.75">
      <c r="A3" s="17"/>
      <c r="B3" s="16"/>
      <c r="C3" s="28"/>
      <c r="D3" s="18"/>
      <c r="E3" s="18"/>
      <c r="F3" s="18"/>
      <c r="G3" s="18"/>
      <c r="H3" s="1"/>
    </row>
    <row r="4" spans="1:8">
      <c r="A4" s="838" t="s">
        <v>25</v>
      </c>
      <c r="B4" s="836" t="s">
        <v>155</v>
      </c>
      <c r="C4" s="831" t="s">
        <v>103</v>
      </c>
      <c r="D4" s="831"/>
      <c r="E4" s="831"/>
      <c r="F4" s="831" t="s">
        <v>104</v>
      </c>
      <c r="G4" s="831"/>
      <c r="H4" s="832"/>
    </row>
    <row r="5" spans="1:8" ht="15.6" customHeight="1">
      <c r="A5" s="839"/>
      <c r="B5" s="837"/>
      <c r="C5" s="420" t="s">
        <v>26</v>
      </c>
      <c r="D5" s="420" t="s">
        <v>77</v>
      </c>
      <c r="E5" s="420" t="s">
        <v>66</v>
      </c>
      <c r="F5" s="420" t="s">
        <v>26</v>
      </c>
      <c r="G5" s="420" t="s">
        <v>77</v>
      </c>
      <c r="H5" s="420" t="s">
        <v>66</v>
      </c>
    </row>
    <row r="6" spans="1:8">
      <c r="A6" s="450">
        <v>1</v>
      </c>
      <c r="B6" s="421" t="s">
        <v>744</v>
      </c>
      <c r="C6" s="747">
        <f>SUM(C7:C12)</f>
        <v>1308993</v>
      </c>
      <c r="D6" s="747">
        <f>SUM(D7:D12)</f>
        <v>27444</v>
      </c>
      <c r="E6" s="748">
        <f>C6+D6</f>
        <v>1336437</v>
      </c>
      <c r="F6" s="747">
        <v>314294.3</v>
      </c>
      <c r="G6" s="747">
        <v>0</v>
      </c>
      <c r="H6" s="748">
        <f>F6+G6</f>
        <v>314294.3</v>
      </c>
    </row>
    <row r="7" spans="1:8">
      <c r="A7" s="450">
        <v>1.1000000000000001</v>
      </c>
      <c r="B7" s="422" t="s">
        <v>698</v>
      </c>
      <c r="C7" s="747"/>
      <c r="D7" s="747"/>
      <c r="E7" s="748">
        <f t="shared" ref="E7:E45" si="0">C7+D7</f>
        <v>0</v>
      </c>
      <c r="F7" s="747"/>
      <c r="G7" s="747"/>
      <c r="H7" s="748">
        <f t="shared" ref="H7:H44" si="1">F7+G7</f>
        <v>0</v>
      </c>
    </row>
    <row r="8" spans="1:8" ht="21">
      <c r="A8" s="450">
        <v>1.2</v>
      </c>
      <c r="B8" s="422" t="s">
        <v>745</v>
      </c>
      <c r="C8" s="747"/>
      <c r="D8" s="747"/>
      <c r="E8" s="748">
        <f t="shared" si="0"/>
        <v>0</v>
      </c>
      <c r="F8" s="747">
        <v>0</v>
      </c>
      <c r="G8" s="747"/>
      <c r="H8" s="748">
        <f t="shared" si="1"/>
        <v>0</v>
      </c>
    </row>
    <row r="9" spans="1:8" ht="21.6" customHeight="1">
      <c r="A9" s="450">
        <v>1.3</v>
      </c>
      <c r="B9" s="416" t="s">
        <v>746</v>
      </c>
      <c r="C9" s="747"/>
      <c r="D9" s="747"/>
      <c r="E9" s="748">
        <f t="shared" si="0"/>
        <v>0</v>
      </c>
      <c r="F9" s="747"/>
      <c r="G9" s="747"/>
      <c r="H9" s="748">
        <f t="shared" si="1"/>
        <v>0</v>
      </c>
    </row>
    <row r="10" spans="1:8" ht="21">
      <c r="A10" s="450">
        <v>1.4</v>
      </c>
      <c r="B10" s="416" t="s">
        <v>702</v>
      </c>
      <c r="C10" s="747"/>
      <c r="D10" s="747"/>
      <c r="E10" s="748">
        <f t="shared" si="0"/>
        <v>0</v>
      </c>
      <c r="F10" s="747"/>
      <c r="G10" s="747"/>
      <c r="H10" s="748">
        <f t="shared" si="1"/>
        <v>0</v>
      </c>
    </row>
    <row r="11" spans="1:8">
      <c r="A11" s="450">
        <v>1.5</v>
      </c>
      <c r="B11" s="416" t="s">
        <v>705</v>
      </c>
      <c r="C11" s="742">
        <v>1303334</v>
      </c>
      <c r="D11" s="742">
        <v>27444</v>
      </c>
      <c r="E11" s="748">
        <f t="shared" si="0"/>
        <v>1330778</v>
      </c>
      <c r="F11" s="742">
        <v>314294.3</v>
      </c>
      <c r="G11" s="747">
        <v>0</v>
      </c>
      <c r="H11" s="748">
        <f t="shared" si="1"/>
        <v>314294.3</v>
      </c>
    </row>
    <row r="12" spans="1:8">
      <c r="A12" s="450">
        <v>1.6</v>
      </c>
      <c r="B12" s="423" t="s">
        <v>88</v>
      </c>
      <c r="C12" s="747">
        <v>5659</v>
      </c>
      <c r="D12" s="747">
        <v>0</v>
      </c>
      <c r="E12" s="748">
        <f t="shared" si="0"/>
        <v>5659</v>
      </c>
      <c r="F12" s="747"/>
      <c r="G12" s="747"/>
      <c r="H12" s="748">
        <f t="shared" si="1"/>
        <v>0</v>
      </c>
    </row>
    <row r="13" spans="1:8">
      <c r="A13" s="450">
        <v>2</v>
      </c>
      <c r="B13" s="424" t="s">
        <v>747</v>
      </c>
      <c r="C13" s="747">
        <f>SUM(C14:C17)</f>
        <v>0</v>
      </c>
      <c r="D13" s="747">
        <f>SUM(D14:D17)</f>
        <v>-19057</v>
      </c>
      <c r="E13" s="748">
        <f t="shared" si="0"/>
        <v>-19057</v>
      </c>
      <c r="F13" s="747">
        <v>-66</v>
      </c>
      <c r="G13" s="747">
        <v>0</v>
      </c>
      <c r="H13" s="748">
        <f t="shared" si="1"/>
        <v>-66</v>
      </c>
    </row>
    <row r="14" spans="1:8">
      <c r="A14" s="450">
        <v>2.1</v>
      </c>
      <c r="B14" s="416" t="s">
        <v>748</v>
      </c>
      <c r="C14" s="747"/>
      <c r="D14" s="747"/>
      <c r="E14" s="748">
        <f t="shared" si="0"/>
        <v>0</v>
      </c>
      <c r="F14" s="747"/>
      <c r="G14" s="747"/>
      <c r="H14" s="748">
        <f t="shared" si="1"/>
        <v>0</v>
      </c>
    </row>
    <row r="15" spans="1:8" ht="24.6" customHeight="1">
      <c r="A15" s="450">
        <v>2.2000000000000002</v>
      </c>
      <c r="B15" s="416" t="s">
        <v>749</v>
      </c>
      <c r="C15" s="747"/>
      <c r="D15" s="747"/>
      <c r="E15" s="748">
        <f t="shared" si="0"/>
        <v>0</v>
      </c>
      <c r="F15" s="747"/>
      <c r="G15" s="747"/>
      <c r="H15" s="748">
        <f t="shared" si="1"/>
        <v>0</v>
      </c>
    </row>
    <row r="16" spans="1:8" ht="20.45" customHeight="1">
      <c r="A16" s="450">
        <v>2.2999999999999998</v>
      </c>
      <c r="B16" s="416" t="s">
        <v>750</v>
      </c>
      <c r="C16" s="747"/>
      <c r="D16" s="747"/>
      <c r="E16" s="748">
        <f t="shared" si="0"/>
        <v>0</v>
      </c>
      <c r="F16" s="747">
        <v>0</v>
      </c>
      <c r="G16" s="747">
        <v>0</v>
      </c>
      <c r="H16" s="748">
        <f t="shared" si="1"/>
        <v>0</v>
      </c>
    </row>
    <row r="17" spans="1:8">
      <c r="A17" s="450">
        <v>2.4</v>
      </c>
      <c r="B17" s="416" t="s">
        <v>751</v>
      </c>
      <c r="C17" s="747">
        <v>0</v>
      </c>
      <c r="D17" s="747">
        <v>-19057</v>
      </c>
      <c r="E17" s="748">
        <f t="shared" si="0"/>
        <v>-19057</v>
      </c>
      <c r="F17" s="747">
        <v>-66</v>
      </c>
      <c r="G17" s="747">
        <v>0</v>
      </c>
      <c r="H17" s="748">
        <f t="shared" si="1"/>
        <v>-66</v>
      </c>
    </row>
    <row r="18" spans="1:8">
      <c r="A18" s="450">
        <v>3</v>
      </c>
      <c r="B18" s="424" t="s">
        <v>752</v>
      </c>
      <c r="C18" s="747"/>
      <c r="D18" s="747"/>
      <c r="E18" s="748">
        <f t="shared" si="0"/>
        <v>0</v>
      </c>
      <c r="F18" s="747"/>
      <c r="G18" s="747"/>
      <c r="H18" s="748">
        <f t="shared" si="1"/>
        <v>0</v>
      </c>
    </row>
    <row r="19" spans="1:8">
      <c r="A19" s="450">
        <v>4</v>
      </c>
      <c r="B19" s="424" t="s">
        <v>753</v>
      </c>
      <c r="C19" s="742">
        <v>6980</v>
      </c>
      <c r="D19" s="742">
        <v>397</v>
      </c>
      <c r="E19" s="748">
        <f t="shared" si="0"/>
        <v>7377</v>
      </c>
      <c r="F19" s="747">
        <v>0</v>
      </c>
      <c r="G19" s="747"/>
      <c r="H19" s="748">
        <f t="shared" si="1"/>
        <v>0</v>
      </c>
    </row>
    <row r="20" spans="1:8">
      <c r="A20" s="450">
        <v>5</v>
      </c>
      <c r="B20" s="424" t="s">
        <v>754</v>
      </c>
      <c r="C20" s="742">
        <v>-11296.52</v>
      </c>
      <c r="D20" s="742">
        <v>-36991.03</v>
      </c>
      <c r="E20" s="748">
        <f t="shared" si="0"/>
        <v>-48287.55</v>
      </c>
      <c r="F20" s="742">
        <v>-896</v>
      </c>
      <c r="G20" s="747"/>
      <c r="H20" s="748">
        <f t="shared" si="1"/>
        <v>-896</v>
      </c>
    </row>
    <row r="21" spans="1:8" ht="38.450000000000003" customHeight="1">
      <c r="A21" s="450">
        <v>6</v>
      </c>
      <c r="B21" s="424" t="s">
        <v>755</v>
      </c>
      <c r="C21" s="747"/>
      <c r="D21" s="747"/>
      <c r="E21" s="748">
        <f t="shared" si="0"/>
        <v>0</v>
      </c>
      <c r="F21" s="747">
        <v>0</v>
      </c>
      <c r="G21" s="747"/>
      <c r="H21" s="748">
        <f t="shared" si="1"/>
        <v>0</v>
      </c>
    </row>
    <row r="22" spans="1:8" ht="27.6" customHeight="1">
      <c r="A22" s="450">
        <v>7</v>
      </c>
      <c r="B22" s="424" t="s">
        <v>756</v>
      </c>
      <c r="C22" s="747"/>
      <c r="D22" s="747"/>
      <c r="E22" s="748">
        <f t="shared" si="0"/>
        <v>0</v>
      </c>
      <c r="F22" s="747"/>
      <c r="G22" s="747"/>
      <c r="H22" s="748">
        <f t="shared" si="1"/>
        <v>0</v>
      </c>
    </row>
    <row r="23" spans="1:8" ht="36.950000000000003" customHeight="1">
      <c r="A23" s="450">
        <v>8</v>
      </c>
      <c r="B23" s="425" t="s">
        <v>757</v>
      </c>
      <c r="C23" s="747"/>
      <c r="D23" s="747"/>
      <c r="E23" s="748">
        <f t="shared" si="0"/>
        <v>0</v>
      </c>
      <c r="F23" s="747"/>
      <c r="G23" s="747"/>
      <c r="H23" s="748">
        <f t="shared" si="1"/>
        <v>0</v>
      </c>
    </row>
    <row r="24" spans="1:8" ht="34.5" customHeight="1">
      <c r="A24" s="450">
        <v>9</v>
      </c>
      <c r="B24" s="425" t="s">
        <v>758</v>
      </c>
      <c r="C24" s="747"/>
      <c r="D24" s="747"/>
      <c r="E24" s="748">
        <f t="shared" si="0"/>
        <v>0</v>
      </c>
      <c r="F24" s="747"/>
      <c r="G24" s="747"/>
      <c r="H24" s="748">
        <f t="shared" si="1"/>
        <v>0</v>
      </c>
    </row>
    <row r="25" spans="1:8">
      <c r="A25" s="450">
        <v>10</v>
      </c>
      <c r="B25" s="424" t="s">
        <v>759</v>
      </c>
      <c r="C25" s="742">
        <v>-3193</v>
      </c>
      <c r="D25" s="747">
        <v>0</v>
      </c>
      <c r="E25" s="748">
        <f t="shared" si="0"/>
        <v>-3193</v>
      </c>
      <c r="F25" s="742">
        <v>-2523</v>
      </c>
      <c r="G25" s="747"/>
      <c r="H25" s="748">
        <f t="shared" si="1"/>
        <v>-2523</v>
      </c>
    </row>
    <row r="26" spans="1:8" ht="27" customHeight="1">
      <c r="A26" s="450">
        <v>11</v>
      </c>
      <c r="B26" s="426" t="s">
        <v>760</v>
      </c>
      <c r="C26" s="747">
        <v>0</v>
      </c>
      <c r="D26" s="747"/>
      <c r="E26" s="748">
        <f t="shared" si="0"/>
        <v>0</v>
      </c>
      <c r="F26" s="747">
        <v>0</v>
      </c>
      <c r="G26" s="747"/>
      <c r="H26" s="748">
        <f t="shared" si="1"/>
        <v>0</v>
      </c>
    </row>
    <row r="27" spans="1:8">
      <c r="A27" s="450">
        <v>12</v>
      </c>
      <c r="B27" s="424" t="s">
        <v>761</v>
      </c>
      <c r="C27" s="742">
        <v>8591</v>
      </c>
      <c r="D27" s="742">
        <v>0</v>
      </c>
      <c r="E27" s="748">
        <f t="shared" si="0"/>
        <v>8591</v>
      </c>
      <c r="F27" s="747">
        <v>0</v>
      </c>
      <c r="G27" s="747"/>
      <c r="H27" s="748">
        <f t="shared" si="1"/>
        <v>0</v>
      </c>
    </row>
    <row r="28" spans="1:8">
      <c r="A28" s="450">
        <v>13</v>
      </c>
      <c r="B28" s="427" t="s">
        <v>762</v>
      </c>
      <c r="C28" s="742">
        <v>-381566.48</v>
      </c>
      <c r="D28" s="742">
        <v>-311608.96999999997</v>
      </c>
      <c r="E28" s="748">
        <f t="shared" si="0"/>
        <v>-693175.45</v>
      </c>
      <c r="F28" s="747">
        <v>0</v>
      </c>
      <c r="G28" s="747"/>
      <c r="H28" s="748">
        <f t="shared" si="1"/>
        <v>0</v>
      </c>
    </row>
    <row r="29" spans="1:8">
      <c r="A29" s="450">
        <v>14</v>
      </c>
      <c r="B29" s="428" t="s">
        <v>763</v>
      </c>
      <c r="C29" s="747">
        <f>SUM(C30:C31)</f>
        <v>-4066691.4</v>
      </c>
      <c r="D29" s="747">
        <f>SUM(D30:D31)</f>
        <v>-551750</v>
      </c>
      <c r="E29" s="748">
        <f t="shared" si="0"/>
        <v>-4618441.4000000004</v>
      </c>
      <c r="F29" s="747">
        <v>-2138244</v>
      </c>
      <c r="G29" s="747">
        <v>0</v>
      </c>
      <c r="H29" s="748">
        <f t="shared" si="1"/>
        <v>-2138244</v>
      </c>
    </row>
    <row r="30" spans="1:8">
      <c r="A30" s="450">
        <v>14.1</v>
      </c>
      <c r="B30" s="401" t="s">
        <v>764</v>
      </c>
      <c r="C30" s="742">
        <v>-3745538.4</v>
      </c>
      <c r="D30" s="742">
        <v>0</v>
      </c>
      <c r="E30" s="748">
        <f t="shared" si="0"/>
        <v>-3745538.4</v>
      </c>
      <c r="F30" s="742">
        <v>-1685696</v>
      </c>
      <c r="G30" s="747"/>
      <c r="H30" s="748">
        <f t="shared" si="1"/>
        <v>-1685696</v>
      </c>
    </row>
    <row r="31" spans="1:8">
      <c r="A31" s="450">
        <v>14.2</v>
      </c>
      <c r="B31" s="401" t="s">
        <v>765</v>
      </c>
      <c r="C31" s="742">
        <v>-321153</v>
      </c>
      <c r="D31" s="742">
        <v>-551750</v>
      </c>
      <c r="E31" s="748">
        <f t="shared" si="0"/>
        <v>-872903</v>
      </c>
      <c r="F31" s="742">
        <v>-452548</v>
      </c>
      <c r="G31" s="747"/>
      <c r="H31" s="748">
        <f t="shared" si="1"/>
        <v>-452548</v>
      </c>
    </row>
    <row r="32" spans="1:8">
      <c r="A32" s="450">
        <v>15</v>
      </c>
      <c r="B32" s="429" t="s">
        <v>766</v>
      </c>
      <c r="C32" s="742">
        <v>-456032</v>
      </c>
      <c r="D32" s="747">
        <v>0</v>
      </c>
      <c r="E32" s="748">
        <f t="shared" si="0"/>
        <v>-456032</v>
      </c>
      <c r="F32" s="742">
        <v>-80415</v>
      </c>
      <c r="G32" s="747"/>
      <c r="H32" s="748">
        <f t="shared" si="1"/>
        <v>-80415</v>
      </c>
    </row>
    <row r="33" spans="1:8" ht="22.5" customHeight="1">
      <c r="A33" s="450">
        <v>16</v>
      </c>
      <c r="B33" s="397" t="s">
        <v>767</v>
      </c>
      <c r="C33" s="747"/>
      <c r="D33" s="747"/>
      <c r="E33" s="748">
        <f t="shared" si="0"/>
        <v>0</v>
      </c>
      <c r="F33" s="747"/>
      <c r="G33" s="747"/>
      <c r="H33" s="748">
        <f t="shared" si="1"/>
        <v>0</v>
      </c>
    </row>
    <row r="34" spans="1:8">
      <c r="A34" s="450">
        <v>17</v>
      </c>
      <c r="B34" s="424" t="s">
        <v>768</v>
      </c>
      <c r="C34" s="747">
        <f>SUM(C35:C36)</f>
        <v>0</v>
      </c>
      <c r="D34" s="747">
        <f>SUM(D35:D36)</f>
        <v>0</v>
      </c>
      <c r="E34" s="748">
        <f t="shared" si="0"/>
        <v>0</v>
      </c>
      <c r="F34" s="747">
        <v>0</v>
      </c>
      <c r="G34" s="747">
        <v>0</v>
      </c>
      <c r="H34" s="748">
        <f t="shared" si="1"/>
        <v>0</v>
      </c>
    </row>
    <row r="35" spans="1:8">
      <c r="A35" s="450">
        <v>17.100000000000001</v>
      </c>
      <c r="B35" s="430" t="s">
        <v>769</v>
      </c>
      <c r="C35" s="747"/>
      <c r="D35" s="747"/>
      <c r="E35" s="748">
        <f t="shared" si="0"/>
        <v>0</v>
      </c>
      <c r="F35" s="747">
        <v>0</v>
      </c>
      <c r="G35" s="747"/>
      <c r="H35" s="748">
        <f t="shared" si="1"/>
        <v>0</v>
      </c>
    </row>
    <row r="36" spans="1:8">
      <c r="A36" s="450">
        <v>17.2</v>
      </c>
      <c r="B36" s="401" t="s">
        <v>770</v>
      </c>
      <c r="C36" s="747"/>
      <c r="D36" s="747"/>
      <c r="E36" s="748">
        <f t="shared" si="0"/>
        <v>0</v>
      </c>
      <c r="F36" s="747">
        <v>0</v>
      </c>
      <c r="G36" s="747"/>
      <c r="H36" s="748">
        <f t="shared" si="1"/>
        <v>0</v>
      </c>
    </row>
    <row r="37" spans="1:8" ht="41.45" customHeight="1">
      <c r="A37" s="450">
        <v>18</v>
      </c>
      <c r="B37" s="431" t="s">
        <v>771</v>
      </c>
      <c r="C37" s="747">
        <f>SUM(C38:C39)</f>
        <v>-3217</v>
      </c>
      <c r="D37" s="747">
        <f>SUM(D38:D39)</f>
        <v>-8451</v>
      </c>
      <c r="E37" s="748">
        <f t="shared" si="0"/>
        <v>-11668</v>
      </c>
      <c r="F37" s="747">
        <v>-15500</v>
      </c>
      <c r="G37" s="749">
        <v>0</v>
      </c>
      <c r="H37" s="748">
        <f t="shared" si="1"/>
        <v>-15500</v>
      </c>
    </row>
    <row r="38" spans="1:8" ht="21">
      <c r="A38" s="450">
        <v>18.100000000000001</v>
      </c>
      <c r="B38" s="416" t="s">
        <v>772</v>
      </c>
      <c r="C38" s="747"/>
      <c r="D38" s="747"/>
      <c r="E38" s="748">
        <f t="shared" si="0"/>
        <v>0</v>
      </c>
      <c r="F38" s="747"/>
      <c r="G38" s="747"/>
      <c r="H38" s="748">
        <f t="shared" si="1"/>
        <v>0</v>
      </c>
    </row>
    <row r="39" spans="1:8">
      <c r="A39" s="450">
        <v>18.2</v>
      </c>
      <c r="B39" s="416" t="s">
        <v>773</v>
      </c>
      <c r="C39" s="742">
        <v>-3217</v>
      </c>
      <c r="D39" s="742">
        <v>-8451</v>
      </c>
      <c r="E39" s="748">
        <f t="shared" si="0"/>
        <v>-11668</v>
      </c>
      <c r="F39" s="742">
        <v>-15500</v>
      </c>
      <c r="G39" s="747"/>
      <c r="H39" s="748">
        <f t="shared" si="1"/>
        <v>-15500</v>
      </c>
    </row>
    <row r="40" spans="1:8" ht="24.6" customHeight="1">
      <c r="A40" s="450">
        <v>19</v>
      </c>
      <c r="B40" s="431" t="s">
        <v>774</v>
      </c>
      <c r="C40" s="747"/>
      <c r="D40" s="747"/>
      <c r="E40" s="748">
        <f t="shared" si="0"/>
        <v>0</v>
      </c>
      <c r="F40" s="747"/>
      <c r="G40" s="747"/>
      <c r="H40" s="748">
        <f t="shared" si="1"/>
        <v>0</v>
      </c>
    </row>
    <row r="41" spans="1:8" ht="24.95" customHeight="1">
      <c r="A41" s="450">
        <v>20</v>
      </c>
      <c r="B41" s="431" t="s">
        <v>775</v>
      </c>
      <c r="C41" s="747"/>
      <c r="D41" s="747"/>
      <c r="E41" s="748">
        <f t="shared" si="0"/>
        <v>0</v>
      </c>
      <c r="F41" s="747"/>
      <c r="G41" s="747"/>
      <c r="H41" s="748">
        <f t="shared" si="1"/>
        <v>0</v>
      </c>
    </row>
    <row r="42" spans="1:8" ht="33" customHeight="1">
      <c r="A42" s="450">
        <v>21</v>
      </c>
      <c r="B42" s="432" t="s">
        <v>776</v>
      </c>
      <c r="C42" s="747"/>
      <c r="D42" s="747"/>
      <c r="E42" s="748">
        <f t="shared" si="0"/>
        <v>0</v>
      </c>
      <c r="F42" s="747"/>
      <c r="G42" s="747"/>
      <c r="H42" s="748">
        <f t="shared" si="1"/>
        <v>0</v>
      </c>
    </row>
    <row r="43" spans="1:8">
      <c r="A43" s="450">
        <v>22</v>
      </c>
      <c r="B43" s="433" t="s">
        <v>777</v>
      </c>
      <c r="C43" s="747">
        <f>SUM(C6,C13,C18,C19,C20,C21,C22,C23,C24,C25,C26,C27,C28,C29,C32,C33,C34,C37,C40,C41,C42)</f>
        <v>-3597432.4</v>
      </c>
      <c r="D43" s="747">
        <f>SUM(D6,D13,D18,D19,D20,D21,D22,D23,D24,D25,D26,D27,D28,D29,D32,D33,D34,D37,D40,D41,D42)</f>
        <v>-900017</v>
      </c>
      <c r="E43" s="748">
        <f t="shared" si="0"/>
        <v>-4497449.4000000004</v>
      </c>
      <c r="F43" s="747">
        <f>SUM(F6,F13,F18,F19,F20,F21,F22,F23,F24,F25,F26,F27,F28,F29,F32,F33,F34,F37,F40,F41,F42)</f>
        <v>-1923349.7</v>
      </c>
      <c r="G43" s="747">
        <f>SUM(G6,G13,G18,G19,G20,G21,G22,G23,G24,G25,G26,G27,G28,G29,G32,G33,G34,G37,G40,G41,G42)</f>
        <v>0</v>
      </c>
      <c r="H43" s="748">
        <f t="shared" si="1"/>
        <v>-1923349.7</v>
      </c>
    </row>
    <row r="44" spans="1:8">
      <c r="A44" s="450">
        <v>23</v>
      </c>
      <c r="B44" s="433" t="s">
        <v>778</v>
      </c>
      <c r="C44" s="742">
        <v>-1099008</v>
      </c>
      <c r="D44" s="747"/>
      <c r="E44" s="748">
        <f t="shared" si="0"/>
        <v>-1099008</v>
      </c>
      <c r="F44" s="742">
        <v>297478</v>
      </c>
      <c r="G44" s="747"/>
      <c r="H44" s="748">
        <f t="shared" si="1"/>
        <v>297478</v>
      </c>
    </row>
    <row r="45" spans="1:8">
      <c r="A45" s="450">
        <v>24</v>
      </c>
      <c r="B45" s="433" t="s">
        <v>779</v>
      </c>
      <c r="C45" s="750">
        <f>C43+C44</f>
        <v>-4696440.4000000004</v>
      </c>
      <c r="D45" s="750">
        <f>D43+D44</f>
        <v>-900017</v>
      </c>
      <c r="E45" s="748">
        <f t="shared" si="0"/>
        <v>-5596457.4000000004</v>
      </c>
      <c r="F45" s="750">
        <f>F43+F44</f>
        <v>-1625871.7</v>
      </c>
      <c r="G45" s="750">
        <f>G43+G44</f>
        <v>0</v>
      </c>
      <c r="H45" s="748">
        <f>F45+G45</f>
        <v>-1625871.7</v>
      </c>
    </row>
    <row r="46" spans="1:8">
      <c r="E46" s="764">
        <f>E69-E36</f>
        <v>0</v>
      </c>
    </row>
  </sheetData>
  <mergeCells count="4">
    <mergeCell ref="B4:B5"/>
    <mergeCell ref="C4:E4"/>
    <mergeCell ref="F4:H4"/>
    <mergeCell ref="A4:A5"/>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election activeCell="E57" sqref="E28:E57"/>
    </sheetView>
  </sheetViews>
  <sheetFormatPr defaultRowHeight="15"/>
  <cols>
    <col min="1" max="1" width="8.85546875" style="447"/>
    <col min="2" max="2" width="87.5703125" bestFit="1" customWidth="1"/>
    <col min="3" max="8" width="12.85546875" customWidth="1"/>
  </cols>
  <sheetData>
    <row r="1" spans="1:8" ht="15.75">
      <c r="A1" s="17" t="s">
        <v>97</v>
      </c>
      <c r="B1" s="285" t="str">
        <f>Info!C2</f>
        <v>სს "ჰეშ ბანკი"</v>
      </c>
      <c r="C1" s="16"/>
      <c r="D1" s="221"/>
      <c r="E1" s="221"/>
      <c r="F1" s="221"/>
      <c r="G1" s="221"/>
    </row>
    <row r="2" spans="1:8" ht="15.75">
      <c r="A2" s="17" t="s">
        <v>98</v>
      </c>
      <c r="B2" s="726">
        <f>'1. key ratios'!B2</f>
        <v>45838</v>
      </c>
      <c r="C2" s="28"/>
      <c r="D2" s="18"/>
      <c r="E2" s="18"/>
      <c r="F2" s="18"/>
      <c r="G2" s="18"/>
      <c r="H2" s="1"/>
    </row>
    <row r="3" spans="1:8" ht="15.75">
      <c r="A3" s="17"/>
      <c r="B3" s="16"/>
      <c r="C3" s="28"/>
      <c r="D3" s="18"/>
      <c r="E3" s="18"/>
      <c r="F3" s="18"/>
      <c r="G3" s="18"/>
      <c r="H3" s="1"/>
    </row>
    <row r="4" spans="1:8" ht="15.75">
      <c r="A4" s="828" t="s">
        <v>25</v>
      </c>
      <c r="B4" s="840" t="s">
        <v>140</v>
      </c>
      <c r="C4" s="841" t="s">
        <v>103</v>
      </c>
      <c r="D4" s="841"/>
      <c r="E4" s="841"/>
      <c r="F4" s="841" t="s">
        <v>104</v>
      </c>
      <c r="G4" s="841"/>
      <c r="H4" s="842"/>
    </row>
    <row r="5" spans="1:8">
      <c r="A5" s="828"/>
      <c r="B5" s="840"/>
      <c r="C5" s="420" t="s">
        <v>26</v>
      </c>
      <c r="D5" s="420" t="s">
        <v>77</v>
      </c>
      <c r="E5" s="420" t="s">
        <v>66</v>
      </c>
      <c r="F5" s="420" t="s">
        <v>26</v>
      </c>
      <c r="G5" s="420" t="s">
        <v>77</v>
      </c>
      <c r="H5" s="434" t="s">
        <v>66</v>
      </c>
    </row>
    <row r="6" spans="1:8" ht="15.75">
      <c r="A6" s="435">
        <v>1</v>
      </c>
      <c r="B6" s="439" t="s">
        <v>780</v>
      </c>
      <c r="C6" s="436"/>
      <c r="D6" s="436"/>
      <c r="E6" s="437">
        <f t="shared" ref="E6:E43" si="0">C6+D6</f>
        <v>0</v>
      </c>
      <c r="F6" s="436"/>
      <c r="G6" s="436"/>
      <c r="H6" s="438">
        <f t="shared" ref="H6:H43" si="1">F6+G6</f>
        <v>0</v>
      </c>
    </row>
    <row r="7" spans="1:8" ht="15.75">
      <c r="A7" s="435">
        <v>2</v>
      </c>
      <c r="B7" s="439" t="s">
        <v>166</v>
      </c>
      <c r="C7" s="436"/>
      <c r="D7" s="436"/>
      <c r="E7" s="437">
        <f t="shared" si="0"/>
        <v>0</v>
      </c>
      <c r="F7" s="436"/>
      <c r="G7" s="436"/>
      <c r="H7" s="438">
        <f t="shared" si="1"/>
        <v>0</v>
      </c>
    </row>
    <row r="8" spans="1:8" ht="15.75">
      <c r="A8" s="435">
        <v>3</v>
      </c>
      <c r="B8" s="439" t="s">
        <v>168</v>
      </c>
      <c r="C8" s="436">
        <f>C9+C10</f>
        <v>0</v>
      </c>
      <c r="D8" s="436">
        <f>D9+D10</f>
        <v>0</v>
      </c>
      <c r="E8" s="437">
        <f t="shared" si="0"/>
        <v>0</v>
      </c>
      <c r="F8" s="436">
        <f>F9+F10</f>
        <v>0</v>
      </c>
      <c r="G8" s="436">
        <f>G9+G10</f>
        <v>0</v>
      </c>
      <c r="H8" s="438">
        <f t="shared" si="1"/>
        <v>0</v>
      </c>
    </row>
    <row r="9" spans="1:8" ht="15.75">
      <c r="A9" s="435">
        <v>3.1</v>
      </c>
      <c r="B9" s="440" t="s">
        <v>781</v>
      </c>
      <c r="C9" s="436"/>
      <c r="D9" s="436"/>
      <c r="E9" s="437">
        <f t="shared" si="0"/>
        <v>0</v>
      </c>
      <c r="F9" s="436"/>
      <c r="G9" s="436"/>
      <c r="H9" s="438">
        <f t="shared" si="1"/>
        <v>0</v>
      </c>
    </row>
    <row r="10" spans="1:8" ht="15.75">
      <c r="A10" s="435">
        <v>3.2</v>
      </c>
      <c r="B10" s="440" t="s">
        <v>782</v>
      </c>
      <c r="C10" s="436"/>
      <c r="D10" s="436"/>
      <c r="E10" s="437">
        <f t="shared" si="0"/>
        <v>0</v>
      </c>
      <c r="F10" s="436"/>
      <c r="G10" s="436"/>
      <c r="H10" s="438">
        <f t="shared" si="1"/>
        <v>0</v>
      </c>
    </row>
    <row r="11" spans="1:8" ht="25.5">
      <c r="A11" s="435">
        <v>4</v>
      </c>
      <c r="B11" s="439" t="s">
        <v>167</v>
      </c>
      <c r="C11" s="436">
        <f>C12+C13</f>
        <v>0</v>
      </c>
      <c r="D11" s="436">
        <f>D12+D13</f>
        <v>0</v>
      </c>
      <c r="E11" s="437">
        <f t="shared" si="0"/>
        <v>0</v>
      </c>
      <c r="F11" s="436">
        <f>F12+F13</f>
        <v>0</v>
      </c>
      <c r="G11" s="436">
        <f>G12+G13</f>
        <v>0</v>
      </c>
      <c r="H11" s="438">
        <f t="shared" si="1"/>
        <v>0</v>
      </c>
    </row>
    <row r="12" spans="1:8" ht="15.75">
      <c r="A12" s="435">
        <v>4.0999999999999996</v>
      </c>
      <c r="B12" s="440" t="s">
        <v>783</v>
      </c>
      <c r="C12" s="436"/>
      <c r="D12" s="436"/>
      <c r="E12" s="437">
        <f t="shared" si="0"/>
        <v>0</v>
      </c>
      <c r="F12" s="436"/>
      <c r="G12" s="436"/>
      <c r="H12" s="438">
        <f t="shared" si="1"/>
        <v>0</v>
      </c>
    </row>
    <row r="13" spans="1:8" ht="15.75">
      <c r="A13" s="435">
        <v>4.2</v>
      </c>
      <c r="B13" s="440" t="s">
        <v>784</v>
      </c>
      <c r="C13" s="436"/>
      <c r="D13" s="436"/>
      <c r="E13" s="437">
        <f t="shared" si="0"/>
        <v>0</v>
      </c>
      <c r="F13" s="436"/>
      <c r="G13" s="436"/>
      <c r="H13" s="438">
        <f t="shared" si="1"/>
        <v>0</v>
      </c>
    </row>
    <row r="14" spans="1:8" ht="15.75">
      <c r="A14" s="435">
        <v>5</v>
      </c>
      <c r="B14" s="441" t="s">
        <v>785</v>
      </c>
      <c r="C14" s="436">
        <f>C15+C16+C17+C23+C24+C25+C26</f>
        <v>0</v>
      </c>
      <c r="D14" s="436">
        <f>D15+D16+D17+D23+D24+D25+D26</f>
        <v>0</v>
      </c>
      <c r="E14" s="437">
        <f t="shared" si="0"/>
        <v>0</v>
      </c>
      <c r="F14" s="436">
        <f>F15+F16+F17+F23+F24+F25+F26</f>
        <v>0</v>
      </c>
      <c r="G14" s="436">
        <f>G15+G16+G17+G23+G24+G25+G26</f>
        <v>0</v>
      </c>
      <c r="H14" s="438">
        <f t="shared" si="1"/>
        <v>0</v>
      </c>
    </row>
    <row r="15" spans="1:8" ht="15.75">
      <c r="A15" s="435">
        <v>5.0999999999999996</v>
      </c>
      <c r="B15" s="442" t="s">
        <v>786</v>
      </c>
      <c r="C15" s="436"/>
      <c r="D15" s="436"/>
      <c r="E15" s="437">
        <f t="shared" si="0"/>
        <v>0</v>
      </c>
      <c r="F15" s="436"/>
      <c r="G15" s="436"/>
      <c r="H15" s="438">
        <f t="shared" si="1"/>
        <v>0</v>
      </c>
    </row>
    <row r="16" spans="1:8" ht="15.75">
      <c r="A16" s="435">
        <v>5.2</v>
      </c>
      <c r="B16" s="442" t="s">
        <v>787</v>
      </c>
      <c r="C16" s="436"/>
      <c r="D16" s="436"/>
      <c r="E16" s="437">
        <f t="shared" si="0"/>
        <v>0</v>
      </c>
      <c r="F16" s="436"/>
      <c r="G16" s="436"/>
      <c r="H16" s="438">
        <f t="shared" si="1"/>
        <v>0</v>
      </c>
    </row>
    <row r="17" spans="1:8" ht="15.75">
      <c r="A17" s="435">
        <v>5.3</v>
      </c>
      <c r="B17" s="442" t="s">
        <v>788</v>
      </c>
      <c r="C17" s="436">
        <f>C18+C19+C20+C21+C22</f>
        <v>0</v>
      </c>
      <c r="D17" s="436">
        <f>D18+D19+D20+D21+D22</f>
        <v>0</v>
      </c>
      <c r="E17" s="437">
        <f t="shared" si="0"/>
        <v>0</v>
      </c>
      <c r="F17" s="436"/>
      <c r="G17" s="436"/>
      <c r="H17" s="438">
        <f t="shared" si="1"/>
        <v>0</v>
      </c>
    </row>
    <row r="18" spans="1:8" ht="15.75">
      <c r="A18" s="435" t="s">
        <v>169</v>
      </c>
      <c r="B18" s="443" t="s">
        <v>789</v>
      </c>
      <c r="C18" s="436"/>
      <c r="D18" s="436"/>
      <c r="E18" s="437">
        <f t="shared" si="0"/>
        <v>0</v>
      </c>
      <c r="F18" s="436"/>
      <c r="G18" s="436"/>
      <c r="H18" s="438">
        <f t="shared" si="1"/>
        <v>0</v>
      </c>
    </row>
    <row r="19" spans="1:8" ht="15.75">
      <c r="A19" s="435" t="s">
        <v>170</v>
      </c>
      <c r="B19" s="444" t="s">
        <v>790</v>
      </c>
      <c r="C19" s="436"/>
      <c r="D19" s="436"/>
      <c r="E19" s="437">
        <f t="shared" si="0"/>
        <v>0</v>
      </c>
      <c r="F19" s="436"/>
      <c r="G19" s="436"/>
      <c r="H19" s="438">
        <f t="shared" si="1"/>
        <v>0</v>
      </c>
    </row>
    <row r="20" spans="1:8" ht="15.75">
      <c r="A20" s="435" t="s">
        <v>171</v>
      </c>
      <c r="B20" s="444" t="s">
        <v>791</v>
      </c>
      <c r="C20" s="436"/>
      <c r="D20" s="436"/>
      <c r="E20" s="437">
        <f t="shared" si="0"/>
        <v>0</v>
      </c>
      <c r="F20" s="436"/>
      <c r="G20" s="436"/>
      <c r="H20" s="438">
        <f t="shared" si="1"/>
        <v>0</v>
      </c>
    </row>
    <row r="21" spans="1:8" ht="15.75">
      <c r="A21" s="435" t="s">
        <v>172</v>
      </c>
      <c r="B21" s="444" t="s">
        <v>792</v>
      </c>
      <c r="C21" s="436"/>
      <c r="D21" s="436"/>
      <c r="E21" s="437">
        <f t="shared" si="0"/>
        <v>0</v>
      </c>
      <c r="F21" s="436"/>
      <c r="G21" s="436"/>
      <c r="H21" s="438">
        <f t="shared" si="1"/>
        <v>0</v>
      </c>
    </row>
    <row r="22" spans="1:8" ht="15.75">
      <c r="A22" s="435" t="s">
        <v>173</v>
      </c>
      <c r="B22" s="444" t="s">
        <v>510</v>
      </c>
      <c r="C22" s="436"/>
      <c r="D22" s="436"/>
      <c r="E22" s="437">
        <f t="shared" si="0"/>
        <v>0</v>
      </c>
      <c r="F22" s="436"/>
      <c r="G22" s="436"/>
      <c r="H22" s="438">
        <f t="shared" si="1"/>
        <v>0</v>
      </c>
    </row>
    <row r="23" spans="1:8" ht="15.75">
      <c r="A23" s="435">
        <v>5.4</v>
      </c>
      <c r="B23" s="442" t="s">
        <v>793</v>
      </c>
      <c r="C23" s="436"/>
      <c r="D23" s="436"/>
      <c r="E23" s="437">
        <f t="shared" si="0"/>
        <v>0</v>
      </c>
      <c r="F23" s="436"/>
      <c r="G23" s="436"/>
      <c r="H23" s="438">
        <f t="shared" si="1"/>
        <v>0</v>
      </c>
    </row>
    <row r="24" spans="1:8" ht="15.75">
      <c r="A24" s="435">
        <v>5.5</v>
      </c>
      <c r="B24" s="442" t="s">
        <v>794</v>
      </c>
      <c r="C24" s="436"/>
      <c r="D24" s="436"/>
      <c r="E24" s="437">
        <f t="shared" si="0"/>
        <v>0</v>
      </c>
      <c r="F24" s="436"/>
      <c r="G24" s="436"/>
      <c r="H24" s="438">
        <f t="shared" si="1"/>
        <v>0</v>
      </c>
    </row>
    <row r="25" spans="1:8" ht="15.75">
      <c r="A25" s="435">
        <v>5.6</v>
      </c>
      <c r="B25" s="442" t="s">
        <v>795</v>
      </c>
      <c r="C25" s="436"/>
      <c r="D25" s="436"/>
      <c r="E25" s="437">
        <f t="shared" si="0"/>
        <v>0</v>
      </c>
      <c r="F25" s="436"/>
      <c r="G25" s="436"/>
      <c r="H25" s="438">
        <f t="shared" si="1"/>
        <v>0</v>
      </c>
    </row>
    <row r="26" spans="1:8" ht="15.75">
      <c r="A26" s="435">
        <v>5.7</v>
      </c>
      <c r="B26" s="442" t="s">
        <v>510</v>
      </c>
      <c r="C26" s="436"/>
      <c r="D26" s="436"/>
      <c r="E26" s="437">
        <f t="shared" si="0"/>
        <v>0</v>
      </c>
      <c r="F26" s="436"/>
      <c r="G26" s="436"/>
      <c r="H26" s="438">
        <f t="shared" si="1"/>
        <v>0</v>
      </c>
    </row>
    <row r="27" spans="1:8" ht="15.75">
      <c r="A27" s="435">
        <v>6</v>
      </c>
      <c r="B27" s="441" t="s">
        <v>796</v>
      </c>
      <c r="C27" s="436"/>
      <c r="D27" s="436"/>
      <c r="E27" s="437">
        <f t="shared" si="0"/>
        <v>0</v>
      </c>
      <c r="F27" s="436"/>
      <c r="G27" s="436"/>
      <c r="H27" s="438">
        <f t="shared" si="1"/>
        <v>0</v>
      </c>
    </row>
    <row r="28" spans="1:8" ht="15.75">
      <c r="A28" s="435">
        <v>7</v>
      </c>
      <c r="B28" s="441" t="s">
        <v>797</v>
      </c>
      <c r="C28" s="436"/>
      <c r="D28" s="436"/>
      <c r="E28" s="437">
        <f t="shared" si="0"/>
        <v>0</v>
      </c>
      <c r="F28" s="436"/>
      <c r="G28" s="436"/>
      <c r="H28" s="438">
        <f t="shared" si="1"/>
        <v>0</v>
      </c>
    </row>
    <row r="29" spans="1:8" ht="15.75">
      <c r="A29" s="435">
        <v>8</v>
      </c>
      <c r="B29" s="441" t="s">
        <v>798</v>
      </c>
      <c r="C29" s="436"/>
      <c r="D29" s="436"/>
      <c r="E29" s="437">
        <f t="shared" si="0"/>
        <v>0</v>
      </c>
      <c r="F29" s="436"/>
      <c r="G29" s="436"/>
      <c r="H29" s="438">
        <f t="shared" si="1"/>
        <v>0</v>
      </c>
    </row>
    <row r="30" spans="1:8" ht="15.75">
      <c r="A30" s="435">
        <v>9</v>
      </c>
      <c r="B30" s="439" t="s">
        <v>174</v>
      </c>
      <c r="C30" s="436">
        <f>C31+C32+C33+C34+C35+C36+C37</f>
        <v>0</v>
      </c>
      <c r="D30" s="436">
        <f>D31+D32+D33+D34+D35+D36+D37</f>
        <v>0</v>
      </c>
      <c r="E30" s="437">
        <f t="shared" si="0"/>
        <v>0</v>
      </c>
      <c r="F30" s="436">
        <f>F31+F32+F33+F34+F35+F36+F37</f>
        <v>0</v>
      </c>
      <c r="G30" s="436">
        <f>G31+G32+G33+G34+G35+G36+G37</f>
        <v>0</v>
      </c>
      <c r="H30" s="438">
        <f t="shared" si="1"/>
        <v>0</v>
      </c>
    </row>
    <row r="31" spans="1:8" ht="25.5">
      <c r="A31" s="435">
        <v>9.1</v>
      </c>
      <c r="B31" s="440" t="s">
        <v>799</v>
      </c>
      <c r="C31" s="436"/>
      <c r="D31" s="436"/>
      <c r="E31" s="437">
        <f t="shared" si="0"/>
        <v>0</v>
      </c>
      <c r="F31" s="436"/>
      <c r="G31" s="436"/>
      <c r="H31" s="438">
        <f t="shared" si="1"/>
        <v>0</v>
      </c>
    </row>
    <row r="32" spans="1:8" ht="25.5">
      <c r="A32" s="435">
        <v>9.1999999999999993</v>
      </c>
      <c r="B32" s="440" t="s">
        <v>800</v>
      </c>
      <c r="C32" s="436"/>
      <c r="D32" s="436"/>
      <c r="E32" s="437">
        <f t="shared" si="0"/>
        <v>0</v>
      </c>
      <c r="F32" s="436"/>
      <c r="G32" s="436"/>
      <c r="H32" s="438">
        <f t="shared" si="1"/>
        <v>0</v>
      </c>
    </row>
    <row r="33" spans="1:8" ht="15.75">
      <c r="A33" s="435">
        <v>9.3000000000000007</v>
      </c>
      <c r="B33" s="440" t="s">
        <v>801</v>
      </c>
      <c r="C33" s="436"/>
      <c r="D33" s="436"/>
      <c r="E33" s="437">
        <f t="shared" si="0"/>
        <v>0</v>
      </c>
      <c r="F33" s="436"/>
      <c r="G33" s="436"/>
      <c r="H33" s="438">
        <f t="shared" si="1"/>
        <v>0</v>
      </c>
    </row>
    <row r="34" spans="1:8" ht="15.75">
      <c r="A34" s="435">
        <v>9.4</v>
      </c>
      <c r="B34" s="440" t="s">
        <v>802</v>
      </c>
      <c r="C34" s="436"/>
      <c r="D34" s="436"/>
      <c r="E34" s="437">
        <f t="shared" si="0"/>
        <v>0</v>
      </c>
      <c r="F34" s="436"/>
      <c r="G34" s="436"/>
      <c r="H34" s="438">
        <f t="shared" si="1"/>
        <v>0</v>
      </c>
    </row>
    <row r="35" spans="1:8" ht="15.75">
      <c r="A35" s="435">
        <v>9.5</v>
      </c>
      <c r="B35" s="440" t="s">
        <v>803</v>
      </c>
      <c r="C35" s="436"/>
      <c r="D35" s="436"/>
      <c r="E35" s="437">
        <f t="shared" si="0"/>
        <v>0</v>
      </c>
      <c r="F35" s="436"/>
      <c r="G35" s="436"/>
      <c r="H35" s="438">
        <f t="shared" si="1"/>
        <v>0</v>
      </c>
    </row>
    <row r="36" spans="1:8" ht="25.5">
      <c r="A36" s="435">
        <v>9.6</v>
      </c>
      <c r="B36" s="440" t="s">
        <v>804</v>
      </c>
      <c r="C36" s="436"/>
      <c r="D36" s="436"/>
      <c r="E36" s="437">
        <f t="shared" si="0"/>
        <v>0</v>
      </c>
      <c r="F36" s="436"/>
      <c r="G36" s="436"/>
      <c r="H36" s="438">
        <f t="shared" si="1"/>
        <v>0</v>
      </c>
    </row>
    <row r="37" spans="1:8" ht="25.5">
      <c r="A37" s="435">
        <v>9.6999999999999993</v>
      </c>
      <c r="B37" s="440" t="s">
        <v>805</v>
      </c>
      <c r="C37" s="436"/>
      <c r="D37" s="436"/>
      <c r="E37" s="437">
        <f t="shared" si="0"/>
        <v>0</v>
      </c>
      <c r="F37" s="436"/>
      <c r="G37" s="436"/>
      <c r="H37" s="438">
        <f t="shared" si="1"/>
        <v>0</v>
      </c>
    </row>
    <row r="38" spans="1:8" ht="15.75">
      <c r="A38" s="435">
        <v>10</v>
      </c>
      <c r="B38" s="445" t="s">
        <v>806</v>
      </c>
      <c r="C38" s="671">
        <f>C41+C42</f>
        <v>0</v>
      </c>
      <c r="D38" s="671">
        <f>D41+D42</f>
        <v>0</v>
      </c>
      <c r="E38" s="437">
        <f t="shared" si="0"/>
        <v>0</v>
      </c>
      <c r="F38" s="671">
        <f>F41+F42</f>
        <v>0</v>
      </c>
      <c r="G38" s="671">
        <f>G41+G42</f>
        <v>0</v>
      </c>
      <c r="H38" s="438">
        <f t="shared" si="1"/>
        <v>0</v>
      </c>
    </row>
    <row r="39" spans="1:8" ht="15.75">
      <c r="A39" s="435">
        <v>10.1</v>
      </c>
      <c r="B39" s="440" t="s">
        <v>807</v>
      </c>
      <c r="C39" s="436"/>
      <c r="D39" s="436"/>
      <c r="E39" s="437">
        <f t="shared" si="0"/>
        <v>0</v>
      </c>
      <c r="F39" s="436"/>
      <c r="G39" s="436"/>
      <c r="H39" s="438">
        <f t="shared" si="1"/>
        <v>0</v>
      </c>
    </row>
    <row r="40" spans="1:8" ht="25.5">
      <c r="A40" s="435">
        <v>10.199999999999999</v>
      </c>
      <c r="B40" s="440" t="s">
        <v>808</v>
      </c>
      <c r="C40" s="436"/>
      <c r="D40" s="436"/>
      <c r="E40" s="437">
        <f t="shared" si="0"/>
        <v>0</v>
      </c>
      <c r="F40" s="436"/>
      <c r="G40" s="436"/>
      <c r="H40" s="438">
        <f t="shared" si="1"/>
        <v>0</v>
      </c>
    </row>
    <row r="41" spans="1:8" ht="25.5">
      <c r="A41" s="435">
        <v>10.3</v>
      </c>
      <c r="B41" s="440" t="s">
        <v>809</v>
      </c>
      <c r="C41" s="436"/>
      <c r="D41" s="436"/>
      <c r="E41" s="437">
        <f t="shared" si="0"/>
        <v>0</v>
      </c>
      <c r="F41" s="436"/>
      <c r="G41" s="436"/>
      <c r="H41" s="438">
        <f t="shared" si="1"/>
        <v>0</v>
      </c>
    </row>
    <row r="42" spans="1:8" ht="25.5">
      <c r="A42" s="435">
        <v>10.4</v>
      </c>
      <c r="B42" s="440" t="s">
        <v>810</v>
      </c>
      <c r="C42" s="436"/>
      <c r="D42" s="436"/>
      <c r="E42" s="437">
        <f t="shared" si="0"/>
        <v>0</v>
      </c>
      <c r="F42" s="436"/>
      <c r="G42" s="436"/>
      <c r="H42" s="438">
        <f t="shared" si="1"/>
        <v>0</v>
      </c>
    </row>
    <row r="43" spans="1:8" ht="15.75">
      <c r="A43" s="435">
        <v>11</v>
      </c>
      <c r="B43" s="446" t="s">
        <v>175</v>
      </c>
      <c r="C43" s="436"/>
      <c r="D43" s="436"/>
      <c r="E43" s="437">
        <f t="shared" si="0"/>
        <v>0</v>
      </c>
      <c r="F43" s="436"/>
      <c r="G43" s="436"/>
      <c r="H43" s="438">
        <f t="shared" si="1"/>
        <v>0</v>
      </c>
    </row>
    <row r="44" spans="1:8" ht="15.75">
      <c r="C44" s="448"/>
      <c r="D44" s="448"/>
      <c r="E44" s="448"/>
      <c r="F44" s="448"/>
      <c r="G44" s="448"/>
      <c r="H44" s="448"/>
    </row>
    <row r="45" spans="1:8" ht="15.75">
      <c r="C45" s="448"/>
      <c r="D45" s="448"/>
      <c r="E45" s="448"/>
      <c r="F45" s="448"/>
      <c r="G45" s="448"/>
      <c r="H45" s="448"/>
    </row>
    <row r="46" spans="1:8" ht="15.75">
      <c r="C46" s="448"/>
      <c r="D46" s="448"/>
      <c r="E46" s="448"/>
      <c r="F46" s="448"/>
      <c r="G46" s="448"/>
      <c r="H46" s="448"/>
    </row>
    <row r="47" spans="1:8" ht="15.75">
      <c r="C47" s="448"/>
      <c r="D47" s="448"/>
      <c r="E47" s="448"/>
      <c r="F47" s="448"/>
      <c r="G47" s="448"/>
      <c r="H47" s="448"/>
    </row>
  </sheetData>
  <mergeCells count="4">
    <mergeCell ref="A4:A5"/>
    <mergeCell ref="B4:B5"/>
    <mergeCell ref="C4:E4"/>
    <mergeCell ref="F4:H4"/>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F14" sqref="F14"/>
    </sheetView>
  </sheetViews>
  <sheetFormatPr defaultColWidth="9.140625" defaultRowHeight="12.75"/>
  <cols>
    <col min="1" max="1" width="9.5703125" style="2" bestFit="1" customWidth="1"/>
    <col min="2" max="2" width="93.5703125" style="2" customWidth="1"/>
    <col min="3" max="4" width="12.85546875" style="2" customWidth="1"/>
    <col min="5" max="7" width="10.85546875" style="12" bestFit="1" customWidth="1"/>
    <col min="8" max="11" width="9.85546875" style="12" customWidth="1"/>
    <col min="12" max="16384" width="9.140625" style="12"/>
  </cols>
  <sheetData>
    <row r="1" spans="1:8" ht="15">
      <c r="A1" s="17" t="s">
        <v>97</v>
      </c>
      <c r="B1" s="16" t="str">
        <f>Info!C2</f>
        <v>სს "ჰეშ ბანკი"</v>
      </c>
      <c r="C1" s="16"/>
      <c r="D1" s="221"/>
    </row>
    <row r="2" spans="1:8" ht="15">
      <c r="A2" s="17" t="s">
        <v>98</v>
      </c>
      <c r="B2" s="726">
        <f>'1. key ratios'!B2</f>
        <v>45838</v>
      </c>
      <c r="C2" s="28"/>
      <c r="D2" s="18"/>
      <c r="E2" s="11"/>
      <c r="F2" s="11"/>
      <c r="G2" s="11"/>
      <c r="H2" s="11"/>
    </row>
    <row r="3" spans="1:8" ht="15">
      <c r="A3" s="17"/>
      <c r="B3" s="16"/>
      <c r="C3" s="28"/>
      <c r="D3" s="18"/>
      <c r="E3" s="11"/>
      <c r="F3" s="11"/>
      <c r="G3" s="11"/>
      <c r="H3" s="11"/>
    </row>
    <row r="4" spans="1:8" ht="15" customHeight="1" thickBot="1">
      <c r="A4" s="130" t="s">
        <v>242</v>
      </c>
      <c r="B4" s="131" t="s">
        <v>96</v>
      </c>
      <c r="C4" s="132" t="s">
        <v>76</v>
      </c>
    </row>
    <row r="5" spans="1:8" ht="15" customHeight="1">
      <c r="A5" s="128" t="s">
        <v>25</v>
      </c>
      <c r="B5" s="129"/>
      <c r="C5" s="308" t="str">
        <f>INT((MONTH($B$2))/3)&amp;"Q"&amp;"-"&amp;YEAR($B$2)</f>
        <v>2Q-2025</v>
      </c>
      <c r="D5" s="308" t="str">
        <f>IF(INT(MONTH($B$2))=3, "4"&amp;"Q"&amp;"-"&amp;YEAR($B$2)-1, IF(INT(MONTH($B$2))=6, "1"&amp;"Q"&amp;"-"&amp;YEAR($B$2), IF(INT(MONTH($B$2))=9, "2"&amp;"Q"&amp;"-"&amp;YEAR($B$2),IF(INT(MONTH($B$2))=12, "3"&amp;"Q"&amp;"-"&amp;YEAR($B$2), 0))))</f>
        <v>1Q-2025</v>
      </c>
      <c r="E5" s="308" t="str">
        <f>IF(INT(MONTH($B$2))=3, "3"&amp;"Q"&amp;"-"&amp;YEAR($B$2)-1, IF(INT(MONTH($B$2))=6, "4"&amp;"Q"&amp;"-"&amp;YEAR($B$2)-1, IF(INT(MONTH($B$2))=9, "1"&amp;"Q"&amp;"-"&amp;YEAR($B$2),IF(INT(MONTH($B$2))=12, "2"&amp;"Q"&amp;"-"&amp;YEAR($B$2), 0))))</f>
        <v>4Q-2024</v>
      </c>
      <c r="F5" s="308" t="str">
        <f>IF(INT(MONTH($B$2))=3, "2"&amp;"Q"&amp;"-"&amp;YEAR($B$2)-1, IF(INT(MONTH($B$2))=6, "3"&amp;"Q"&amp;"-"&amp;YEAR($B$2)-1, IF(INT(MONTH($B$2))=9, "4"&amp;"Q"&amp;"-"&amp;YEAR($B$2)-1,IF(INT(MONTH($B$2))=12, "1"&amp;"Q"&amp;"-"&amp;YEAR($B$2), 0))))</f>
        <v>3Q-2024</v>
      </c>
      <c r="G5" s="308" t="str">
        <f>IF(INT(MONTH($B$2))=3, "1"&amp;"Q"&amp;"-"&amp;YEAR($B$2)-1, IF(INT(MONTH($B$2))=6, "2"&amp;"Q"&amp;"-"&amp;YEAR($B$2)-1, IF(INT(MONTH($B$2))=9, "3"&amp;"Q"&amp;"-"&amp;YEAR($B$2)-1,IF(INT(MONTH($B$2))=12, "4"&amp;"Q"&amp;"-"&amp;YEAR($B$2)-1, 0))))</f>
        <v>2Q-2024</v>
      </c>
    </row>
    <row r="6" spans="1:8" ht="15" customHeight="1">
      <c r="A6" s="261">
        <v>1</v>
      </c>
      <c r="B6" s="292" t="s">
        <v>101</v>
      </c>
      <c r="C6" s="262">
        <f>C7+C9+C10</f>
        <v>19589763.039999999</v>
      </c>
      <c r="D6" s="295">
        <f>D7+D9+D10</f>
        <v>7433931.8539999994</v>
      </c>
      <c r="E6" s="263">
        <f t="shared" ref="E6:G6" si="0">E7+E9+E10</f>
        <v>15461194.93</v>
      </c>
      <c r="F6" s="262">
        <f t="shared" si="0"/>
        <v>3454204.6867614957</v>
      </c>
      <c r="G6" s="296">
        <f t="shared" si="0"/>
        <v>3610514.3813999998</v>
      </c>
    </row>
    <row r="7" spans="1:8" ht="15" customHeight="1">
      <c r="A7" s="261">
        <v>1.1000000000000001</v>
      </c>
      <c r="B7" s="264" t="s">
        <v>995</v>
      </c>
      <c r="C7" s="265">
        <v>19589763.039999999</v>
      </c>
      <c r="D7" s="297">
        <v>7433931.8539999994</v>
      </c>
      <c r="E7" s="265">
        <v>15461194.93</v>
      </c>
      <c r="F7" s="265">
        <v>3454204.6867614957</v>
      </c>
      <c r="G7" s="298">
        <v>3610514.3813999998</v>
      </c>
    </row>
    <row r="8" spans="1:8" ht="25.5">
      <c r="A8" s="261" t="s">
        <v>146</v>
      </c>
      <c r="B8" s="266" t="s">
        <v>239</v>
      </c>
      <c r="C8" s="265">
        <v>0</v>
      </c>
      <c r="D8" s="297">
        <v>0</v>
      </c>
      <c r="E8" s="265">
        <v>0</v>
      </c>
      <c r="F8" s="265">
        <v>0</v>
      </c>
      <c r="G8" s="298">
        <v>0</v>
      </c>
    </row>
    <row r="9" spans="1:8" ht="15" customHeight="1">
      <c r="A9" s="261">
        <v>1.2</v>
      </c>
      <c r="B9" s="264" t="s">
        <v>21</v>
      </c>
      <c r="C9" s="265">
        <v>0</v>
      </c>
      <c r="D9" s="297">
        <v>0</v>
      </c>
      <c r="E9" s="265">
        <v>0</v>
      </c>
      <c r="F9" s="265">
        <v>0</v>
      </c>
      <c r="G9" s="298">
        <v>0</v>
      </c>
    </row>
    <row r="10" spans="1:8" ht="15" customHeight="1">
      <c r="A10" s="261">
        <v>1.3</v>
      </c>
      <c r="B10" s="293" t="s">
        <v>73</v>
      </c>
      <c r="C10" s="267">
        <v>0</v>
      </c>
      <c r="D10" s="297">
        <v>0</v>
      </c>
      <c r="E10" s="267">
        <v>0</v>
      </c>
      <c r="F10" s="265">
        <v>0</v>
      </c>
      <c r="G10" s="299">
        <v>0</v>
      </c>
    </row>
    <row r="11" spans="1:8" ht="15" customHeight="1">
      <c r="A11" s="261">
        <v>2</v>
      </c>
      <c r="B11" s="292" t="s">
        <v>102</v>
      </c>
      <c r="C11" s="265">
        <v>200230.00000000012</v>
      </c>
      <c r="D11" s="297">
        <v>229621.99999999997</v>
      </c>
      <c r="E11" s="265">
        <v>343663.93550000002</v>
      </c>
      <c r="F11" s="265">
        <v>346504.53218947799</v>
      </c>
      <c r="G11" s="298">
        <v>0</v>
      </c>
    </row>
    <row r="12" spans="1:8" ht="15" customHeight="1">
      <c r="A12" s="277">
        <v>3</v>
      </c>
      <c r="B12" s="294" t="s">
        <v>100</v>
      </c>
      <c r="C12" s="267">
        <v>1106340.1205850001</v>
      </c>
      <c r="D12" s="297">
        <v>1106340.1205850001</v>
      </c>
      <c r="E12" s="267">
        <v>1106340.1205850001</v>
      </c>
      <c r="F12" s="265">
        <v>28904231.481481485</v>
      </c>
      <c r="G12" s="299">
        <v>27992488.888888888</v>
      </c>
    </row>
    <row r="13" spans="1:8" ht="15" customHeight="1" thickBot="1">
      <c r="A13" s="73">
        <v>4</v>
      </c>
      <c r="B13" s="302" t="s">
        <v>147</v>
      </c>
      <c r="C13" s="150">
        <f>C6+C11+C12</f>
        <v>20896333.160585001</v>
      </c>
      <c r="D13" s="300">
        <f>D6+D11+D12</f>
        <v>8769893.9745850004</v>
      </c>
      <c r="E13" s="151">
        <f t="shared" ref="E13:G13" si="1">E6+E11+E12</f>
        <v>16911198.986084998</v>
      </c>
      <c r="F13" s="150">
        <f t="shared" si="1"/>
        <v>32704940.700432457</v>
      </c>
      <c r="G13" s="301">
        <f t="shared" si="1"/>
        <v>31603003.270288888</v>
      </c>
    </row>
    <row r="14" spans="1:8">
      <c r="B14" s="23"/>
      <c r="C14" s="763">
        <f>C13-'1. key ratios'!C15</f>
        <v>0</v>
      </c>
      <c r="D14" s="2">
        <f>D13-'1. key ratios'!D15</f>
        <v>0</v>
      </c>
      <c r="E14" s="12">
        <f>E13-'1. key ratios'!E15</f>
        <v>0</v>
      </c>
      <c r="F14" s="12">
        <f>F13-'1. key ratios'!F15</f>
        <v>0</v>
      </c>
      <c r="G14" s="12">
        <f>G13-'1. key ratios'!G15</f>
        <v>0</v>
      </c>
    </row>
    <row r="15" spans="1:8">
      <c r="B15" s="65"/>
    </row>
    <row r="16" spans="1:8">
      <c r="B16" s="65"/>
    </row>
    <row r="17" spans="2:2">
      <c r="B17" s="65"/>
    </row>
    <row r="18" spans="2:2">
      <c r="B18" s="65"/>
    </row>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showGridLines="0" zoomScale="80" zoomScaleNormal="80" workbookViewId="0">
      <pane xSplit="1" ySplit="4" topLeftCell="B5" activePane="bottomRight" state="frozen"/>
      <selection activeCell="B2" sqref="B2"/>
      <selection pane="topRight" activeCell="B2" sqref="B2"/>
      <selection pane="bottomLeft" activeCell="B2" sqref="B2"/>
      <selection pane="bottomRight" activeCell="C23" sqref="C23"/>
    </sheetView>
  </sheetViews>
  <sheetFormatPr defaultRowHeight="15"/>
  <cols>
    <col min="1" max="1" width="9.5703125" style="2" bestFit="1" customWidth="1"/>
    <col min="2" max="2" width="58.85546875" style="2" customWidth="1"/>
    <col min="3" max="3" width="34.140625" style="2" customWidth="1"/>
  </cols>
  <sheetData>
    <row r="1" spans="1:8">
      <c r="A1" s="2" t="s">
        <v>97</v>
      </c>
      <c r="B1" s="221" t="str">
        <f>Info!C2</f>
        <v>სს "ჰეშ ბანკი"</v>
      </c>
    </row>
    <row r="2" spans="1:8">
      <c r="A2" s="2" t="s">
        <v>98</v>
      </c>
      <c r="B2" s="726">
        <f>'1. key ratios'!B2</f>
        <v>45838</v>
      </c>
    </row>
    <row r="4" spans="1:8" ht="25.5" customHeight="1" thickBot="1">
      <c r="A4" s="144" t="s">
        <v>243</v>
      </c>
      <c r="B4" s="30" t="s">
        <v>80</v>
      </c>
      <c r="C4" s="13"/>
    </row>
    <row r="5" spans="1:8" ht="15.75">
      <c r="A5" s="10"/>
      <c r="B5" s="287" t="s">
        <v>81</v>
      </c>
      <c r="C5" s="306" t="s">
        <v>419</v>
      </c>
    </row>
    <row r="6" spans="1:8" ht="15.75">
      <c r="A6" s="14">
        <v>1</v>
      </c>
      <c r="B6" s="751" t="s">
        <v>1004</v>
      </c>
      <c r="C6" s="752" t="s">
        <v>1005</v>
      </c>
    </row>
    <row r="7" spans="1:8" ht="15.75">
      <c r="A7" s="14">
        <v>2</v>
      </c>
      <c r="B7" s="751" t="s">
        <v>1006</v>
      </c>
      <c r="C7" s="752" t="s">
        <v>1007</v>
      </c>
    </row>
    <row r="8" spans="1:8" ht="15.75">
      <c r="A8" s="14">
        <v>3</v>
      </c>
      <c r="B8" s="751" t="s">
        <v>1008</v>
      </c>
      <c r="C8" s="752" t="s">
        <v>1007</v>
      </c>
    </row>
    <row r="9" spans="1:8" ht="15.75">
      <c r="A9" s="14">
        <v>4</v>
      </c>
      <c r="B9" s="751" t="s">
        <v>1009</v>
      </c>
      <c r="C9" s="752" t="s">
        <v>1010</v>
      </c>
    </row>
    <row r="10" spans="1:8" ht="15.75">
      <c r="A10" s="14">
        <v>5</v>
      </c>
      <c r="B10" s="751" t="s">
        <v>1011</v>
      </c>
      <c r="C10" s="752" t="s">
        <v>1010</v>
      </c>
    </row>
    <row r="11" spans="1:8">
      <c r="A11" s="14">
        <v>6</v>
      </c>
      <c r="B11" s="31"/>
      <c r="C11" s="303"/>
    </row>
    <row r="12" spans="1:8">
      <c r="A12" s="14">
        <v>7</v>
      </c>
      <c r="B12" s="31"/>
      <c r="C12" s="303"/>
      <c r="H12" s="4"/>
    </row>
    <row r="13" spans="1:8">
      <c r="A13" s="14">
        <v>8</v>
      </c>
      <c r="B13" s="31"/>
      <c r="C13" s="303"/>
    </row>
    <row r="14" spans="1:8">
      <c r="A14" s="14">
        <v>9</v>
      </c>
      <c r="B14" s="31"/>
      <c r="C14" s="303"/>
    </row>
    <row r="15" spans="1:8">
      <c r="A15" s="14">
        <v>10</v>
      </c>
      <c r="B15" s="31"/>
      <c r="C15" s="303"/>
    </row>
    <row r="16" spans="1:8">
      <c r="A16" s="14"/>
      <c r="B16" s="843"/>
      <c r="C16" s="844"/>
    </row>
    <row r="17" spans="1:3" ht="60">
      <c r="A17" s="14"/>
      <c r="B17" s="288" t="s">
        <v>82</v>
      </c>
      <c r="C17" s="307" t="s">
        <v>420</v>
      </c>
    </row>
    <row r="18" spans="1:3" ht="15.75">
      <c r="A18" s="14">
        <v>1</v>
      </c>
      <c r="B18" s="751" t="s">
        <v>1002</v>
      </c>
      <c r="C18" s="753" t="s">
        <v>1012</v>
      </c>
    </row>
    <row r="19" spans="1:3" ht="15.75">
      <c r="A19" s="14">
        <v>2</v>
      </c>
      <c r="B19" s="751" t="s">
        <v>1013</v>
      </c>
      <c r="C19" s="753" t="s">
        <v>1014</v>
      </c>
    </row>
    <row r="20" spans="1:3" ht="15.75">
      <c r="A20" s="14">
        <v>3</v>
      </c>
      <c r="B20" s="751" t="s">
        <v>1015</v>
      </c>
      <c r="C20" s="753" t="s">
        <v>1016</v>
      </c>
    </row>
    <row r="21" spans="1:3" ht="15.75">
      <c r="A21" s="14">
        <v>4</v>
      </c>
      <c r="B21" s="751" t="s">
        <v>1017</v>
      </c>
      <c r="C21" s="753" t="s">
        <v>1018</v>
      </c>
    </row>
    <row r="22" spans="1:3" ht="15.75">
      <c r="A22" s="14">
        <v>5</v>
      </c>
      <c r="B22" s="26" t="s">
        <v>1021</v>
      </c>
      <c r="C22" s="304" t="s">
        <v>1022</v>
      </c>
    </row>
    <row r="23" spans="1:3" ht="15.75">
      <c r="A23" s="14">
        <v>6</v>
      </c>
      <c r="B23" s="26"/>
      <c r="C23" s="304"/>
    </row>
    <row r="24" spans="1:3" ht="15.75">
      <c r="A24" s="14">
        <v>7</v>
      </c>
      <c r="B24" s="26"/>
      <c r="C24" s="304"/>
    </row>
    <row r="25" spans="1:3" ht="15.75">
      <c r="A25" s="14">
        <v>8</v>
      </c>
      <c r="B25" s="26"/>
      <c r="C25" s="304"/>
    </row>
    <row r="26" spans="1:3" ht="15.75">
      <c r="A26" s="14">
        <v>9</v>
      </c>
      <c r="B26" s="26"/>
      <c r="C26" s="304"/>
    </row>
    <row r="27" spans="1:3" ht="15.75" customHeight="1">
      <c r="A27" s="14">
        <v>10</v>
      </c>
      <c r="B27" s="26"/>
      <c r="C27" s="305"/>
    </row>
    <row r="28" spans="1:3" ht="15.75" customHeight="1">
      <c r="A28" s="14"/>
      <c r="B28" s="26"/>
      <c r="C28" s="27"/>
    </row>
    <row r="29" spans="1:3" ht="30" customHeight="1">
      <c r="A29" s="14"/>
      <c r="B29" s="845" t="s">
        <v>83</v>
      </c>
      <c r="C29" s="846"/>
    </row>
    <row r="30" spans="1:3">
      <c r="A30" s="754">
        <v>1</v>
      </c>
      <c r="B30" s="755" t="s">
        <v>1019</v>
      </c>
      <c r="C30" s="756">
        <v>0.5</v>
      </c>
    </row>
    <row r="31" spans="1:3">
      <c r="A31" s="754">
        <v>2</v>
      </c>
      <c r="B31" s="755" t="s">
        <v>1020</v>
      </c>
      <c r="C31" s="756">
        <v>0.30499999999999999</v>
      </c>
    </row>
    <row r="32" spans="1:3">
      <c r="A32" s="754">
        <v>3</v>
      </c>
      <c r="B32" s="755" t="s">
        <v>1001</v>
      </c>
      <c r="C32" s="756">
        <v>0.19500000000000001</v>
      </c>
    </row>
    <row r="33" spans="1:3" ht="15.75" customHeight="1">
      <c r="A33" s="14"/>
      <c r="B33" s="31"/>
      <c r="C33" s="32"/>
    </row>
    <row r="34" spans="1:3" ht="29.25" customHeight="1">
      <c r="A34" s="14"/>
      <c r="B34" s="845" t="s">
        <v>163</v>
      </c>
      <c r="C34" s="846"/>
    </row>
    <row r="35" spans="1:3">
      <c r="A35" s="14">
        <v>1</v>
      </c>
      <c r="B35" s="31" t="s">
        <v>1019</v>
      </c>
      <c r="C35" s="759">
        <v>0.5</v>
      </c>
    </row>
    <row r="36" spans="1:3">
      <c r="A36" s="757">
        <v>2</v>
      </c>
      <c r="B36" s="758" t="s">
        <v>1020</v>
      </c>
      <c r="C36" s="760">
        <v>0.30499999999999999</v>
      </c>
    </row>
    <row r="37" spans="1:3" ht="16.5" thickBot="1">
      <c r="A37" s="15">
        <v>3</v>
      </c>
      <c r="B37" s="33" t="s">
        <v>1001</v>
      </c>
      <c r="C37" s="761">
        <v>0.19500000000000001</v>
      </c>
    </row>
  </sheetData>
  <mergeCells count="3">
    <mergeCell ref="B16:C16"/>
    <mergeCell ref="B34:C34"/>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110" zoomScaleNormal="110" workbookViewId="0">
      <pane xSplit="1" ySplit="5" topLeftCell="B18" activePane="bottomRight" state="frozen"/>
      <selection activeCell="B2" sqref="B2"/>
      <selection pane="topRight" activeCell="B2" sqref="B2"/>
      <selection pane="bottomLeft" activeCell="B2" sqref="B2"/>
      <selection pane="bottomRight" activeCell="E38" sqref="E38"/>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"ჰეშ ბანკი"</v>
      </c>
    </row>
    <row r="2" spans="1:7" s="21" customFormat="1" ht="15.75" customHeight="1">
      <c r="A2" s="21" t="s">
        <v>98</v>
      </c>
      <c r="B2" s="726">
        <f>'1. key ratios'!B2</f>
        <v>45838</v>
      </c>
    </row>
    <row r="3" spans="1:7" s="21" customFormat="1" ht="15.75" customHeight="1"/>
    <row r="4" spans="1:7" s="21" customFormat="1" ht="15.75" customHeight="1" thickBot="1">
      <c r="A4" s="145" t="s">
        <v>244</v>
      </c>
      <c r="B4" s="146" t="s">
        <v>157</v>
      </c>
      <c r="C4" s="110"/>
      <c r="D4" s="110"/>
      <c r="E4" s="111" t="s">
        <v>76</v>
      </c>
    </row>
    <row r="5" spans="1:7" s="69" customFormat="1" ht="17.45" customHeight="1">
      <c r="A5" s="237"/>
      <c r="B5" s="238"/>
      <c r="C5" s="109" t="s">
        <v>0</v>
      </c>
      <c r="D5" s="109" t="s">
        <v>1</v>
      </c>
      <c r="E5" s="239" t="s">
        <v>2</v>
      </c>
    </row>
    <row r="6" spans="1:7" s="89" customFormat="1" ht="14.45" customHeight="1">
      <c r="A6" s="240"/>
      <c r="B6" s="847" t="s">
        <v>133</v>
      </c>
      <c r="C6" s="847" t="s">
        <v>824</v>
      </c>
      <c r="D6" s="848" t="s">
        <v>132</v>
      </c>
      <c r="E6" s="849"/>
      <c r="G6"/>
    </row>
    <row r="7" spans="1:7" s="89" customFormat="1" ht="99.6" customHeight="1">
      <c r="A7" s="240"/>
      <c r="B7" s="847"/>
      <c r="C7" s="847"/>
      <c r="D7" s="235" t="s">
        <v>131</v>
      </c>
      <c r="E7" s="236" t="s">
        <v>341</v>
      </c>
      <c r="G7"/>
    </row>
    <row r="8" spans="1:7" s="89" customFormat="1" ht="22.5" customHeight="1">
      <c r="A8" s="450">
        <v>1</v>
      </c>
      <c r="B8" s="392" t="s">
        <v>811</v>
      </c>
      <c r="C8" s="451">
        <f>SUM(C9:C11)</f>
        <v>18040462.710000001</v>
      </c>
      <c r="D8" s="451">
        <f t="shared" ref="D8" si="0">SUM(D9:D11)</f>
        <v>0</v>
      </c>
      <c r="E8" s="451">
        <f>C8-D8</f>
        <v>18040462.710000001</v>
      </c>
      <c r="G8"/>
    </row>
    <row r="9" spans="1:7" s="89" customFormat="1">
      <c r="A9" s="450">
        <v>1.1000000000000001</v>
      </c>
      <c r="B9" s="393" t="s">
        <v>85</v>
      </c>
      <c r="C9" s="451"/>
      <c r="D9" s="451"/>
      <c r="E9" s="451">
        <f t="shared" ref="E9:E35" si="1">C9-D9</f>
        <v>0</v>
      </c>
      <c r="G9"/>
    </row>
    <row r="10" spans="1:7" s="89" customFormat="1">
      <c r="A10" s="450">
        <v>1.2</v>
      </c>
      <c r="B10" s="393" t="s">
        <v>86</v>
      </c>
      <c r="C10" s="451">
        <f>'2. SOFP'!E9</f>
        <v>566820</v>
      </c>
      <c r="D10" s="451">
        <v>0</v>
      </c>
      <c r="E10" s="451">
        <f t="shared" si="1"/>
        <v>566820</v>
      </c>
      <c r="G10"/>
    </row>
    <row r="11" spans="1:7" s="89" customFormat="1">
      <c r="A11" s="450">
        <v>1.3</v>
      </c>
      <c r="B11" s="393" t="s">
        <v>87</v>
      </c>
      <c r="C11" s="451">
        <f>'2. SOFP'!E10</f>
        <v>17473642.710000001</v>
      </c>
      <c r="D11" s="451">
        <v>0</v>
      </c>
      <c r="E11" s="451">
        <f t="shared" si="1"/>
        <v>17473642.710000001</v>
      </c>
      <c r="G11"/>
    </row>
    <row r="12" spans="1:7" s="89" customFormat="1">
      <c r="A12" s="450">
        <v>2</v>
      </c>
      <c r="B12" s="394" t="s">
        <v>698</v>
      </c>
      <c r="C12" s="451"/>
      <c r="D12" s="451"/>
      <c r="E12" s="451">
        <f t="shared" si="1"/>
        <v>0</v>
      </c>
      <c r="G12"/>
    </row>
    <row r="13" spans="1:7" s="89" customFormat="1">
      <c r="A13" s="450">
        <v>2.1</v>
      </c>
      <c r="B13" s="395" t="s">
        <v>699</v>
      </c>
      <c r="C13" s="451"/>
      <c r="D13" s="451"/>
      <c r="E13" s="451">
        <f t="shared" si="1"/>
        <v>0</v>
      </c>
      <c r="G13"/>
    </row>
    <row r="14" spans="1:7" s="89" customFormat="1" ht="33.950000000000003" customHeight="1">
      <c r="A14" s="450">
        <v>3</v>
      </c>
      <c r="B14" s="396" t="s">
        <v>700</v>
      </c>
      <c r="C14" s="451"/>
      <c r="D14" s="451"/>
      <c r="E14" s="451">
        <f t="shared" si="1"/>
        <v>0</v>
      </c>
      <c r="G14"/>
    </row>
    <row r="15" spans="1:7" s="89" customFormat="1" ht="32.450000000000003" customHeight="1">
      <c r="A15" s="450">
        <v>4</v>
      </c>
      <c r="B15" s="397" t="s">
        <v>701</v>
      </c>
      <c r="C15" s="451"/>
      <c r="D15" s="451"/>
      <c r="E15" s="451">
        <f t="shared" si="1"/>
        <v>0</v>
      </c>
      <c r="G15"/>
    </row>
    <row r="16" spans="1:7" s="89" customFormat="1" ht="23.1" customHeight="1">
      <c r="A16" s="450">
        <v>5</v>
      </c>
      <c r="B16" s="397" t="s">
        <v>702</v>
      </c>
      <c r="C16" s="451">
        <f>SUM(C17:C19)</f>
        <v>0</v>
      </c>
      <c r="D16" s="451">
        <f t="shared" ref="D16" si="2">SUM(D17:D19)</f>
        <v>0</v>
      </c>
      <c r="E16" s="451">
        <f t="shared" si="1"/>
        <v>0</v>
      </c>
      <c r="G16"/>
    </row>
    <row r="17" spans="1:7" s="89" customFormat="1">
      <c r="A17" s="450">
        <v>5.0999999999999996</v>
      </c>
      <c r="B17" s="398" t="s">
        <v>703</v>
      </c>
      <c r="C17" s="451"/>
      <c r="D17" s="451"/>
      <c r="E17" s="451">
        <f t="shared" si="1"/>
        <v>0</v>
      </c>
      <c r="G17"/>
    </row>
    <row r="18" spans="1:7" s="89" customFormat="1">
      <c r="A18" s="450">
        <v>5.2</v>
      </c>
      <c r="B18" s="398" t="s">
        <v>538</v>
      </c>
      <c r="C18" s="451"/>
      <c r="D18" s="451"/>
      <c r="E18" s="451">
        <f t="shared" si="1"/>
        <v>0</v>
      </c>
      <c r="G18"/>
    </row>
    <row r="19" spans="1:7" s="89" customFormat="1">
      <c r="A19" s="450">
        <v>5.3</v>
      </c>
      <c r="B19" s="398" t="s">
        <v>704</v>
      </c>
      <c r="C19" s="451"/>
      <c r="D19" s="451"/>
      <c r="E19" s="451">
        <f t="shared" si="1"/>
        <v>0</v>
      </c>
      <c r="G19"/>
    </row>
    <row r="20" spans="1:7" s="89" customFormat="1" ht="21">
      <c r="A20" s="450">
        <v>6</v>
      </c>
      <c r="B20" s="396" t="s">
        <v>705</v>
      </c>
      <c r="C20" s="451">
        <f>SUM(C21:C22)</f>
        <v>9553935</v>
      </c>
      <c r="D20" s="451">
        <f t="shared" ref="D20" si="3">SUM(D21:D22)</f>
        <v>0</v>
      </c>
      <c r="E20" s="451">
        <f t="shared" si="1"/>
        <v>9553935</v>
      </c>
      <c r="G20"/>
    </row>
    <row r="21" spans="1:7">
      <c r="A21" s="450">
        <v>6.1</v>
      </c>
      <c r="B21" s="398" t="s">
        <v>538</v>
      </c>
      <c r="C21" s="452">
        <f>'2. SOFP'!E20</f>
        <v>9553935</v>
      </c>
      <c r="D21" s="452"/>
      <c r="E21" s="451">
        <f t="shared" si="1"/>
        <v>9553935</v>
      </c>
    </row>
    <row r="22" spans="1:7">
      <c r="A22" s="450">
        <v>6.2</v>
      </c>
      <c r="B22" s="398" t="s">
        <v>704</v>
      </c>
      <c r="C22" s="452"/>
      <c r="D22" s="452"/>
      <c r="E22" s="451">
        <f t="shared" si="1"/>
        <v>0</v>
      </c>
    </row>
    <row r="23" spans="1:7" ht="21">
      <c r="A23" s="450">
        <v>7</v>
      </c>
      <c r="B23" s="399" t="s">
        <v>706</v>
      </c>
      <c r="C23" s="453"/>
      <c r="D23" s="453"/>
      <c r="E23" s="451">
        <f t="shared" si="1"/>
        <v>0</v>
      </c>
    </row>
    <row r="24" spans="1:7" ht="21">
      <c r="A24" s="450">
        <v>8</v>
      </c>
      <c r="B24" s="400" t="s">
        <v>707</v>
      </c>
      <c r="C24" s="453"/>
      <c r="D24" s="453"/>
      <c r="E24" s="451">
        <f t="shared" si="1"/>
        <v>0</v>
      </c>
    </row>
    <row r="25" spans="1:7">
      <c r="A25" s="450">
        <v>9</v>
      </c>
      <c r="B25" s="397" t="s">
        <v>708</v>
      </c>
      <c r="C25" s="453">
        <f>SUM(C26:C27)</f>
        <v>3310825</v>
      </c>
      <c r="D25" s="453">
        <f t="shared" ref="D25" si="4">SUM(D26:D27)</f>
        <v>0</v>
      </c>
      <c r="E25" s="451">
        <f t="shared" si="1"/>
        <v>3310825</v>
      </c>
    </row>
    <row r="26" spans="1:7">
      <c r="A26" s="450">
        <v>9.1</v>
      </c>
      <c r="B26" s="401" t="s">
        <v>709</v>
      </c>
      <c r="C26" s="453">
        <f>'2. SOFP'!E25</f>
        <v>3310825</v>
      </c>
      <c r="D26" s="453"/>
      <c r="E26" s="451">
        <f t="shared" si="1"/>
        <v>3310825</v>
      </c>
    </row>
    <row r="27" spans="1:7">
      <c r="A27" s="450">
        <v>9.1999999999999993</v>
      </c>
      <c r="B27" s="401" t="s">
        <v>710</v>
      </c>
      <c r="C27" s="453"/>
      <c r="D27" s="453"/>
      <c r="E27" s="451">
        <f t="shared" si="1"/>
        <v>0</v>
      </c>
    </row>
    <row r="28" spans="1:7">
      <c r="A28" s="450">
        <v>10</v>
      </c>
      <c r="B28" s="397" t="s">
        <v>36</v>
      </c>
      <c r="C28" s="453">
        <f>SUM(C29:C30)</f>
        <v>5342957</v>
      </c>
      <c r="D28" s="453">
        <f t="shared" ref="D28" si="5">SUM(D29:D30)</f>
        <v>5342957</v>
      </c>
      <c r="E28" s="451">
        <f t="shared" si="1"/>
        <v>0</v>
      </c>
    </row>
    <row r="29" spans="1:7">
      <c r="A29" s="450">
        <v>10.1</v>
      </c>
      <c r="B29" s="401" t="s">
        <v>711</v>
      </c>
      <c r="C29" s="453"/>
      <c r="D29" s="453"/>
      <c r="E29" s="451">
        <f t="shared" si="1"/>
        <v>0</v>
      </c>
    </row>
    <row r="30" spans="1:7">
      <c r="A30" s="450">
        <v>10.199999999999999</v>
      </c>
      <c r="B30" s="401" t="s">
        <v>712</v>
      </c>
      <c r="C30" s="453">
        <f>'2. SOFP'!E29</f>
        <v>5342957</v>
      </c>
      <c r="D30" s="453">
        <f>C30</f>
        <v>5342957</v>
      </c>
      <c r="E30" s="451">
        <f t="shared" si="1"/>
        <v>0</v>
      </c>
    </row>
    <row r="31" spans="1:7">
      <c r="A31" s="450">
        <v>11</v>
      </c>
      <c r="B31" s="397" t="s">
        <v>713</v>
      </c>
      <c r="C31" s="453">
        <f>SUM(C32:C33)</f>
        <v>0</v>
      </c>
      <c r="D31" s="453">
        <f t="shared" ref="D31" si="6">SUM(D32:D33)</f>
        <v>0</v>
      </c>
      <c r="E31" s="451">
        <f t="shared" si="1"/>
        <v>0</v>
      </c>
    </row>
    <row r="32" spans="1:7">
      <c r="A32" s="450">
        <v>11.1</v>
      </c>
      <c r="B32" s="401" t="s">
        <v>714</v>
      </c>
      <c r="C32" s="453">
        <f>'2. SOFP'!E31</f>
        <v>0</v>
      </c>
      <c r="D32" s="453"/>
      <c r="E32" s="451">
        <f t="shared" si="1"/>
        <v>0</v>
      </c>
    </row>
    <row r="33" spans="1:7">
      <c r="A33" s="450">
        <v>11.2</v>
      </c>
      <c r="B33" s="401" t="s">
        <v>715</v>
      </c>
      <c r="C33" s="453">
        <f>'2. SOFP'!E32</f>
        <v>0</v>
      </c>
      <c r="D33" s="453">
        <v>0</v>
      </c>
      <c r="E33" s="451">
        <f t="shared" si="1"/>
        <v>0</v>
      </c>
    </row>
    <row r="34" spans="1:7">
      <c r="A34" s="450">
        <v>13</v>
      </c>
      <c r="B34" s="397" t="s">
        <v>88</v>
      </c>
      <c r="C34" s="452">
        <f>'2. SOFP'!E33</f>
        <v>987808.29</v>
      </c>
      <c r="D34" s="452"/>
      <c r="E34" s="451">
        <f t="shared" si="1"/>
        <v>987808.29</v>
      </c>
    </row>
    <row r="35" spans="1:7">
      <c r="A35" s="450">
        <v>13.1</v>
      </c>
      <c r="B35" s="402" t="s">
        <v>716</v>
      </c>
      <c r="C35" s="452"/>
      <c r="D35" s="452"/>
      <c r="E35" s="451">
        <f t="shared" si="1"/>
        <v>0</v>
      </c>
    </row>
    <row r="36" spans="1:7">
      <c r="A36" s="450">
        <v>13.2</v>
      </c>
      <c r="B36" s="402" t="s">
        <v>717</v>
      </c>
      <c r="C36" s="452"/>
      <c r="D36" s="452"/>
      <c r="E36" s="452"/>
    </row>
    <row r="37" spans="1:7" ht="39" thickBot="1">
      <c r="A37" s="241"/>
      <c r="B37" s="242" t="s">
        <v>308</v>
      </c>
      <c r="C37" s="188">
        <f>SUM(C8,C12,C14,C15,C16,C20,C23,C24,C25,C28,C31,C34)</f>
        <v>37235988</v>
      </c>
      <c r="D37" s="188">
        <f t="shared" ref="D37:E37" si="7">SUM(D8,D12,D14,D15,D16,D20,D23,D24,D25,D28,D31,D34)</f>
        <v>5342957</v>
      </c>
      <c r="E37" s="188">
        <f t="shared" si="7"/>
        <v>31893031</v>
      </c>
    </row>
    <row r="38" spans="1:7">
      <c r="A38"/>
      <c r="B38"/>
      <c r="C38" s="771">
        <f>C37-'2. SOFP'!E36</f>
        <v>0</v>
      </c>
      <c r="D38"/>
      <c r="E38" s="771">
        <f>E37-'[4]Risk Weighted Risk Exposures'!$G$48</f>
        <v>0</v>
      </c>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14" sqref="C1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"ჰეშ ბანკი"</v>
      </c>
    </row>
    <row r="2" spans="1:6" s="21" customFormat="1" ht="15.75" customHeight="1">
      <c r="A2" s="21" t="s">
        <v>98</v>
      </c>
      <c r="B2" s="726">
        <f>'1. key ratios'!B2</f>
        <v>45838</v>
      </c>
      <c r="C2"/>
      <c r="D2"/>
      <c r="E2"/>
      <c r="F2"/>
    </row>
    <row r="3" spans="1:6" s="21" customFormat="1" ht="15.75" customHeight="1">
      <c r="C3"/>
      <c r="D3"/>
      <c r="E3"/>
      <c r="F3"/>
    </row>
    <row r="4" spans="1:6" s="21" customFormat="1" ht="26.25" thickBot="1">
      <c r="A4" s="21" t="s">
        <v>245</v>
      </c>
      <c r="B4" s="117" t="s">
        <v>160</v>
      </c>
      <c r="C4" s="111" t="s">
        <v>76</v>
      </c>
      <c r="D4"/>
      <c r="E4"/>
      <c r="F4"/>
    </row>
    <row r="5" spans="1:6">
      <c r="A5" s="112">
        <v>1</v>
      </c>
      <c r="B5" s="113" t="s">
        <v>695</v>
      </c>
      <c r="C5" s="152">
        <f>'7. LI1'!E37</f>
        <v>31893031</v>
      </c>
    </row>
    <row r="6" spans="1:6" s="102" customFormat="1">
      <c r="A6" s="68">
        <v>2.1</v>
      </c>
      <c r="B6" s="119" t="s">
        <v>829</v>
      </c>
      <c r="C6" s="153"/>
    </row>
    <row r="7" spans="1:6" s="4" customFormat="1" ht="25.5" outlineLevel="1">
      <c r="A7" s="118">
        <v>2.2000000000000002</v>
      </c>
      <c r="B7" s="114" t="s">
        <v>830</v>
      </c>
      <c r="C7" s="154"/>
    </row>
    <row r="8" spans="1:6" s="4" customFormat="1" ht="26.25">
      <c r="A8" s="118">
        <v>3</v>
      </c>
      <c r="B8" s="115" t="s">
        <v>696</v>
      </c>
      <c r="C8" s="155">
        <f>SUM(C5:C7)</f>
        <v>31893031</v>
      </c>
    </row>
    <row r="9" spans="1:6" s="102" customFormat="1">
      <c r="A9" s="68">
        <v>4</v>
      </c>
      <c r="B9" s="122" t="s">
        <v>158</v>
      </c>
      <c r="C9" s="153"/>
    </row>
    <row r="10" spans="1:6" s="4" customFormat="1" ht="25.5" outlineLevel="1">
      <c r="A10" s="118">
        <v>5.0999999999999996</v>
      </c>
      <c r="B10" s="114" t="s">
        <v>164</v>
      </c>
      <c r="C10" s="154"/>
    </row>
    <row r="11" spans="1:6" s="4" customFormat="1" ht="25.5" outlineLevel="1">
      <c r="A11" s="118">
        <v>5.2</v>
      </c>
      <c r="B11" s="114" t="s">
        <v>165</v>
      </c>
      <c r="C11" s="154"/>
    </row>
    <row r="12" spans="1:6" s="4" customFormat="1">
      <c r="A12" s="118">
        <v>6</v>
      </c>
      <c r="B12" s="120" t="s">
        <v>996</v>
      </c>
      <c r="C12" s="243"/>
    </row>
    <row r="13" spans="1:6" s="4" customFormat="1" ht="15.75" thickBot="1">
      <c r="A13" s="121">
        <v>7</v>
      </c>
      <c r="B13" s="116" t="s">
        <v>159</v>
      </c>
      <c r="C13" s="156">
        <f>SUM(C8:C12)</f>
        <v>31893031</v>
      </c>
    </row>
    <row r="14" spans="1:6">
      <c r="C14" s="799"/>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2025-08-12T14:59:41Z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{6B4C6941-0D98-4287-BC8A-AF723F5B8636} {9B30DB8E-1AF7-4B66-ADBB-B4853D6B40DB} {C30434B7-D4A0-4ECB-87F1-11C121640520}</vt:lpwstr>
  </property>
  <property fmtid="{D5CDD505-2E9C-101B-9397-08002B2CF9AE}" pid="8" name="DLPManualFileClassificationLastModifiedBy">
    <vt:lpwstr>AD\mtsutskiridze</vt:lpwstr>
  </property>
  <property fmtid="{D5CDD505-2E9C-101B-9397-08002B2CF9AE}" pid="9" name="DLPManualFileClassificationLastModificationDate">
    <vt:lpwstr>1746721753</vt:lpwstr>
  </property>
  <property fmtid="{D5CDD505-2E9C-101B-9397-08002B2CF9AE}" pid="10" name="DLPManualFileClassificationVersion">
    <vt:lpwstr>11.11.2.117</vt:lpwstr>
  </property>
  <property fmtid="{D5CDD505-2E9C-101B-9397-08002B2CF9AE}" pid="11" name="DLPVisualLabelFileClassification">
    <vt:lpwstr>{6B4C6941-0D98-4287-BC8A-AF723F5B8636}</vt:lpwstr>
  </property>
  <property fmtid="{D5CDD505-2E9C-101B-9397-08002B2CF9AE}" pid="12" name="DLPVisualLabelFileClassificationModifiedBy">
    <vt:lpwstr>AD\mtsutskiridze</vt:lpwstr>
  </property>
  <property fmtid="{D5CDD505-2E9C-101B-9397-08002B2CF9AE}" pid="13" name="DLPVisualLabelFileClassificationModifiedDate">
    <vt:lpwstr>1746721753</vt:lpwstr>
  </property>
  <property fmtid="{D5CDD505-2E9C-101B-9397-08002B2CF9AE}" pid="14" name="DLPVisualLabelFileClassificationAlignment">
    <vt:lpwstr>1</vt:lpwstr>
  </property>
  <property fmtid="{D5CDD505-2E9C-101B-9397-08002B2CF9AE}" pid="15" name="DLPVisualLabelFileClassificationPosition">
    <vt:lpwstr>TrellixVisuallabelHeader;TrellixVisuallabelFooter</vt:lpwstr>
  </property>
</Properties>
</file>