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EB1509CB-B083-4055-928B-19E7C5648D71}" xr6:coauthVersionLast="47" xr6:coauthVersionMax="47" xr10:uidLastSave="{00000000-0000-0000-0000-000000000000}"/>
  <bookViews>
    <workbookView xWindow="-120" yWindow="-120" windowWidth="38640" windowHeight="2112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36" l="1"/>
  <c r="K24" i="36"/>
  <c r="J24" i="36"/>
  <c r="I24" i="36"/>
  <c r="H24" i="36"/>
  <c r="G24" i="36"/>
  <c r="F24" i="36"/>
  <c r="K23" i="36"/>
  <c r="J23" i="36"/>
  <c r="J25" i="36" s="1"/>
  <c r="I23" i="36"/>
  <c r="I25" i="36" s="1"/>
  <c r="H23" i="36"/>
  <c r="H25" i="36" s="1"/>
  <c r="G23" i="36"/>
  <c r="G25" i="36" s="1"/>
  <c r="F23" i="36"/>
  <c r="F25" i="36" s="1"/>
  <c r="H20" i="74"/>
  <c r="H19" i="74"/>
  <c r="H18" i="74"/>
  <c r="H16" i="74"/>
  <c r="H15" i="74"/>
  <c r="H12" i="74"/>
  <c r="H11" i="74"/>
  <c r="H10" i="74"/>
  <c r="H9" i="74"/>
  <c r="C22" i="74"/>
  <c r="F69" i="92" l="1"/>
  <c r="G69" i="92"/>
  <c r="G63" i="92"/>
  <c r="F63" i="92"/>
  <c r="F59" i="92"/>
  <c r="G59" i="92"/>
  <c r="C31" i="79"/>
  <c r="B2" i="37"/>
  <c r="B1" i="37"/>
  <c r="B2" i="107"/>
  <c r="B1" i="107"/>
  <c r="D6" i="107" l="1"/>
  <c r="E6" i="107"/>
  <c r="F6" i="107"/>
  <c r="C6" i="107"/>
  <c r="D6" i="37"/>
  <c r="D8" i="37"/>
  <c r="D7" i="37"/>
  <c r="E7" i="37"/>
  <c r="E6" i="37" s="1"/>
  <c r="E8" i="37"/>
  <c r="D9" i="37"/>
  <c r="E9" i="37"/>
  <c r="Q13" i="37"/>
  <c r="Q12" i="37"/>
  <c r="Q11" i="37"/>
  <c r="Q10" i="37" s="1"/>
  <c r="C38" i="94" l="1"/>
  <c r="Q33" i="37" l="1"/>
  <c r="I33" i="37"/>
  <c r="Q32" i="37"/>
  <c r="I32" i="37"/>
  <c r="Q31" i="37"/>
  <c r="I31" i="37"/>
  <c r="I30" i="37"/>
  <c r="Q29" i="37"/>
  <c r="I29" i="37"/>
  <c r="Q28" i="37"/>
  <c r="I28" i="37"/>
  <c r="Q27" i="37"/>
  <c r="Q26" i="37" s="1"/>
  <c r="I27" i="37"/>
  <c r="I26" i="37"/>
  <c r="Q25" i="37"/>
  <c r="I25" i="37"/>
  <c r="Q24" i="37"/>
  <c r="I24" i="37"/>
  <c r="Q23" i="37"/>
  <c r="I23" i="37"/>
  <c r="I22" i="37"/>
  <c r="Q21" i="37"/>
  <c r="Q9" i="37" s="1"/>
  <c r="I21" i="37"/>
  <c r="Q20" i="37"/>
  <c r="I20" i="37"/>
  <c r="Q19" i="37"/>
  <c r="I19" i="37"/>
  <c r="I18" i="37"/>
  <c r="Q17" i="37"/>
  <c r="I17" i="37"/>
  <c r="Q16" i="37"/>
  <c r="Q8" i="37" s="1"/>
  <c r="I16" i="37"/>
  <c r="Q15" i="37"/>
  <c r="I15" i="37"/>
  <c r="I14" i="37"/>
  <c r="I13" i="37"/>
  <c r="I12" i="37"/>
  <c r="I11" i="37"/>
  <c r="I10" i="37"/>
  <c r="P9" i="37"/>
  <c r="O9" i="37"/>
  <c r="N9" i="37"/>
  <c r="M9" i="37"/>
  <c r="L9" i="37"/>
  <c r="K9" i="37"/>
  <c r="J9" i="37"/>
  <c r="G9" i="37"/>
  <c r="F9" i="37"/>
  <c r="I9" i="37" s="1"/>
  <c r="C9" i="37"/>
  <c r="P8" i="37"/>
  <c r="O8" i="37"/>
  <c r="N8" i="37"/>
  <c r="M8" i="37"/>
  <c r="L8" i="37"/>
  <c r="K8" i="37"/>
  <c r="J8" i="37"/>
  <c r="G8" i="37"/>
  <c r="F8" i="37"/>
  <c r="I8" i="37" s="1"/>
  <c r="C8" i="37"/>
  <c r="P7" i="37"/>
  <c r="O7" i="37"/>
  <c r="N7" i="37"/>
  <c r="N6" i="37" s="1"/>
  <c r="N34" i="37" s="1"/>
  <c r="M7" i="37"/>
  <c r="L7" i="37"/>
  <c r="K7" i="37"/>
  <c r="K6" i="37" s="1"/>
  <c r="J7" i="37"/>
  <c r="G7" i="37"/>
  <c r="F7" i="37"/>
  <c r="C7" i="37"/>
  <c r="K34" i="37"/>
  <c r="E34" i="37"/>
  <c r="C13" i="79" s="1"/>
  <c r="D34" i="37"/>
  <c r="C26" i="79"/>
  <c r="C22" i="79"/>
  <c r="C8" i="79"/>
  <c r="G6" i="37" l="1"/>
  <c r="G34" i="37" s="1"/>
  <c r="C11" i="79" s="1"/>
  <c r="F6" i="37"/>
  <c r="F34" i="37" s="1"/>
  <c r="I34" i="37" s="1"/>
  <c r="C12" i="79" s="1"/>
  <c r="C14" i="79" s="1"/>
  <c r="C32" i="79" s="1"/>
  <c r="Q14" i="37"/>
  <c r="Q7" i="37"/>
  <c r="Q6" i="37" s="1"/>
  <c r="Q34" i="37" s="1"/>
  <c r="I7" i="37"/>
  <c r="I6" i="37" s="1"/>
  <c r="J6" i="37"/>
  <c r="J34" i="37" s="1"/>
  <c r="C6" i="37"/>
  <c r="C34" i="37" s="1"/>
  <c r="L6" i="37"/>
  <c r="L34" i="37" s="1"/>
  <c r="M6" i="37"/>
  <c r="M34" i="37" s="1"/>
  <c r="Q18" i="37"/>
  <c r="O6" i="37"/>
  <c r="O34" i="37" s="1"/>
  <c r="Q30" i="37"/>
  <c r="P6" i="37"/>
  <c r="P34" i="37" s="1"/>
  <c r="Q22" i="37"/>
  <c r="C34" i="79" l="1"/>
  <c r="C10" i="79"/>
  <c r="H8" i="74"/>
  <c r="G38" i="94"/>
  <c r="F38" i="94"/>
  <c r="D38" i="94" l="1"/>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C18" i="99" l="1"/>
  <c r="D15" i="98"/>
  <c r="C15" i="98"/>
  <c r="H34" i="97"/>
  <c r="H21" i="96"/>
  <c r="H22" i="95"/>
  <c r="C62" i="69"/>
  <c r="C58" i="69"/>
  <c r="C46" i="69"/>
  <c r="C40" i="69"/>
  <c r="C29" i="69"/>
  <c r="C26" i="69"/>
  <c r="C23" i="69"/>
  <c r="C18" i="69"/>
  <c r="C14" i="69"/>
  <c r="C6" i="69"/>
  <c r="D8" i="72"/>
  <c r="E8" i="72"/>
  <c r="D16" i="72"/>
  <c r="E16" i="72"/>
  <c r="D20" i="72"/>
  <c r="E20" i="72"/>
  <c r="D25" i="72"/>
  <c r="E25" i="72"/>
  <c r="D28" i="72"/>
  <c r="E28" i="72"/>
  <c r="D31" i="72"/>
  <c r="E31" i="72"/>
  <c r="C31" i="72"/>
  <c r="C28" i="72"/>
  <c r="C25" i="72"/>
  <c r="C20" i="72"/>
  <c r="C16" i="72"/>
  <c r="C8" i="72"/>
  <c r="C67" i="69" l="1"/>
  <c r="C52" i="69"/>
  <c r="C35" i="69"/>
  <c r="D37" i="72"/>
  <c r="E37" i="72"/>
  <c r="C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G68" i="92"/>
  <c r="F68" i="92"/>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F41" i="92"/>
  <c r="D41" i="92"/>
  <c r="C41" i="92"/>
  <c r="H40" i="92"/>
  <c r="E40" i="92"/>
  <c r="H39" i="92"/>
  <c r="E39" i="92"/>
  <c r="H38" i="92"/>
  <c r="E38" i="92"/>
  <c r="H35" i="92"/>
  <c r="E35" i="92"/>
  <c r="H34" i="92"/>
  <c r="E34" i="92"/>
  <c r="H33" i="92"/>
  <c r="E33" i="92"/>
  <c r="H32" i="92"/>
  <c r="E32" i="92"/>
  <c r="H31" i="92"/>
  <c r="E31" i="92"/>
  <c r="G30" i="92"/>
  <c r="F30" i="92"/>
  <c r="D30" i="92"/>
  <c r="C30" i="92"/>
  <c r="E30" i="92" s="1"/>
  <c r="H29" i="92"/>
  <c r="E29" i="92"/>
  <c r="H28" i="92"/>
  <c r="E28" i="92"/>
  <c r="G27" i="92"/>
  <c r="F27" i="92"/>
  <c r="D27" i="92"/>
  <c r="C27" i="92"/>
  <c r="H26" i="92"/>
  <c r="E26" i="92"/>
  <c r="H25" i="92"/>
  <c r="E25" i="92"/>
  <c r="G24" i="92"/>
  <c r="F24" i="92"/>
  <c r="D24" i="92"/>
  <c r="C24" i="92"/>
  <c r="E24" i="92" s="1"/>
  <c r="H23" i="92"/>
  <c r="E23" i="92"/>
  <c r="H22" i="92"/>
  <c r="E22" i="92"/>
  <c r="H21" i="92"/>
  <c r="E21" i="92"/>
  <c r="H20" i="92"/>
  <c r="E20" i="92"/>
  <c r="G19" i="92"/>
  <c r="F19" i="92"/>
  <c r="H19" i="92" s="1"/>
  <c r="D19" i="92"/>
  <c r="C19" i="92"/>
  <c r="H18" i="92"/>
  <c r="E18" i="92"/>
  <c r="H17" i="92"/>
  <c r="E17" i="92"/>
  <c r="H16" i="92"/>
  <c r="E16" i="92"/>
  <c r="G15" i="92"/>
  <c r="F15" i="92"/>
  <c r="H15" i="92" s="1"/>
  <c r="D15" i="92"/>
  <c r="C15" i="92"/>
  <c r="H14" i="92"/>
  <c r="E14" i="92"/>
  <c r="H13" i="92"/>
  <c r="E13" i="92"/>
  <c r="H12" i="92"/>
  <c r="E12" i="92"/>
  <c r="H11" i="92"/>
  <c r="E11" i="92"/>
  <c r="H10" i="92"/>
  <c r="E10" i="92"/>
  <c r="H9" i="92"/>
  <c r="E9" i="92"/>
  <c r="H8" i="92"/>
  <c r="E8" i="92"/>
  <c r="G7" i="92"/>
  <c r="F7" i="92"/>
  <c r="H7" i="92" s="1"/>
  <c r="D7" i="92"/>
  <c r="C7" i="92"/>
  <c r="C68" i="69" l="1"/>
  <c r="H30" i="94"/>
  <c r="C14" i="94"/>
  <c r="D14" i="94"/>
  <c r="H34" i="93"/>
  <c r="E34" i="93"/>
  <c r="H29" i="93"/>
  <c r="H13" i="93"/>
  <c r="E13" i="93"/>
  <c r="F43" i="93"/>
  <c r="E63" i="92"/>
  <c r="D68" i="92"/>
  <c r="C68" i="92"/>
  <c r="H47" i="92"/>
  <c r="E47" i="92"/>
  <c r="H41" i="92"/>
  <c r="E41" i="92"/>
  <c r="H30" i="92"/>
  <c r="H27" i="92"/>
  <c r="E15" i="92"/>
  <c r="G43" i="93"/>
  <c r="G36" i="92"/>
  <c r="C36" i="92"/>
  <c r="F36" i="92"/>
  <c r="H36" i="92" s="1"/>
  <c r="H37" i="93"/>
  <c r="E59" i="92"/>
  <c r="C43" i="93"/>
  <c r="D36" i="92"/>
  <c r="E6" i="93"/>
  <c r="D53" i="92"/>
  <c r="G53" i="92"/>
  <c r="E19" i="92"/>
  <c r="E27" i="92"/>
  <c r="E29" i="93"/>
  <c r="E37" i="93"/>
  <c r="H8" i="94"/>
  <c r="E8" i="94"/>
  <c r="E14" i="94"/>
  <c r="H38" i="94"/>
  <c r="E30" i="94"/>
  <c r="E11" i="94"/>
  <c r="E17" i="94"/>
  <c r="H11" i="94"/>
  <c r="H14" i="94"/>
  <c r="H6" i="93"/>
  <c r="D43" i="93"/>
  <c r="C53" i="92"/>
  <c r="H68" i="92"/>
  <c r="F53" i="92"/>
  <c r="E7" i="92"/>
  <c r="H24" i="92"/>
  <c r="C45" i="93" l="1"/>
  <c r="D45" i="93"/>
  <c r="F45" i="93"/>
  <c r="H43" i="93"/>
  <c r="G45" i="93"/>
  <c r="E68" i="92"/>
  <c r="H69" i="92"/>
  <c r="H53" i="92"/>
  <c r="D69" i="92"/>
  <c r="E36" i="92"/>
  <c r="E43" i="93"/>
  <c r="C69" i="92"/>
  <c r="E53" i="92"/>
  <c r="E45" i="93" l="1"/>
  <c r="H45" i="93"/>
  <c r="E69" i="92"/>
  <c r="B1" i="80"/>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G37" i="80" l="1"/>
  <c r="G21" i="80"/>
  <c r="G6" i="71"/>
  <c r="F6" i="71"/>
  <c r="E6" i="71"/>
  <c r="D6" i="71"/>
  <c r="C6" i="71"/>
  <c r="G39" i="80" l="1"/>
  <c r="D13" i="71"/>
  <c r="E13" i="71"/>
  <c r="F13" i="71"/>
  <c r="G13" i="71"/>
  <c r="C13" i="71"/>
  <c r="B1" i="79"/>
  <c r="B1" i="36"/>
  <c r="B1" i="74"/>
  <c r="B1" i="64"/>
  <c r="B1" i="35"/>
  <c r="B1" i="69"/>
  <c r="B1" i="77"/>
  <c r="B1" i="28"/>
  <c r="B1" i="73"/>
  <c r="B1" i="72"/>
  <c r="B1" i="52"/>
  <c r="B1" i="71"/>
  <c r="B1" i="6"/>
  <c r="B18" i="105" l="1"/>
  <c r="C21" i="77"/>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13" i="74"/>
  <c r="H17" i="74"/>
  <c r="H21" i="74"/>
  <c r="T21" i="64" l="1"/>
  <c r="U21" i="64"/>
  <c r="V9" i="64"/>
  <c r="D22" i="74" l="1"/>
  <c r="E22" i="74"/>
  <c r="H22" i="74" l="1"/>
  <c r="C8" i="73"/>
  <c r="C44" i="28"/>
  <c r="C13" i="73" l="1"/>
  <c r="C32" i="28"/>
  <c r="C31" i="28" l="1"/>
  <c r="C21" i="64"/>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B10" i="105" l="1"/>
  <c r="B9" i="105"/>
  <c r="C6" i="28"/>
  <c r="C29" i="28"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8" i="105" l="1"/>
  <c r="B7" i="105" s="1"/>
  <c r="C5" i="71"/>
  <c r="E5" i="71"/>
  <c r="F5" i="71"/>
  <c r="D5" i="71"/>
  <c r="B6" i="105" l="1"/>
  <c r="B16" i="105"/>
  <c r="B14" i="105" s="1"/>
  <c r="B21" i="105" l="1"/>
  <c r="B23" i="105"/>
  <c r="B22" i="10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<sst xmlns="http://schemas.openxmlformats.org/spreadsheetml/2006/main" count="1643" uniqueCount="1032">
  <si>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</si>
  <si>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</si>
  <si>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</si>
  <si>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</si>
  <si>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</si>
  <si>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</si>
  <si>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</si>
  <si>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</si>
  <si>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</si>
  <si>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</si>
  <si>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</si>
  <si>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</si>
  <si>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</si>
  <si>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</si>
  <si>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</si>
  <si>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</si>
  <si>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</si>
  <si>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</si>
  <si>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</si>
  <si>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</si>
  <si>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</si>
  <si>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</si>
  <si>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</si>
  <si>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</si>
  <si>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</si>
  <si>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</si>
  <si>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</si>
  <si>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</si>
  <si>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</si>
  <si>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</si>
  <si>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</si>
  <si>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</si>
  <si>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</si>
  <si>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</si>
  <si>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</si>
  <si>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</si>
  <si>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</si>
  <si>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</si>
  <si>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</si>
  <si>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</si>
  <si>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</si>
  <si>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</si>
  <si>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</si>
  <si>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</si>
  <si>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</si>
  <si>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</si>
  <si>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</si>
  <si>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</si>
  <si>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</si>
  <si>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</si>
  <si>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</si>
  <si>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</si>
  <si>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</si>
  <si>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</si>
  <si>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</si>
  <si>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</si>
  <si>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</si>
  <si>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</si>
  <si>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</si>
  <si>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</si>
  <si>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</si>
  <si>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</si>
  <si>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</si>
  <si>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</si>
  <si>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</si>
  <si>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</si>
  <si>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</si>
  <si>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</si>
  <si>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</si>
  <si>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</si>
  <si>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</si>
  <si>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</si>
  <si>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</si>
  <si>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</si>
  <si>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</si>
  <si>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</si>
  <si>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</si>
  <si>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</si>
  <si>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</si>
  <si>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</si>
  <si>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</si>
  <si>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</si>
  <si>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</si>
  <si>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</si>
  <si>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</si>
  <si>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</si>
  <si>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</si>
  <si>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</si>
  <si>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</si>
  <si>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</si>
  <si>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</si>
  <si>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</si>
  <si>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</si>
  <si>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</si>
  <si>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</si>
  <si>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</si>
  <si>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</si>
  <si>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</si>
  <si>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</si>
  <si>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</si>
  <si>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</si>
  <si>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</si>
  <si>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</si>
  <si>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</si>
  <si>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</si>
  <si>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</si>
  <si>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</si>
  <si>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</si>
  <si>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</si>
  <si>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</si>
  <si>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</si>
  <si>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</si>
  <si>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</si>
  <si>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</si>
  <si>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</si>
  <si>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</si>
  <si>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</si>
  <si>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</si>
  <si>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</si>
  <si>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</si>
  <si>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</si>
  <si>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</si>
  <si>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</si>
  <si>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</si>
  <si>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</si>
  <si>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</si>
  <si>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</si>
  <si>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</si>
  <si>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</si>
  <si>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</si>
  <si>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</si>
  <si>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</si>
  <si>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</si>
  <si>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</si>
  <si>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</si>
  <si>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</si>
  <si>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</si>
  <si>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</si>
  <si>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</si>
  <si>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</si>
  <si>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</si>
  <si>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</si>
  <si>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</si>
  <si>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</si>
  <si>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</si>
  <si>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</si>
  <si>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</si>
  <si>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</si>
  <si>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</si>
  <si>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</si>
  <si>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</si>
  <si>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</si>
  <si>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</si>
  <si>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</si>
  <si>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</si>
  <si>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</si>
  <si>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</si>
  <si>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</si>
  <si>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</si>
  <si>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</si>
  <si>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</si>
  <si>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</si>
  <si>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</si>
  <si>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</si>
  <si>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</si>
  <si>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</si>
  <si>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</si>
  <si>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</si>
  <si>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</si>
  <si>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</si>
  <si>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</si>
  <si>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</si>
  <si>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</si>
  <si>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</si>
  <si>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</si>
  <si>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</si>
  <si>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</si>
  <si>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</si>
  <si>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</si>
  <si>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</si>
  <si>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</si>
  <si>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</si>
  <si>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</si>
  <si>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</si>
  <si>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</si>
  <si>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</si>
  <si>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</si>
  <si>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</si>
  <si>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</si>
  <si>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</si>
  <si>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</si>
  <si>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</si>
  <si>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</si>
  <si>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</si>
  <si>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</si>
  <si>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</si>
  <si>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</si>
  <si>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</si>
  <si>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</si>
  <si>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</si>
  <si>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</si>
  <si>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</si>
  <si>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</si>
  <si>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</si>
  <si>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</si>
  <si>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</si>
  <si>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</si>
  <si>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</si>
  <si>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</si>
  <si>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</si>
  <si>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</si>
  <si>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</si>
  <si>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</si>
  <si>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</si>
  <si>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</si>
  <si>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</si>
  <si>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</si>
  <si>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</si>
  <si>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</si>
  <si>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</si>
  <si>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</si>
  <si>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</si>
  <si>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</si>
  <si>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</si>
  <si>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</si>
  <si>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</si>
  <si>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</si>
  <si>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</si>
  <si>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</si>
  <si>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</si>
  <si>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</si>
  <si>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</si>
  <si>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</si>
  <si>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</si>
  <si>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</si>
  <si>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</si>
  <si>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</si>
  <si>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</si>
  <si>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</si>
  <si>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</si>
  <si>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</si>
  <si>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</si>
  <si>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</si>
  <si>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</si>
  <si>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</si>
  <si>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</si>
  <si>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</si>
  <si>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</si>
  <si>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</si>
  <si>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</si>
  <si>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</si>
  <si>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</si>
  <si>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</si>
  <si>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</si>
  <si>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</si>
  <si>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</si>
  <si>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</si>
  <si>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</si>
  <si>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</si>
  <si>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</si>
  <si>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</si>
  <si>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</si>
  <si>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</si>
  <si>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</si>
  <si>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</si>
  <si>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</si>
  <si>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</si>
  <si>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</si>
  <si>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</si>
  <si>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</si>
  <si>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</si>
  <si>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</si>
  <si>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</si>
  <si>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</si>
  <si>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</si>
  <si>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</si>
  <si>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</si>
  <si>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</si>
  <si>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</si>
  <si>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</si>
  <si>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</si>
  <si>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</si>
  <si>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</si>
  <si>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</si>
  <si>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</si>
  <si>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</si>
  <si>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</si>
  <si>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</si>
  <si>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</si>
  <si>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</si>
  <si>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</si>
  <si>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</si>
  <si>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</si>
  <si>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</si>
  <si>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</si>
  <si>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</si>
  <si>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</si>
  <si>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</si>
  <si>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</si>
  <si>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</si>
  <si>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</si>
  <si>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</si>
  <si>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</si>
  <si>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</si>
  <si>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</si>
  <si>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</si>
  <si>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</si>
  <si>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</si>
  <si>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</si>
  <si>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</si>
  <si>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</si>
  <si>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</si>
  <si>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</si>
  <si>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</si>
  <si>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</si>
  <si>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</si>
  <si>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</si>
  <si>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</si>
  <si>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</si>
  <si>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</si>
  <si>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</si>
  <si>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</si>
  <si>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</si>
  <si>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</si>
  <si>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</si>
  <si>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</si>
  <si>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</si>
  <si>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</si>
  <si>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</si>
  <si>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</si>
  <si>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</si>
  <si>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</si>
  <si>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</si>
  <si>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</si>
  <si>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</si>
  <si>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</si>
  <si>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</si>
  <si>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</si>
  <si>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</si>
  <si>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</si>
  <si>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</si>
  <si>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</si>
  <si>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</si>
  <si>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</si>
  <si>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</si>
  <si>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</si>
  <si>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</si>
  <si>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</si>
  <si>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</si>
  <si>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</si>
  <si>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</si>
  <si>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</si>
  <si>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</si>
  <si>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</si>
  <si>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</si>
  <si>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</si>
  <si>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</si>
  <si>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</si>
  <si>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</si>
  <si>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</si>
  <si>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</si>
  <si>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</si>
  <si>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</si>
  <si>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</si>
  <si>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</si>
  <si>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</si>
  <si>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</si>
  <si>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</si>
  <si>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</si>
  <si>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</si>
  <si>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</si>
  <si>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</si>
  <si>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</si>
  <si>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</si>
  <si>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</si>
  <si>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</si>
  <si>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</si>
  <si>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</si>
  <si>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</si>
  <si>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</si>
  <si>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</si>
  <si>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</si>
  <si>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</si>
  <si>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</si>
  <si>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</si>
  <si>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</si>
  <si>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</si>
  <si>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</si>
  <si>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</si>
  <si>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</si>
  <si>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</si>
  <si>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</si>
  <si>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</si>
  <si>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</si>
  <si>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</si>
  <si>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</si>
  <si>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</si>
  <si>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</si>
  <si>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</si>
  <si>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</si>
  <si>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</si>
  <si>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</si>
  <si>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</si>
  <si>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</si>
  <si>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</si>
  <si>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</si>
  <si>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</si>
  <si>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</si>
  <si>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</si>
  <si>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</si>
  <si>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</si>
  <si>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</si>
  <si>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</si>
  <si>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</si>
  <si>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</si>
  <si>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</si>
  <si>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</si>
  <si>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</si>
  <si>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</si>
  <si>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</si>
  <si>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</si>
  <si>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</si>
  <si>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</si>
  <si>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</si>
  <si>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</si>
  <si>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</si>
  <si>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</si>
  <si>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</si>
  <si>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</si>
  <si>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</si>
  <si>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</si>
  <si>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</si>
  <si>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</si>
  <si>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</si>
  <si>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</si>
  <si>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</si>
  <si>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</si>
  <si>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</si>
  <si>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</si>
  <si>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</si>
  <si>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</si>
  <si>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</si>
  <si>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</si>
  <si>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</si>
  <si>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</si>
  <si>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</si>
  <si>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</si>
  <si>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</si>
  <si>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</si>
  <si>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</si>
  <si>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</si>
  <si>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</si>
  <si>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</si>
  <si>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</si>
  <si>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</si>
  <si>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</si>
  <si>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</si>
  <si>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</si>
  <si>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</si>
  <si>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</si>
  <si>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</si>
  <si>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</si>
  <si>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</si>
  <si>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</si>
  <si>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</si>
  <si>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</si>
  <si>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</si>
  <si>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</si>
  <si>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</si>
  <si>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</si>
  <si>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</si>
  <si>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</si>
  <si>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</si>
  <si>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</si>
  <si>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</si>
  <si>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</si>
  <si>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</si>
  <si>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</si>
  <si>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</si>
  <si>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</si>
  <si>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</si>
  <si>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</si>
  <si>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</si>
  <si>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</si>
  <si>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</si>
  <si>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</si>
  <si>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</si>
  <si>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</si>
  <si>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</si>
  <si>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</si>
  <si>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</si>
  <si>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</si>
  <si>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</si>
  <si>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</si>
  <si>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</si>
  <si>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</si>
  <si>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</si>
  <si>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</si>
  <si>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</si>
  <si>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</si>
  <si>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</si>
  <si>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</si>
  <si>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</si>
  <si>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</si>
  <si>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</si>
  <si>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</si>
  <si>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</si>
  <si>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</si>
  <si>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</si>
  <si>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</si>
  <si>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</si>
  <si>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</si>
  <si>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</si>
  <si>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</si>
  <si>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</si>
  <si>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</si>
  <si>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</si>
  <si>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</si>
  <si>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</si>
  <si>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</si>
  <si>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</si>
  <si>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</si>
  <si>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</si>
  <si>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</si>
  <si>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</si>
  <si>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</si>
  <si>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</si>
  <si>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</si>
  <si>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</si>
  <si>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</si>
  <si>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</si>
  <si>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</si>
  <si>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</si>
  <si>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</si>
  <si>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</si>
  <si>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</si>
  <si>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</si>
  <si>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</si>
  <si>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</si>
  <si>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</si>
  <si>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</si>
  <si>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</si>
  <si>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</si>
  <si>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</si>
  <si>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</si>
  <si>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</si>
  <si>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</si>
  <si>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</si>
  <si>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</si>
  <si>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</si>
  <si>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</si>
  <si>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</si>
  <si>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</si>
  <si>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</si>
  <si>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</si>
  <si>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</si>
  <si>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</si>
  <si>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</si>
  <si>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</si>
  <si>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</si>
  <si>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</si>
  <si>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</si>
  <si>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</si>
  <si>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</si>
  <si>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</si>
  <si>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</si>
  <si>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</si>
  <si>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</si>
  <si>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</si>
  <si>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</si>
  <si>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</si>
  <si>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</si>
  <si>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</si>
  <si>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</si>
  <si>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</si>
  <si>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</si>
  <si>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</si>
  <si>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</si>
  <si>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</si>
  <si>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</si>
  <si>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</si>
  <si>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</si>
  <si>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</si>
  <si>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</si>
  <si>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</si>
  <si>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</si>
  <si>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</si>
  <si>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</si>
  <si>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</si>
  <si>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</si>
  <si>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</si>
  <si>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</si>
  <si>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</si>
  <si>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</si>
  <si>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</si>
  <si>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</si>
  <si>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</si>
  <si>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</si>
  <si>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</si>
  <si>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</si>
  <si>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</si>
  <si>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</si>
  <si>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</si>
  <si>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</si>
  <si>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</si>
  <si>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</si>
  <si>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</si>
  <si>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</si>
  <si>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</si>
  <si>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</si>
  <si>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</si>
  <si>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</si>
  <si>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</si>
  <si>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</si>
  <si>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</si>
  <si>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</si>
  <si>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</si>
  <si>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</si>
  <si>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</si>
  <si>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</si>
  <si>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</si>
  <si>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</si>
  <si>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</si>
  <si>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</si>
  <si>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</si>
  <si>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</si>
  <si>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</si>
  <si>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</si>
  <si>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</si>
  <si>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</si>
  <si>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</si>
  <si>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</si>
  <si>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</si>
  <si>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</si>
  <si>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</si>
  <si>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</si>
  <si>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</si>
  <si>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</si>
  <si>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</si>
  <si>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</si>
  <si>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</si>
  <si>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</si>
  <si>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</si>
  <si>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</si>
  <si>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</si>
  <si>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</si>
  <si>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</si>
  <si>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</si>
  <si>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</si>
  <si>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</si>
  <si>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</si>
  <si>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</si>
  <si>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</si>
  <si>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</si>
  <si>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</si>
  <si>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</si>
  <si>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</si>
  <si>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</si>
  <si>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</si>
  <si>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</si>
  <si>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</si>
  <si>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</si>
  <si>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</si>
  <si>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</si>
  <si>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</si>
  <si>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</si>
  <si>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</si>
  <si>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</si>
  <si>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</si>
  <si>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</si>
  <si>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</si>
  <si>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</si>
  <si>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</si>
  <si>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</si>
  <si>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</si>
  <si>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</si>
  <si>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</si>
  <si>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</si>
  <si>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</si>
  <si>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</si>
  <si>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</si>
  <si>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</si>
  <si>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</si>
  <si>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</si>
  <si>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</si>
  <si>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</si>
  <si>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</si>
  <si>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</si>
  <si>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</si>
  <si>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</si>
  <si>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</si>
  <si>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</si>
  <si>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</si>
  <si>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</si>
  <si>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</si>
  <si>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</si>
  <si>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</si>
  <si>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</si>
  <si>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</si>
  <si>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</si>
  <si>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</si>
  <si>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</si>
  <si>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</si>
  <si>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</si>
  <si>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</si>
  <si>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</si>
  <si>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</si>
  <si>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</si>
  <si>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</si>
  <si>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</si>
  <si>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</si>
  <si>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</si>
  <si>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</si>
  <si>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</si>
  <si>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</si>
  <si>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</si>
  <si>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</si>
  <si>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</si>
  <si>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</si>
  <si>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</si>
  <si>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</si>
  <si>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</si>
  <si>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</si>
  <si>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</si>
  <si>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</si>
  <si>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</si>
  <si>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</si>
  <si>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</si>
  <si>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</si>
  <si>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</si>
  <si>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</si>
  <si>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</si>
  <si>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</si>
  <si>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</si>
  <si>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</si>
  <si>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</si>
  <si>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</si>
  <si>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</si>
  <si>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</si>
  <si>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</si>
  <si>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</si>
  <si>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</si>
  <si>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</si>
  <si>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</si>
  <si>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</si>
  <si>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</si>
  <si>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</si>
  <si>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</si>
  <si>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</si>
  <si>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</si>
  <si>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</si>
  <si>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</si>
  <si>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</si>
  <si>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</si>
  <si>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</si>
  <si>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</si>
  <si>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</si>
  <si>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</si>
  <si>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</si>
  <si>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</si>
  <si>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</si>
  <si>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</si>
  <si>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</si>
  <si>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</si>
  <si>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</si>
  <si>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</si>
  <si>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</si>
  <si>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</si>
  <si>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</si>
  <si>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</si>
  <si>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</si>
  <si>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</si>
  <si>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</si>
  <si>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</si>
  <si>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</si>
  <si>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</si>
  <si>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</si>
  <si>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</si>
  <si>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</si>
  <si>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</si>
  <si>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</si>
  <si>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</si>
  <si>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</si>
  <si>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</si>
  <si>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</si>
  <si>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</si>
  <si>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</si>
  <si>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</si>
  <si>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</si>
  <si>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</si>
  <si>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</si>
  <si>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</si>
  <si>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</si>
  <si>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</si>
  <si>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</si>
  <si>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</si>
  <si>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</si>
  <si>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</si>
  <si>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</si>
  <si>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</si>
  <si>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</si>
  <si>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</si>
  <si>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</si>
  <si>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</si>
  <si>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</si>
  <si>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</si>
  <si>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</si>
  <si>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</si>
  <si>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</si>
  <si>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</si>
  <si>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</si>
  <si>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</si>
  <si>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</si>
  <si>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</si>
  <si>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</si>
  <si>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</si>
  <si>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</si>
  <si>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</si>
  <si>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</si>
  <si>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</si>
  <si>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</si>
  <si>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</si>
  <si>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</si>
  <si>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</si>
  <si>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</si>
  <si>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</si>
  <si>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</si>
  <si>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</si>
  <si>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</si>
  <si>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</si>
  <si>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</si>
  <si>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</si>
  <si>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</si>
  <si>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</si>
  <si>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</si>
  <si>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</si>
  <si>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</si>
  <si>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</si>
  <si>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</si>
  <si>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</si>
  <si>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</si>
  <si>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</si>
  <si>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</si>
  <si>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</si>
  <si>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</si>
  <si>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</si>
  <si>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</si>
  <si>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</si>
  <si>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</si>
  <si>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</si>
  <si>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</si>
  <si>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</si>
  <si>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</si>
  <si>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</si>
  <si>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</si>
  <si>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</si>
  <si>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</si>
  <si>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</si>
  <si>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</si>
  <si>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</si>
  <si>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</si>
  <si>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</si>
  <si>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</si>
  <si>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</si>
  <si>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</si>
  <si>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</si>
  <si>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</si>
  <si>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</si>
  <si>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</si>
  <si>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</si>
  <si>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</si>
  <si>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</si>
  <si>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</si>
  <si>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</si>
  <si>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</si>
  <si>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</si>
  <si>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</si>
  <si>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</si>
  <si>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</si>
  <si>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</si>
  <si>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</si>
  <si>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</si>
  <si>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</si>
  <si>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</si>
  <si>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</si>
  <si>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</si>
  <si>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</si>
  <si>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</si>
  <si>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</si>
  <si>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</si>
  <si>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</si>
  <si>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</si>
  <si>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</si>
  <si>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</si>
  <si>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</si>
  <si>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</si>
  <si>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</si>
  <si>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</si>
  <si>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</si>
  <si>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</si>
  <si>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</si>
  <si>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</si>
  <si>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</si>
  <si>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</si>
  <si>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</si>
  <si>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</si>
  <si>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</si>
  <si>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</si>
  <si>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</si>
  <si>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</si>
  <si>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</si>
  <si>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</si>
  <si>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</si>
  <si>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</si>
  <si>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</si>
  <si>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</si>
  <si>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</si>
  <si>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</si>
  <si>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</si>
  <si>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</si>
  <si>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</si>
  <si>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</si>
  <si>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</si>
  <si>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</si>
  <si>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</si>
  <si>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</si>
  <si>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</si>
  <si>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</si>
  <si>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</si>
  <si>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</si>
  <si>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</si>
  <si>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</si>
  <si>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</si>
  <si>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</si>
  <si>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</si>
  <si>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</si>
  <si>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</si>
  <si>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</si>
  <si>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</si>
  <si>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</si>
  <si>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</si>
  <si>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</si>
  <si>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</si>
  <si>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</si>
  <si>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</si>
  <si>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</si>
  <si>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</si>
  <si>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</si>
  <si>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</si>
  <si>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</si>
  <si>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</si>
  <si>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</si>
  <si>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</si>
  <si>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</si>
  <si>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</si>
  <si>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</si>
  <si>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</si>
  <si>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</si>
  <si>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</si>
  <si>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</si>
  <si>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</si>
  <si>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</si>
  <si>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</si>
  <si>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</si>
  <si>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</si>
  <si>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</si>
  <si>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</si>
  <si>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</si>
  <si>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</si>
  <si>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</si>
  <si>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</si>
  <si>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</si>
  <si>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</si>
  <si>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</si>
  <si>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</si>
  <si>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</si>
  <si>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</si>
  <si>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</si>
  <si>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</si>
  <si>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</si>
  <si>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</si>
  <si>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</si>
  <si>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</si>
  <si>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</si>
  <si>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</si>
  <si>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</si>
  <si>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</si>
  <si>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</si>
  <si>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</si>
  <si>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</si>
  <si>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</si>
  <si>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</si>
  <si>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</si>
  <si>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</si>
  <si>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</si>
  <si>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</si>
  <si>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</si>
  <si>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</si>
  <si>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</si>
  <si>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</si>
  <si>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</si>
  <si>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</si>
  <si>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"ბანკი ქართუ"</t>
  </si>
  <si>
    <t>ნ. ხაინდრავა</t>
  </si>
  <si>
    <t>ზ.გელენიძე</t>
  </si>
  <si>
    <t>www.cartubank.ge</t>
  </si>
  <si>
    <t>ნატო ხაინდრავა</t>
  </si>
  <si>
    <t>არადამოუკიდებელი თავმჯდომარე</t>
  </si>
  <si>
    <t>ლაშა მეგრელიძე</t>
  </si>
  <si>
    <t>დამოუკიდებელი წევრი</t>
  </si>
  <si>
    <t xml:space="preserve">ბესიკ დემეტრაშვილი                                                                                  </t>
  </si>
  <si>
    <t>არადამოუკიდებელი წევრი</t>
  </si>
  <si>
    <t>ზაზა ვერძეული</t>
  </si>
  <si>
    <t xml:space="preserve">ირინა ქინქლაძე </t>
  </si>
  <si>
    <t>ზურაბ გელენიძე</t>
  </si>
  <si>
    <t>გენერალური დირექტორი</t>
  </si>
  <si>
    <t>გივი ლებანიძე</t>
  </si>
  <si>
    <t>გენერალური დირექტორის მოადგილე - ფინანსური დირექტორი</t>
  </si>
  <si>
    <t>ბექა კვარაცხელია</t>
  </si>
  <si>
    <t>გენერალური დირექტორის მოადგილე - რისკების დირექტორი</t>
  </si>
  <si>
    <t>ზურაბ გოგუა</t>
  </si>
  <si>
    <t>გენერალური დირექტორის მოადგილე - კომერციული დირექტორი</t>
  </si>
  <si>
    <t>გიორგი კორსანტია</t>
  </si>
  <si>
    <t>გენერალური დირექტორის მოადგილე - ინფორმაციული ტექნოლოგიების დირექტორი</t>
  </si>
  <si>
    <t>ვახტანგ მაჭავარიანი</t>
  </si>
  <si>
    <t>გენერალური დირექტორის მოადგილე - ოპერაციების დირექტორი</t>
  </si>
  <si>
    <t xml:space="preserve">ა(ა)იპ საერთაშორისო საქველმოქმედო ფონდი "ქართუ"                                                     </t>
  </si>
  <si>
    <t xml:space="preserve">უტა ივანიშვილი </t>
  </si>
  <si>
    <t>ცხრილი 9 (Capital), N28 &amp; N38</t>
  </si>
  <si>
    <t xml:space="preserve"> ცხრილი 9 (Capital), N2</t>
  </si>
  <si>
    <t>ცხრილი 9 (Capital), N27</t>
  </si>
  <si>
    <t xml:space="preserve"> ცხრილი 9 (Capital), N5 &amp;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</si>
</sst>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9"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41"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8" applyNumberFormat="0" applyAlignment="0" applyProtection="0">
      <alignment horizontal="left" vertical="center"/>
    </xf>
    <xf numFmtId="0" fontId="54" fillId="0" borderId="28" applyNumberFormat="0" applyAlignment="0" applyProtection="0">
      <alignment horizontal="left" vertical="center"/>
    </xf>
    <xf numFmtId="168" fontId="54" fillId="0" borderId="28"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7" fillId="0" borderId="42" applyNumberFormat="0" applyFill="0" applyAlignment="0" applyProtection="0"/>
    <xf numFmtId="169"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9"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0" fontId="66" fillId="42" borderId="37"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3"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0" fontId="69" fillId="0" borderId="43"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0" fontId="69"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4"/>
    <xf numFmtId="169" fontId="26" fillId="0" borderId="44"/>
    <xf numFmtId="168" fontId="26"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9"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9"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9"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25" fillId="0" borderId="48"/>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9"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83"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9"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3" fontId="2" fillId="71" borderId="97" applyFont="0">
      <alignment horizontal="right" vertical="center"/>
      <protection locked="0"/>
    </xf>
    <xf numFmtId="0" fontId="66"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9"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2" fillId="69" borderId="98" applyFont="0" applyBorder="0">
      <alignment horizontal="center" wrapText="1"/>
    </xf>
    <xf numFmtId="168" fontId="54" fillId="0" borderId="95">
      <alignment horizontal="left" vertical="center"/>
    </xf>
    <xf numFmtId="0" fontId="54" fillId="0" borderId="95">
      <alignment horizontal="left" vertical="center"/>
    </xf>
    <xf numFmtId="0" fontId="54" fillId="0" borderId="95">
      <alignment horizontal="left" vertical="center"/>
    </xf>
    <xf numFmtId="0" fontId="2" fillId="68" borderId="97" applyNumberFormat="0" applyFont="0" applyBorder="0" applyProtection="0">
      <alignment horizontal="center" vertical="center"/>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8"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9"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07">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5" xfId="0" applyFont="1" applyBorder="1"/>
    <xf numFmtId="0" fontId="12" fillId="0" borderId="0" xfId="0" applyFont="1"/>
    <xf numFmtId="0" fontId="9" fillId="0" borderId="0" xfId="0" applyFont="1" applyAlignment="1">
      <alignment horizontal="right" wrapText="1"/>
    </xf>
    <xf numFmtId="0" fontId="9" fillId="0" borderId="18" xfId="0" applyFont="1" applyBorder="1" applyAlignment="1">
      <alignment vertical="center"/>
    </xf>
    <xf numFmtId="0" fontId="9" fillId="0" borderId="21"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0"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0" xfId="0" applyFont="1" applyBorder="1"/>
    <xf numFmtId="0" fontId="13" fillId="0" borderId="24"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8"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8"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7" fillId="3" borderId="21" xfId="9" applyFont="1" applyFill="1" applyBorder="1" applyAlignment="1" applyProtection="1">
      <alignment horizontal="left" vertical="center"/>
      <protection locked="0"/>
    </xf>
    <xf numFmtId="0" fontId="15" fillId="3" borderId="23" xfId="16" applyFont="1" applyFill="1" applyBorder="1" applyProtection="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7" fillId="0" borderId="0" xfId="11" applyFont="1" applyAlignment="1">
      <alignment vertical="center"/>
    </xf>
    <xf numFmtId="0" fontId="4" fillId="0" borderId="18" xfId="0" applyFont="1" applyBorder="1" applyAlignment="1">
      <alignment vertical="center"/>
    </xf>
    <xf numFmtId="0" fontId="9" fillId="2" borderId="21" xfId="0" applyFont="1" applyFill="1" applyBorder="1" applyAlignment="1">
      <alignment horizontal="right" vertical="center"/>
    </xf>
    <xf numFmtId="0" fontId="4" fillId="0" borderId="53" xfId="0" applyFont="1" applyBorder="1"/>
    <xf numFmtId="0" fontId="20" fillId="0" borderId="21" xfId="0" applyFont="1" applyBorder="1" applyAlignment="1">
      <alignment horizontal="center" vertical="center" wrapText="1"/>
    </xf>
    <xf numFmtId="0" fontId="4" fillId="0" borderId="54" xfId="0" applyFont="1" applyBorder="1"/>
    <xf numFmtId="0" fontId="7" fillId="0" borderId="15"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0" fontId="7" fillId="0" borderId="18"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8" xfId="9" applyFont="1" applyBorder="1" applyAlignment="1" applyProtection="1">
      <alignment horizontal="center" vertical="center" wrapText="1"/>
      <protection locked="0"/>
    </xf>
    <xf numFmtId="0" fontId="15" fillId="35" borderId="22" xfId="13" applyFont="1" applyFill="1" applyBorder="1" applyAlignment="1" applyProtection="1">
      <alignment vertical="center" wrapText="1"/>
      <protection locked="0"/>
    </xf>
    <xf numFmtId="167" fontId="23" fillId="0" borderId="59" xfId="0" applyNumberFormat="1" applyFont="1" applyBorder="1" applyAlignment="1">
      <alignment horizontal="center"/>
    </xf>
    <xf numFmtId="167" fontId="23" fillId="0" borderId="57" xfId="0" applyNumberFormat="1" applyFont="1" applyBorder="1" applyAlignment="1">
      <alignment horizontal="center"/>
    </xf>
    <xf numFmtId="167" fontId="19" fillId="0" borderId="57" xfId="0" applyNumberFormat="1" applyFont="1" applyBorder="1" applyAlignment="1">
      <alignment horizontal="center"/>
    </xf>
    <xf numFmtId="167" fontId="23" fillId="0" borderId="60" xfId="0" applyNumberFormat="1" applyFont="1" applyBorder="1" applyAlignment="1">
      <alignment horizontal="center"/>
    </xf>
    <xf numFmtId="167" fontId="23" fillId="0" borderId="61"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2" xfId="0" applyFont="1" applyBorder="1"/>
    <xf numFmtId="0" fontId="4" fillId="0" borderId="16" xfId="0" applyFont="1" applyBorder="1"/>
    <xf numFmtId="0" fontId="4" fillId="0" borderId="21" xfId="0" applyFont="1" applyBorder="1"/>
    <xf numFmtId="0" fontId="7" fillId="3" borderId="18" xfId="5" applyFont="1" applyFill="1" applyBorder="1" applyAlignment="1" applyProtection="1">
      <alignment horizontal="right" vertical="center"/>
      <protection locked="0"/>
    </xf>
    <xf numFmtId="0" fontId="15"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6" fillId="0" borderId="22"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02" fillId="0" borderId="3" xfId="0" applyFont="1" applyBorder="1"/>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6"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5" xfId="0" applyBorder="1" applyAlignment="1">
      <alignment horizontal="center" vertical="center"/>
    </xf>
    <xf numFmtId="0" fontId="6" fillId="35" borderId="26"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7" xfId="0" applyFont="1" applyFill="1" applyBorder="1" applyAlignment="1">
      <alignment wrapText="1"/>
    </xf>
    <xf numFmtId="0" fontId="15"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8"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1"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5" xfId="0" applyNumberFormat="1" applyFont="1" applyBorder="1" applyAlignment="1">
      <alignment horizontal="right" vertical="center"/>
    </xf>
    <xf numFmtId="49" fontId="106" fillId="0" borderId="78" xfId="0" applyNumberFormat="1" applyFont="1" applyBorder="1" applyAlignment="1">
      <alignment horizontal="right" vertical="center"/>
    </xf>
    <xf numFmtId="49" fontId="106" fillId="0" borderId="83" xfId="0" applyNumberFormat="1" applyFont="1" applyBorder="1" applyAlignment="1">
      <alignment horizontal="right" vertical="center"/>
    </xf>
    <xf numFmtId="0" fontId="106" fillId="0" borderId="0" xfId="0" applyFont="1" applyAlignment="1">
      <alignment horizontal="left"/>
    </xf>
    <xf numFmtId="0" fontId="106" fillId="0" borderId="83"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2" xfId="0" applyNumberFormat="1" applyFont="1" applyFill="1" applyBorder="1" applyAlignment="1" applyProtection="1">
      <alignment vertical="center"/>
      <protection locked="0"/>
    </xf>
    <xf numFmtId="193" fontId="0" fillId="35" borderId="17" xfId="0" applyNumberFormat="1" applyFill="1" applyBorder="1" applyAlignment="1">
      <alignment horizontal="center" vertical="center"/>
    </xf>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0" fontId="4" fillId="0" borderId="25" xfId="0" applyFont="1" applyBorder="1" applyAlignment="1">
      <alignment horizontal="center" vertical="center"/>
    </xf>
    <xf numFmtId="0" fontId="4" fillId="0" borderId="25" xfId="0"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19" xfId="20961" applyFont="1" applyBorder="1"/>
    <xf numFmtId="9" fontId="4" fillId="35" borderId="23" xfId="20961" applyFont="1" applyFill="1" applyBorder="1"/>
    <xf numFmtId="167" fontId="4" fillId="0" borderId="19" xfId="0" applyNumberFormat="1" applyFont="1" applyBorder="1"/>
    <xf numFmtId="0" fontId="9" fillId="0" borderId="15" xfId="0" applyFont="1" applyBorder="1" applyAlignment="1">
      <alignment horizontal="right" vertical="center" wrapText="1"/>
    </xf>
    <xf numFmtId="0" fontId="7" fillId="0" borderId="16" xfId="0" applyFont="1" applyBorder="1" applyAlignment="1">
      <alignment vertical="center" wrapText="1"/>
    </xf>
    <xf numFmtId="169" fontId="26" fillId="36" borderId="0" xfId="20"/>
    <xf numFmtId="169" fontId="26" fillId="36" borderId="91" xfId="20" applyBorder="1"/>
    <xf numFmtId="0" fontId="4" fillId="0" borderId="7" xfId="0" applyFont="1" applyBorder="1" applyAlignment="1">
      <alignment vertical="center"/>
    </xf>
    <xf numFmtId="0" fontId="4" fillId="0" borderId="97" xfId="0" applyFont="1" applyBorder="1" applyAlignment="1">
      <alignment vertical="center"/>
    </xf>
    <xf numFmtId="0" fontId="6" fillId="0" borderId="97" xfId="0" applyFont="1" applyBorder="1" applyAlignment="1">
      <alignment vertical="center"/>
    </xf>
    <xf numFmtId="0" fontId="4" fillId="0" borderId="16" xfId="0" applyFont="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15" xfId="0" applyFont="1" applyBorder="1" applyAlignment="1">
      <alignment horizontal="center" vertical="center"/>
    </xf>
    <xf numFmtId="0" fontId="4" fillId="0" borderId="105" xfId="0" applyFont="1" applyBorder="1" applyAlignment="1">
      <alignment horizontal="center" vertical="center"/>
    </xf>
    <xf numFmtId="0" fontId="4" fillId="0" borderId="107" xfId="0" applyFont="1" applyBorder="1" applyAlignment="1">
      <alignment horizontal="center" vertical="center"/>
    </xf>
    <xf numFmtId="169" fontId="26" fillId="36" borderId="28" xfId="20" applyBorder="1"/>
    <xf numFmtId="169" fontId="26" fillId="36" borderId="109" xfId="20" applyBorder="1"/>
    <xf numFmtId="169" fontId="26" fillId="36" borderId="99" xfId="20" applyBorder="1"/>
    <xf numFmtId="169" fontId="26" fillId="36" borderId="54" xfId="20" applyBorder="1"/>
    <xf numFmtId="0" fontId="4" fillId="3" borderId="62" xfId="0" applyFont="1" applyFill="1" applyBorder="1" applyAlignment="1">
      <alignment horizontal="center" vertical="center"/>
    </xf>
    <xf numFmtId="0" fontId="4" fillId="3" borderId="0" xfId="0" applyFont="1" applyFill="1" applyAlignment="1">
      <alignment vertical="center"/>
    </xf>
    <xf numFmtId="0" fontId="4" fillId="0" borderId="68" xfId="0" applyFont="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7" xfId="0" applyFont="1" applyBorder="1" applyAlignment="1">
      <alignment horizontal="center" vertical="center" wrapText="1"/>
    </xf>
    <xf numFmtId="0" fontId="106" fillId="0" borderId="85"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0" xfId="0" applyFont="1" applyFill="1" applyBorder="1" applyAlignment="1">
      <alignment vertical="center"/>
    </xf>
    <xf numFmtId="0" fontId="4" fillId="0" borderId="114" xfId="0" applyFont="1" applyBorder="1" applyAlignment="1">
      <alignment horizontal="center" vertical="center"/>
    </xf>
    <xf numFmtId="0" fontId="6" fillId="0" borderId="22" xfId="0" applyFont="1" applyBorder="1" applyAlignment="1">
      <alignment vertical="center"/>
    </xf>
    <xf numFmtId="169" fontId="26" fillId="36" borderId="24" xfId="20" applyBorder="1"/>
    <xf numFmtId="0" fontId="4" fillId="0" borderId="7" xfId="0" applyFont="1" applyBorder="1" applyAlignment="1">
      <alignment horizontal="center" vertical="center" wrapText="1"/>
    </xf>
    <xf numFmtId="0" fontId="4" fillId="0" borderId="63" xfId="0" applyFont="1" applyBorder="1" applyAlignment="1">
      <alignment horizontal="center" vertical="center" wrapText="1"/>
    </xf>
    <xf numFmtId="0" fontId="7" fillId="0" borderId="15" xfId="11" applyFont="1" applyBorder="1" applyAlignment="1">
      <alignment vertical="center"/>
    </xf>
    <xf numFmtId="0" fontId="7" fillId="0" borderId="16" xfId="11" applyFont="1" applyBorder="1" applyAlignment="1">
      <alignment vertical="center"/>
    </xf>
    <xf numFmtId="0" fontId="15" fillId="0" borderId="17" xfId="11" applyFont="1" applyBorder="1" applyAlignment="1">
      <alignment horizontal="center" vertical="center"/>
    </xf>
    <xf numFmtId="0" fontId="0" fillId="0" borderId="114" xfId="0" applyBorder="1"/>
    <xf numFmtId="0" fontId="0" fillId="0" borderId="21"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6" xfId="0" applyFont="1" applyFill="1" applyBorder="1" applyAlignment="1">
      <alignment horizontal="center" vertical="center" wrapText="1"/>
    </xf>
    <xf numFmtId="0" fontId="6" fillId="35" borderId="17"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7"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7"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1" xfId="5" applyNumberFormat="1" applyFont="1" applyBorder="1" applyAlignment="1" applyProtection="1">
      <alignment horizontal="left" vertical="center"/>
      <protection locked="0"/>
    </xf>
    <xf numFmtId="0" fontId="111" fillId="0" borderId="22"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14" fontId="7" fillId="3" borderId="97" xfId="8" quotePrefix="1" applyNumberFormat="1" applyFont="1" applyFill="1" applyBorder="1" applyAlignment="1" applyProtection="1">
      <alignment horizontal="left" vertical="center" wrapText="1" indent="2"/>
      <protection locked="0"/>
    </xf>
    <xf numFmtId="14" fontId="7" fillId="3" borderId="97" xfId="8" quotePrefix="1" applyNumberFormat="1" applyFont="1" applyFill="1" applyBorder="1" applyAlignment="1" applyProtection="1">
      <alignment horizontal="left" vertical="center" wrapText="1" indent="3"/>
      <protection locked="0"/>
    </xf>
    <xf numFmtId="0" fontId="11" fillId="0" borderId="97" xfId="17" applyFill="1" applyBorder="1" applyAlignment="1" applyProtection="1"/>
    <xf numFmtId="49" fontId="109" fillId="0" borderId="114" xfId="0" applyNumberFormat="1" applyFont="1" applyBorder="1" applyAlignment="1">
      <alignment horizontal="right" vertical="center" wrapText="1"/>
    </xf>
    <xf numFmtId="0" fontId="7" fillId="3" borderId="97" xfId="20960" applyFont="1" applyFill="1" applyBorder="1"/>
    <xf numFmtId="0" fontId="103" fillId="0" borderId="97" xfId="20960" applyFont="1" applyBorder="1" applyAlignment="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9" fillId="0" borderId="97" xfId="0" applyNumberFormat="1" applyFont="1" applyBorder="1" applyAlignment="1">
      <alignment horizontal="right" vertical="center" wrapText="1"/>
    </xf>
    <xf numFmtId="0" fontId="11" fillId="0" borderId="97" xfId="17" applyFill="1" applyBorder="1" applyAlignment="1" applyProtection="1">
      <alignment horizontal="left" vertical="center"/>
    </xf>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9" fillId="0" borderId="97" xfId="20961" applyNumberFormat="1" applyFont="1" applyFill="1" applyBorder="1" applyAlignment="1">
      <alignment horizontal="left" vertical="center" wrapText="1"/>
    </xf>
    <xf numFmtId="10" fontId="6" fillId="35"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11" fillId="0" borderId="22"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5"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7" xfId="0" applyFont="1" applyBorder="1" applyAlignment="1">
      <alignment vertical="center" wrapText="1"/>
    </xf>
    <xf numFmtId="0" fontId="4" fillId="0" borderId="97" xfId="0" applyFont="1" applyBorder="1" applyAlignment="1">
      <alignment vertical="center" wrapText="1"/>
    </xf>
    <xf numFmtId="0" fontId="4" fillId="0" borderId="97" xfId="0" applyFont="1" applyBorder="1" applyAlignment="1">
      <alignment horizontal="left" vertical="center" wrapText="1" indent="2"/>
    </xf>
    <xf numFmtId="0" fontId="6" fillId="0" borderId="22" xfId="0" applyFont="1" applyBorder="1" applyAlignment="1">
      <alignment vertical="center" wrapText="1"/>
    </xf>
    <xf numFmtId="0" fontId="4" fillId="0" borderId="112" xfId="0" applyFont="1" applyBorder="1"/>
    <xf numFmtId="0" fontId="4" fillId="0" borderId="23" xfId="0" applyFont="1" applyBorder="1"/>
    <xf numFmtId="0" fontId="9" fillId="0" borderId="112" xfId="0" applyFont="1" applyBorder="1"/>
    <xf numFmtId="0" fontId="9" fillId="0" borderId="112" xfId="0" applyFont="1" applyBorder="1" applyAlignment="1">
      <alignment wrapText="1"/>
    </xf>
    <xf numFmtId="0" fontId="10" fillId="0" borderId="17" xfId="0" applyFont="1" applyBorder="1" applyAlignment="1">
      <alignment horizontal="center"/>
    </xf>
    <xf numFmtId="0" fontId="10" fillId="0" borderId="112"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7" xfId="0" applyFont="1" applyBorder="1" applyAlignment="1">
      <alignment horizontal="center" vertical="center" wrapText="1"/>
    </xf>
    <xf numFmtId="0" fontId="16" fillId="0" borderId="97" xfId="0" applyFont="1" applyBorder="1" applyAlignment="1">
      <alignment horizontal="left" vertical="center" wrapText="1"/>
    </xf>
    <xf numFmtId="193" fontId="7" fillId="0" borderId="97" xfId="0" applyNumberFormat="1" applyFont="1" applyBorder="1" applyAlignment="1" applyProtection="1">
      <alignment vertical="center" wrapText="1"/>
      <protection locked="0"/>
    </xf>
    <xf numFmtId="193" fontId="4" fillId="0" borderId="97" xfId="0" applyNumberFormat="1" applyFont="1" applyBorder="1" applyAlignment="1" applyProtection="1">
      <alignment vertical="center" wrapText="1"/>
      <protection locked="0"/>
    </xf>
    <xf numFmtId="193" fontId="4" fillId="0" borderId="112" xfId="0" applyNumberFormat="1" applyFont="1" applyBorder="1" applyAlignment="1" applyProtection="1">
      <alignment vertical="center" wrapText="1"/>
      <protection locked="0"/>
    </xf>
    <xf numFmtId="193" fontId="7" fillId="0" borderId="97" xfId="0" applyNumberFormat="1" applyFont="1" applyBorder="1" applyAlignment="1" applyProtection="1">
      <alignment horizontal="right" vertical="center" wrapText="1"/>
      <protection locked="0"/>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193" fontId="17" fillId="2" borderId="97" xfId="0" applyNumberFormat="1" applyFont="1" applyFill="1" applyBorder="1" applyAlignment="1" applyProtection="1">
      <alignment vertical="center"/>
      <protection locked="0"/>
    </xf>
    <xf numFmtId="193" fontId="17" fillId="2" borderId="112" xfId="0" applyNumberFormat="1" applyFont="1" applyFill="1" applyBorder="1" applyAlignment="1" applyProtection="1">
      <alignment vertical="center"/>
      <protection locked="0"/>
    </xf>
    <xf numFmtId="193" fontId="9" fillId="2" borderId="112"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10" fontId="4" fillId="0" borderId="97" xfId="20961" applyNumberFormat="1" applyFont="1" applyFill="1" applyBorder="1" applyAlignment="1" applyProtection="1">
      <alignment horizontal="right" vertical="center" wrapText="1"/>
      <protection locked="0"/>
    </xf>
    <xf numFmtId="10" fontId="4" fillId="0" borderId="97" xfId="20961" applyNumberFormat="1" applyFont="1" applyBorder="1" applyAlignment="1" applyProtection="1">
      <alignment vertical="center" wrapText="1"/>
      <protection locked="0"/>
    </xf>
    <xf numFmtId="10" fontId="4" fillId="0" borderId="112" xfId="20961" applyNumberFormat="1" applyFont="1" applyBorder="1" applyAlignment="1" applyProtection="1">
      <alignment vertical="center" wrapText="1"/>
      <protection locked="0"/>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Border="1" applyAlignment="1">
      <alignment horizontal="center"/>
    </xf>
    <xf numFmtId="0" fontId="4" fillId="3" borderId="62"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1"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4" fillId="0" borderId="97" xfId="0" applyFont="1" applyBorder="1" applyAlignment="1">
      <alignment horizontal="left" wrapText="1" indent="2"/>
    </xf>
    <xf numFmtId="169" fontId="26" fillId="36" borderId="97" xfId="20" applyBorder="1"/>
    <xf numFmtId="164"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164" fontId="6" fillId="0" borderId="112" xfId="7" applyNumberFormat="1" applyFont="1" applyBorder="1"/>
    <xf numFmtId="0" fontId="3" fillId="3" borderId="62"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1"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4" fillId="0" borderId="9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1" xfId="0" applyFont="1" applyFill="1" applyBorder="1"/>
    <xf numFmtId="0" fontId="6" fillId="0" borderId="21" xfId="0" applyFont="1" applyBorder="1"/>
    <xf numFmtId="0" fontId="6" fillId="0" borderId="22" xfId="0" applyFont="1" applyBorder="1" applyAlignment="1">
      <alignment wrapText="1"/>
    </xf>
    <xf numFmtId="169" fontId="26" fillId="36" borderId="115" xfId="20" applyBorder="1"/>
    <xf numFmtId="10" fontId="6" fillId="0" borderId="23" xfId="20961" applyNumberFormat="1" applyFont="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9" fillId="2" borderId="93" xfId="0" applyNumberFormat="1" applyFont="1" applyFill="1" applyBorder="1" applyAlignment="1" applyProtection="1">
      <alignment vertical="center"/>
      <protection locked="0"/>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Border="1" applyAlignment="1">
      <alignment horizontal="left" vertical="center" wrapText="1"/>
    </xf>
    <xf numFmtId="0" fontId="6" fillId="3" borderId="0" xfId="0" applyFont="1" applyFill="1" applyAlignment="1">
      <alignment horizontal="center"/>
    </xf>
    <xf numFmtId="0" fontId="106" fillId="0" borderId="85" xfId="0" applyFont="1" applyBorder="1" applyAlignment="1">
      <alignment horizontal="left" vertical="center"/>
    </xf>
    <xf numFmtId="0" fontId="106" fillId="0" borderId="83" xfId="0" applyFont="1" applyBorder="1" applyAlignment="1">
      <alignment vertical="center" wrapText="1"/>
    </xf>
    <xf numFmtId="0" fontId="106" fillId="0" borderId="83"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49" fontId="106" fillId="0" borderId="97"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0" fontId="3" fillId="0" borderId="97" xfId="0" applyFont="1" applyBorder="1" applyAlignment="1">
      <alignment horizontal="center" vertical="center"/>
    </xf>
    <xf numFmtId="0" fontId="130" fillId="3" borderId="97" xfId="21414" applyFont="1" applyFill="1" applyBorder="1" applyAlignment="1">
      <alignment horizontal="left" vertical="center" wrapText="1"/>
    </xf>
    <xf numFmtId="0" fontId="131" fillId="0" borderId="97" xfId="21414" applyFont="1" applyBorder="1" applyAlignment="1">
      <alignment horizontal="left" vertical="center" wrapText="1" indent="1"/>
    </xf>
    <xf numFmtId="0" fontId="132" fillId="3" borderId="97" xfId="21414" applyFont="1" applyFill="1" applyBorder="1" applyAlignment="1">
      <alignment horizontal="left" vertical="center" wrapText="1"/>
    </xf>
    <xf numFmtId="0" fontId="131" fillId="3" borderId="97"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7" xfId="21414" applyFont="1" applyBorder="1" applyAlignment="1">
      <alignment horizontal="left" vertical="center" wrapText="1" indent="1"/>
    </xf>
    <xf numFmtId="0" fontId="132" fillId="0" borderId="97" xfId="21414" applyFont="1" applyBorder="1" applyAlignment="1">
      <alignment horizontal="left" vertical="center" wrapText="1"/>
    </xf>
    <xf numFmtId="0" fontId="134" fillId="0" borderId="97" xfId="21414" applyFont="1" applyBorder="1" applyAlignment="1">
      <alignment horizontal="center" vertical="center" wrapText="1"/>
    </xf>
    <xf numFmtId="0" fontId="132" fillId="3" borderId="137" xfId="0" applyFont="1" applyFill="1" applyBorder="1" applyAlignment="1">
      <alignment horizontal="left" vertical="center" wrapText="1"/>
    </xf>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0" fillId="0" borderId="138" xfId="0" applyBorder="1" applyAlignment="1">
      <alignment horizontal="center"/>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49" fontId="106" fillId="0" borderId="138" xfId="0" applyNumberFormat="1" applyFont="1" applyBorder="1" applyAlignment="1">
      <alignment horizontal="right" vertical="center"/>
    </xf>
    <xf numFmtId="0" fontId="0" fillId="0" borderId="138" xfId="0" applyBorder="1" applyAlignment="1">
      <alignment horizontal="center"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167" fontId="23" fillId="0" borderId="138" xfId="0" applyNumberFormat="1" applyFont="1" applyBorder="1" applyAlignment="1">
      <alignment horizontal="center"/>
    </xf>
    <xf numFmtId="0" fontId="23" fillId="0" borderId="138" xfId="0" applyFont="1" applyBorder="1"/>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67" fontId="22" fillId="0" borderId="55" xfId="0" applyNumberFormat="1" applyFont="1" applyBorder="1" applyAlignment="1">
      <alignment horizontal="center"/>
    </xf>
    <xf numFmtId="167" fontId="18" fillId="0" borderId="57" xfId="0" applyNumberFormat="1" applyFont="1" applyBorder="1" applyAlignment="1">
      <alignment horizont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20" fillId="0" borderId="146" xfId="0" applyFont="1" applyBorder="1" applyAlignment="1">
      <alignment horizontal="center" vertical="center" wrapText="1"/>
    </xf>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2"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0" fontId="116" fillId="79" borderId="155" xfId="0" applyFont="1" applyFill="1" applyBorder="1"/>
    <xf numFmtId="0" fontId="116" fillId="79" borderId="146" xfId="0" applyFont="1" applyFill="1" applyBorder="1"/>
    <xf numFmtId="0" fontId="116" fillId="79" borderId="156" xfId="0" applyFont="1" applyFill="1" applyBorder="1"/>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3" xfId="0" applyFont="1" applyBorder="1"/>
    <xf numFmtId="0" fontId="116" fillId="0" borderId="68"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67" fontId="19" fillId="81" borderId="56"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6" xfId="0" applyFont="1" applyFill="1" applyBorder="1" applyAlignment="1">
      <alignment horizontal="center" vertical="center"/>
    </xf>
    <xf numFmtId="0" fontId="144" fillId="83" borderId="17" xfId="0" applyFont="1" applyFill="1" applyBorder="1" applyAlignment="1">
      <alignment horizontal="center" vertical="center"/>
    </xf>
    <xf numFmtId="194" fontId="144" fillId="82" borderId="155" xfId="7" applyNumberFormat="1" applyFont="1" applyFill="1" applyBorder="1" applyAlignment="1">
      <alignment horizontal="left" vertical="center"/>
    </xf>
    <xf numFmtId="194"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4" fontId="6" fillId="86" borderId="146" xfId="7" applyNumberFormat="1" applyFont="1" applyFill="1" applyBorder="1" applyAlignment="1">
      <alignment vertical="center"/>
    </xf>
    <xf numFmtId="194"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4"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4" fontId="153" fillId="83" borderId="146" xfId="7" applyNumberFormat="1" applyFont="1" applyFill="1" applyBorder="1" applyAlignment="1">
      <alignment vertical="center"/>
    </xf>
    <xf numFmtId="194" fontId="153" fillId="84" borderId="155" xfId="7" applyNumberFormat="1" applyFont="1" applyFill="1" applyBorder="1" applyAlignment="1">
      <alignment vertical="center"/>
    </xf>
    <xf numFmtId="194" fontId="154" fillId="82" borderId="146" xfId="7" applyNumberFormat="1" applyFont="1" applyFill="1" applyBorder="1" applyAlignment="1">
      <alignment vertical="center"/>
    </xf>
    <xf numFmtId="194"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4" fontId="154" fillId="82" borderId="153" xfId="7" applyNumberFormat="1" applyFont="1" applyFill="1" applyBorder="1" applyAlignment="1">
      <alignment vertical="center"/>
    </xf>
    <xf numFmtId="194"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7" xfId="0" applyNumberFormat="1" applyFont="1" applyBorder="1" applyAlignment="1">
      <alignment horizontal="right" vertical="center"/>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4"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4"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4"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4"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4"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5" fontId="139" fillId="80" borderId="146" xfId="5" applyNumberFormat="1" applyFont="1" applyFill="1" applyBorder="1" applyProtection="1">
      <protection locked="0"/>
    </xf>
    <xf numFmtId="164"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0" fontId="163" fillId="0" borderId="0" xfId="0" applyFont="1" applyAlignment="1">
      <alignment horizontal="left" vertical="center" wrapText="1"/>
    </xf>
    <xf numFmtId="0" fontId="11" fillId="0" borderId="3" xfId="17" applyBorder="1" applyAlignment="1" applyProtection="1"/>
    <xf numFmtId="14" fontId="4" fillId="0" borderId="0" xfId="0" applyNumberFormat="1" applyFont="1" applyAlignment="1">
      <alignment horizontal="left"/>
    </xf>
    <xf numFmtId="10" fontId="9" fillId="2" borderId="97" xfId="20961" applyNumberFormat="1" applyFont="1" applyFill="1" applyBorder="1" applyAlignment="1" applyProtection="1">
      <alignment vertical="center"/>
      <protection locked="0"/>
    </xf>
    <xf numFmtId="10" fontId="9" fillId="2" borderId="112" xfId="20961" applyNumberFormat="1" applyFont="1" applyFill="1" applyBorder="1" applyAlignment="1" applyProtection="1">
      <alignment vertical="center"/>
      <protection locked="0"/>
    </xf>
    <xf numFmtId="10" fontId="9" fillId="2" borderId="22" xfId="20961" applyNumberFormat="1" applyFont="1" applyFill="1" applyBorder="1" applyAlignment="1" applyProtection="1">
      <alignment vertical="center"/>
      <protection locked="0"/>
    </xf>
    <xf numFmtId="10" fontId="17" fillId="2" borderId="22"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43" fontId="0" fillId="0" borderId="0" xfId="7" applyFont="1"/>
    <xf numFmtId="164" fontId="7" fillId="0" borderId="0" xfId="7" applyNumberFormat="1" applyFont="1"/>
    <xf numFmtId="164" fontId="4" fillId="0" borderId="0" xfId="7" applyNumberFormat="1" applyFont="1"/>
    <xf numFmtId="164" fontId="0" fillId="0" borderId="0" xfId="7" applyNumberFormat="1" applyFont="1"/>
    <xf numFmtId="164" fontId="9" fillId="0" borderId="97" xfId="7" applyNumberFormat="1" applyFont="1" applyBorder="1" applyAlignment="1">
      <alignment horizontal="center" vertical="center" wrapText="1"/>
    </xf>
    <xf numFmtId="164" fontId="0" fillId="0" borderId="97" xfId="7" applyNumberFormat="1" applyFont="1" applyBorder="1"/>
    <xf numFmtId="164" fontId="0" fillId="35" borderId="97" xfId="7" applyNumberFormat="1" applyFont="1" applyFill="1" applyBorder="1"/>
    <xf numFmtId="164" fontId="0" fillId="0" borderId="97" xfId="7" applyNumberFormat="1" applyFont="1" applyBorder="1" applyAlignment="1">
      <alignment vertical="center"/>
    </xf>
    <xf numFmtId="164" fontId="0" fillId="35" borderId="97" xfId="7" applyNumberFormat="1" applyFont="1" applyFill="1" applyBorder="1" applyAlignment="1">
      <alignment vertical="center"/>
    </xf>
    <xf numFmtId="164" fontId="0" fillId="0" borderId="138" xfId="7" applyNumberFormat="1" applyFont="1" applyBorder="1"/>
    <xf numFmtId="164" fontId="0" fillId="35" borderId="138" xfId="7" applyNumberFormat="1" applyFont="1" applyFill="1" applyBorder="1"/>
    <xf numFmtId="164" fontId="0" fillId="0" borderId="0" xfId="0" applyNumberFormat="1"/>
    <xf numFmtId="164" fontId="9" fillId="0" borderId="138" xfId="7" applyNumberFormat="1" applyFont="1" applyBorder="1" applyAlignment="1">
      <alignment horizontal="center" vertical="center" wrapText="1"/>
    </xf>
    <xf numFmtId="164" fontId="0" fillId="0" borderId="146" xfId="7" applyNumberFormat="1" applyFont="1" applyBorder="1"/>
    <xf numFmtId="164" fontId="9" fillId="0" borderId="138" xfId="7" applyNumberFormat="1" applyFont="1" applyBorder="1" applyAlignment="1">
      <alignment horizontal="right"/>
    </xf>
    <xf numFmtId="164" fontId="9" fillId="0" borderId="112" xfId="7" applyNumberFormat="1" applyFont="1" applyBorder="1" applyAlignment="1">
      <alignment horizontal="center" vertical="center" wrapText="1"/>
    </xf>
    <xf numFmtId="164" fontId="9" fillId="35" borderId="138" xfId="7" applyNumberFormat="1" applyFont="1" applyFill="1" applyBorder="1" applyAlignment="1">
      <alignment horizontal="right"/>
    </xf>
    <xf numFmtId="164" fontId="9" fillId="35" borderId="112" xfId="7" applyNumberFormat="1" applyFont="1" applyFill="1" applyBorder="1" applyAlignment="1">
      <alignment horizontal="right"/>
    </xf>
    <xf numFmtId="164" fontId="9" fillId="0" borderId="146" xfId="7" applyNumberFormat="1" applyFont="1" applyBorder="1" applyAlignment="1">
      <alignment horizontal="right"/>
    </xf>
    <xf numFmtId="164" fontId="9" fillId="0" borderId="0" xfId="7" applyNumberFormat="1" applyFont="1" applyAlignment="1">
      <alignment horizontal="right"/>
    </xf>
    <xf numFmtId="164" fontId="12" fillId="0" borderId="0" xfId="7" applyNumberFormat="1" applyFont="1"/>
    <xf numFmtId="164" fontId="21" fillId="35" borderId="97" xfId="7" applyNumberFormat="1" applyFont="1" applyFill="1" applyBorder="1" applyAlignment="1">
      <alignment vertical="center" wrapText="1"/>
    </xf>
    <xf numFmtId="164" fontId="21" fillId="35" borderId="98" xfId="7" applyNumberFormat="1" applyFont="1" applyFill="1" applyBorder="1" applyAlignment="1">
      <alignment vertical="center" wrapText="1"/>
    </xf>
    <xf numFmtId="164" fontId="21" fillId="35" borderId="112" xfId="7" applyNumberFormat="1" applyFont="1" applyFill="1" applyBorder="1" applyAlignment="1">
      <alignment vertical="center" wrapText="1"/>
    </xf>
    <xf numFmtId="164" fontId="21" fillId="35" borderId="20" xfId="7" applyNumberFormat="1" applyFont="1" applyFill="1" applyBorder="1" applyAlignment="1">
      <alignment vertical="center" wrapText="1"/>
    </xf>
    <xf numFmtId="164" fontId="21" fillId="0" borderId="97" xfId="7" applyNumberFormat="1" applyFont="1" applyBorder="1" applyAlignment="1">
      <alignment vertical="center" wrapText="1"/>
    </xf>
    <xf numFmtId="164" fontId="21" fillId="0" borderId="98" xfId="7" applyNumberFormat="1" applyFont="1" applyBorder="1" applyAlignment="1">
      <alignment vertical="center" wrapText="1"/>
    </xf>
    <xf numFmtId="164" fontId="21" fillId="0" borderId="20" xfId="7" applyNumberFormat="1" applyFont="1" applyBorder="1" applyAlignment="1">
      <alignment vertical="center" wrapText="1"/>
    </xf>
    <xf numFmtId="164" fontId="21" fillId="35" borderId="22" xfId="7" applyNumberFormat="1" applyFont="1" applyFill="1" applyBorder="1" applyAlignment="1">
      <alignment vertical="center" wrapText="1"/>
    </xf>
    <xf numFmtId="164" fontId="21" fillId="35" borderId="24" xfId="7" applyNumberFormat="1" applyFont="1" applyFill="1" applyBorder="1" applyAlignment="1">
      <alignment vertical="center" wrapText="1"/>
    </xf>
    <xf numFmtId="164" fontId="21" fillId="35" borderId="23" xfId="7" applyNumberFormat="1" applyFont="1" applyFill="1" applyBorder="1" applyAlignment="1">
      <alignment vertical="center" wrapText="1"/>
    </xf>
    <xf numFmtId="164" fontId="21" fillId="35" borderId="36" xfId="7" applyNumberFormat="1" applyFont="1" applyFill="1" applyBorder="1" applyAlignment="1">
      <alignment vertical="center" wrapText="1"/>
    </xf>
    <xf numFmtId="9" fontId="4" fillId="0" borderId="20" xfId="20961" applyFont="1" applyBorder="1"/>
    <xf numFmtId="9" fontId="4" fillId="0" borderId="112" xfId="20961" applyFont="1" applyBorder="1"/>
    <xf numFmtId="43" fontId="0" fillId="0" borderId="0" xfId="0" applyNumberFormat="1"/>
    <xf numFmtId="14" fontId="117" fillId="0" borderId="0" xfId="0" applyNumberFormat="1" applyFont="1" applyAlignment="1">
      <alignment horizontal="left"/>
    </xf>
    <xf numFmtId="164" fontId="4" fillId="0" borderId="138" xfId="7" applyNumberFormat="1" applyFont="1" applyFill="1" applyBorder="1" applyAlignment="1">
      <alignment vertical="center" wrapText="1"/>
    </xf>
    <xf numFmtId="164" fontId="4" fillId="0" borderId="138" xfId="7" applyNumberFormat="1" applyFont="1" applyBorder="1" applyAlignment="1">
      <alignment vertical="center"/>
    </xf>
    <xf numFmtId="164" fontId="6" fillId="35" borderId="22" xfId="7" applyNumberFormat="1" applyFont="1" applyFill="1" applyBorder="1" applyAlignment="1">
      <alignment horizontal="center" vertical="center"/>
    </xf>
    <xf numFmtId="164" fontId="0" fillId="0" borderId="19" xfId="7" applyNumberFormat="1" applyFont="1" applyBorder="1"/>
    <xf numFmtId="164" fontId="9" fillId="0" borderId="0" xfId="7" applyNumberFormat="1" applyFont="1"/>
    <xf numFmtId="164" fontId="7" fillId="3" borderId="17" xfId="7" applyNumberFormat="1" applyFont="1" applyFill="1" applyBorder="1" applyAlignment="1" applyProtection="1">
      <alignment horizontal="center" vertical="center"/>
      <protection locked="0"/>
    </xf>
    <xf numFmtId="164" fontId="7" fillId="35" borderId="19" xfId="7" applyNumberFormat="1" applyFont="1" applyFill="1" applyBorder="1" applyAlignment="1" applyProtection="1">
      <alignment vertical="top"/>
    </xf>
    <xf numFmtId="164" fontId="7" fillId="3" borderId="19" xfId="7" applyNumberFormat="1" applyFont="1" applyFill="1" applyBorder="1" applyAlignment="1" applyProtection="1">
      <alignment vertical="top"/>
      <protection locked="0"/>
    </xf>
    <xf numFmtId="164" fontId="7" fillId="35" borderId="19" xfId="7" applyNumberFormat="1" applyFont="1" applyFill="1" applyBorder="1" applyAlignment="1" applyProtection="1">
      <alignment vertical="top" wrapText="1"/>
    </xf>
    <xf numFmtId="164" fontId="7" fillId="3" borderId="19" xfId="7" applyNumberFormat="1" applyFont="1" applyFill="1" applyBorder="1" applyAlignment="1" applyProtection="1">
      <alignment vertical="top" wrapText="1"/>
      <protection locked="0"/>
    </xf>
    <xf numFmtId="164" fontId="7" fillId="35" borderId="19" xfId="7" applyNumberFormat="1" applyFont="1" applyFill="1" applyBorder="1" applyAlignment="1" applyProtection="1">
      <alignment vertical="top" wrapText="1"/>
      <protection locked="0"/>
    </xf>
    <xf numFmtId="164" fontId="7" fillId="35" borderId="23" xfId="7" applyNumberFormat="1" applyFont="1" applyFill="1" applyBorder="1" applyAlignment="1" applyProtection="1">
      <alignment vertical="top" wrapText="1"/>
    </xf>
    <xf numFmtId="164" fontId="4"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9"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3" xfId="7" applyNumberFormat="1" applyFont="1" applyFill="1" applyBorder="1" applyAlignment="1" applyProtection="1">
      <alignment horizontal="right" vertical="center"/>
    </xf>
    <xf numFmtId="164" fontId="4" fillId="0" borderId="0" xfId="0" applyNumberFormat="1" applyFont="1" applyAlignment="1">
      <alignment horizontal="left" vertical="center"/>
    </xf>
    <xf numFmtId="164" fontId="23" fillId="0" borderId="12" xfId="7" applyNumberFormat="1" applyFont="1" applyBorder="1" applyAlignment="1">
      <alignment horizontal="center" vertical="center"/>
    </xf>
    <xf numFmtId="164" fontId="23" fillId="0" borderId="0" xfId="7" applyNumberFormat="1" applyFont="1"/>
    <xf numFmtId="164" fontId="4" fillId="0" borderId="58" xfId="7" applyNumberFormat="1" applyFont="1" applyBorder="1" applyAlignment="1">
      <alignment horizontal="center" vertical="center" wrapText="1"/>
    </xf>
    <xf numFmtId="164" fontId="22" fillId="0" borderId="29" xfId="7" applyNumberFormat="1" applyFont="1" applyBorder="1" applyAlignment="1">
      <alignment horizontal="center" vertical="center"/>
    </xf>
    <xf numFmtId="164" fontId="104" fillId="0" borderId="12" xfId="7" applyNumberFormat="1" applyFont="1" applyBorder="1" applyAlignment="1">
      <alignment horizontal="center" vertical="center"/>
    </xf>
    <xf numFmtId="164" fontId="22" fillId="0" borderId="12" xfId="7" applyNumberFormat="1" applyFont="1" applyBorder="1" applyAlignment="1">
      <alignment horizontal="center" vertical="center"/>
    </xf>
    <xf numFmtId="164" fontId="22" fillId="0" borderId="14"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19" fillId="0" borderId="13" xfId="7" applyNumberFormat="1" applyFont="1" applyBorder="1" applyAlignment="1">
      <alignment vertical="center"/>
    </xf>
    <xf numFmtId="164" fontId="22" fillId="0" borderId="138" xfId="7" applyNumberFormat="1" applyFont="1" applyBorder="1" applyAlignment="1">
      <alignment horizontal="center"/>
    </xf>
    <xf numFmtId="164" fontId="23" fillId="0" borderId="138" xfId="7" applyNumberFormat="1" applyFont="1" applyBorder="1"/>
    <xf numFmtId="164" fontId="22" fillId="0" borderId="138" xfId="7" applyNumberFormat="1" applyFont="1" applyBorder="1" applyAlignment="1">
      <alignment horizontal="center" vertical="center"/>
    </xf>
    <xf numFmtId="164" fontId="4" fillId="0" borderId="3" xfId="7" applyNumberFormat="1" applyFont="1" applyBorder="1"/>
    <xf numFmtId="164" fontId="4" fillId="0" borderId="8" xfId="7" applyNumberFormat="1" applyFont="1" applyBorder="1"/>
    <xf numFmtId="164" fontId="4" fillId="35" borderId="22" xfId="7" applyNumberFormat="1" applyFont="1" applyFill="1" applyBorder="1"/>
    <xf numFmtId="164" fontId="4" fillId="35" borderId="23" xfId="7" applyNumberFormat="1" applyFont="1" applyFill="1" applyBorder="1"/>
    <xf numFmtId="164" fontId="4" fillId="0" borderId="18" xfId="7" applyNumberFormat="1" applyFont="1" applyBorder="1"/>
    <xf numFmtId="164" fontId="4" fillId="0" borderId="19" xfId="7" applyNumberFormat="1" applyFont="1" applyBorder="1"/>
    <xf numFmtId="164" fontId="4" fillId="0" borderId="20" xfId="7" applyNumberFormat="1" applyFont="1" applyBorder="1" applyAlignment="1">
      <alignment wrapText="1"/>
    </xf>
    <xf numFmtId="164" fontId="4" fillId="0" borderId="20" xfId="7" applyNumberFormat="1" applyFont="1" applyBorder="1"/>
    <xf numFmtId="164" fontId="4" fillId="35" borderId="50" xfId="7" applyNumberFormat="1" applyFont="1" applyFill="1" applyBorder="1"/>
    <xf numFmtId="164" fontId="4" fillId="35" borderId="21" xfId="7" applyNumberFormat="1" applyFont="1" applyFill="1" applyBorder="1"/>
    <xf numFmtId="164" fontId="4" fillId="35" borderId="51" xfId="7" applyNumberFormat="1" applyFont="1" applyFill="1" applyBorder="1"/>
    <xf numFmtId="164" fontId="4" fillId="0" borderId="0" xfId="0" applyNumberFormat="1" applyFont="1"/>
    <xf numFmtId="164" fontId="4" fillId="0" borderId="52" xfId="7" applyNumberFormat="1" applyFont="1" applyBorder="1" applyAlignment="1">
      <alignment vertical="center"/>
    </xf>
    <xf numFmtId="164" fontId="4" fillId="0" borderId="63" xfId="7" applyNumberFormat="1" applyFont="1" applyBorder="1" applyAlignment="1">
      <alignment vertical="center"/>
    </xf>
    <xf numFmtId="164" fontId="4" fillId="0" borderId="98" xfId="7" applyNumberFormat="1" applyFont="1" applyBorder="1" applyAlignment="1">
      <alignment vertical="center"/>
    </xf>
    <xf numFmtId="164" fontId="4" fillId="0" borderId="112" xfId="7" applyNumberFormat="1" applyFont="1" applyBorder="1" applyAlignment="1">
      <alignment vertical="center"/>
    </xf>
    <xf numFmtId="164" fontId="4" fillId="0" borderId="22" xfId="7" applyNumberFormat="1" applyFont="1" applyBorder="1" applyAlignment="1">
      <alignment vertical="center"/>
    </xf>
    <xf numFmtId="164" fontId="4" fillId="0" borderId="24" xfId="7" applyNumberFormat="1" applyFont="1" applyBorder="1" applyAlignment="1">
      <alignment vertical="center"/>
    </xf>
    <xf numFmtId="164" fontId="4" fillId="0" borderId="23" xfId="7" applyNumberFormat="1" applyFont="1" applyBorder="1" applyAlignment="1">
      <alignment vertical="center"/>
    </xf>
    <xf numFmtId="164" fontId="4" fillId="0" borderId="25" xfId="7" applyNumberFormat="1" applyFont="1" applyFill="1" applyBorder="1" applyAlignment="1">
      <alignment vertical="center"/>
    </xf>
    <xf numFmtId="164" fontId="4" fillId="0" borderId="17"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06" xfId="7" applyNumberFormat="1" applyFont="1" applyFill="1" applyBorder="1" applyAlignment="1">
      <alignment vertical="center"/>
    </xf>
    <xf numFmtId="10" fontId="4" fillId="0" borderId="92" xfId="20961" applyNumberFormat="1" applyFont="1" applyFill="1" applyBorder="1" applyAlignment="1">
      <alignment vertical="center"/>
    </xf>
    <xf numFmtId="10" fontId="4" fillId="0" borderId="108" xfId="20961" applyNumberFormat="1" applyFont="1" applyFill="1" applyBorder="1" applyAlignment="1">
      <alignment vertical="center"/>
    </xf>
    <xf numFmtId="10" fontId="113" fillId="77" borderId="146" xfId="20961" applyNumberFormat="1" applyFont="1" applyFill="1" applyBorder="1" applyAlignment="1" applyProtection="1">
      <alignment horizontal="right" vertical="center"/>
    </xf>
    <xf numFmtId="164" fontId="120" fillId="0" borderId="138" xfId="7" applyNumberFormat="1" applyFont="1" applyBorder="1"/>
    <xf numFmtId="164" fontId="117" fillId="0" borderId="138" xfId="7" applyNumberFormat="1" applyFont="1" applyBorder="1"/>
    <xf numFmtId="164" fontId="117" fillId="0" borderId="0" xfId="0" applyNumberFormat="1" applyFont="1"/>
    <xf numFmtId="164" fontId="117" fillId="0" borderId="0" xfId="7" applyNumberFormat="1" applyFont="1"/>
    <xf numFmtId="164" fontId="116" fillId="0" borderId="146" xfId="7" applyNumberFormat="1" applyFont="1" applyBorder="1"/>
    <xf numFmtId="164" fontId="116" fillId="35" borderId="146" xfId="7" applyNumberFormat="1" applyFont="1" applyFill="1" applyBorder="1"/>
    <xf numFmtId="164" fontId="119" fillId="0" borderId="146" xfId="7" applyNumberFormat="1" applyFont="1" applyBorder="1"/>
    <xf numFmtId="164" fontId="117" fillId="0" borderId="146" xfId="7" applyNumberFormat="1" applyFont="1" applyBorder="1"/>
    <xf numFmtId="164" fontId="120" fillId="0" borderId="146" xfId="7" applyNumberFormat="1" applyFont="1" applyBorder="1"/>
    <xf numFmtId="164" fontId="116" fillId="0" borderId="0" xfId="7" applyNumberFormat="1" applyFont="1"/>
    <xf numFmtId="164" fontId="116" fillId="78" borderId="146" xfId="7" applyNumberFormat="1" applyFont="1" applyFill="1" applyBorder="1"/>
    <xf numFmtId="164" fontId="116" fillId="0" borderId="146" xfId="7" applyNumberFormat="1" applyFont="1" applyBorder="1" applyAlignment="1">
      <alignment horizontal="left" indent="1"/>
    </xf>
    <xf numFmtId="164" fontId="119" fillId="80" borderId="146" xfId="7" applyNumberFormat="1" applyFont="1" applyFill="1" applyBorder="1"/>
    <xf numFmtId="164" fontId="119" fillId="0" borderId="68" xfId="7" applyNumberFormat="1" applyFont="1" applyBorder="1"/>
    <xf numFmtId="164" fontId="116" fillId="0" borderId="155" xfId="7" applyNumberFormat="1" applyFont="1" applyBorder="1"/>
    <xf numFmtId="164" fontId="116" fillId="0" borderId="156" xfId="7" applyNumberFormat="1" applyFont="1" applyBorder="1" applyAlignment="1">
      <alignment horizontal="left" indent="1"/>
    </xf>
    <xf numFmtId="164" fontId="116" fillId="0" borderId="156" xfId="7" applyNumberFormat="1" applyFont="1" applyBorder="1" applyAlignment="1">
      <alignment horizontal="left" indent="2"/>
    </xf>
    <xf numFmtId="164" fontId="116" fillId="0" borderId="156" xfId="7" applyNumberFormat="1" applyFont="1" applyBorder="1" applyAlignment="1">
      <alignment horizontal="left" indent="3"/>
    </xf>
    <xf numFmtId="164" fontId="116" fillId="0" borderId="156" xfId="7" applyNumberFormat="1" applyFont="1" applyBorder="1" applyAlignment="1">
      <alignment horizontal="left" vertical="top" wrapText="1" indent="2"/>
    </xf>
    <xf numFmtId="164" fontId="116" fillId="0" borderId="156" xfId="7" applyNumberFormat="1" applyFont="1" applyBorder="1" applyAlignment="1">
      <alignment horizontal="left" wrapText="1" indent="3"/>
    </xf>
    <xf numFmtId="164" fontId="116" fillId="0" borderId="156" xfId="7" applyNumberFormat="1" applyFont="1" applyBorder="1" applyAlignment="1">
      <alignment horizontal="left" wrapText="1" indent="2"/>
    </xf>
    <xf numFmtId="164" fontId="116" fillId="0" borderId="156" xfId="7" applyNumberFormat="1" applyFont="1" applyBorder="1" applyAlignment="1">
      <alignment horizontal="left" wrapText="1" indent="1"/>
    </xf>
    <xf numFmtId="164" fontId="116" fillId="0" borderId="154" xfId="7" applyNumberFormat="1" applyFont="1" applyBorder="1" applyAlignment="1">
      <alignment horizontal="left" wrapText="1" indent="1"/>
    </xf>
    <xf numFmtId="164" fontId="116" fillId="0" borderId="153" xfId="7" applyNumberFormat="1" applyFont="1" applyBorder="1"/>
    <xf numFmtId="164" fontId="116" fillId="0" borderId="152" xfId="7" applyNumberFormat="1" applyFont="1" applyBorder="1"/>
    <xf numFmtId="164" fontId="116" fillId="0" borderId="146" xfId="7" applyNumberFormat="1" applyFont="1" applyBorder="1" applyAlignment="1">
      <alignment horizontal="left" vertical="center" wrapText="1"/>
    </xf>
    <xf numFmtId="164" fontId="116" fillId="0" borderId="146" xfId="7" applyNumberFormat="1" applyFont="1" applyBorder="1" applyAlignment="1">
      <alignment horizontal="center" vertical="center" wrapText="1"/>
    </xf>
    <xf numFmtId="164" fontId="116" fillId="0" borderId="146" xfId="7" applyNumberFormat="1" applyFont="1" applyBorder="1" applyAlignment="1">
      <alignment horizontal="center" vertical="center"/>
    </xf>
    <xf numFmtId="164" fontId="119" fillId="0" borderId="146" xfId="7" applyNumberFormat="1" applyFont="1" applyBorder="1" applyAlignment="1">
      <alignment horizontal="left" vertical="center" wrapText="1"/>
    </xf>
    <xf numFmtId="164" fontId="119" fillId="0" borderId="146" xfId="7" applyNumberFormat="1" applyFont="1" applyBorder="1" applyAlignment="1">
      <alignment horizontal="center" vertical="center"/>
    </xf>
    <xf numFmtId="164" fontId="125" fillId="0" borderId="0" xfId="7" applyNumberFormat="1" applyFont="1"/>
    <xf numFmtId="164" fontId="121" fillId="0" borderId="146" xfId="7" applyNumberFormat="1" applyFont="1" applyBorder="1"/>
    <xf numFmtId="164" fontId="139" fillId="0" borderId="0" xfId="7" applyNumberFormat="1" applyFont="1"/>
    <xf numFmtId="164" fontId="121" fillId="0" borderId="147" xfId="7" applyNumberFormat="1" applyFont="1" applyBorder="1"/>
    <xf numFmtId="0" fontId="141" fillId="0" borderId="159" xfId="0" applyFont="1" applyBorder="1" applyAlignment="1">
      <alignment horizontal="center" vertical="center"/>
    </xf>
    <xf numFmtId="0" fontId="141" fillId="0" borderId="28" xfId="0" applyFont="1" applyBorder="1" applyAlignment="1">
      <alignment horizontal="center" vertical="center"/>
    </xf>
    <xf numFmtId="0" fontId="141" fillId="0" borderId="160" xfId="0" applyFont="1" applyBorder="1" applyAlignment="1">
      <alignment horizontal="center" vertical="center"/>
    </xf>
    <xf numFmtId="0" fontId="104" fillId="0" borderId="65" xfId="0" applyFont="1" applyBorder="1" applyAlignment="1">
      <alignment horizontal="left" vertical="center" wrapText="1"/>
    </xf>
    <xf numFmtId="0" fontId="104" fillId="0" borderId="64" xfId="0" applyFont="1" applyBorder="1" applyAlignment="1">
      <alignment horizontal="left" vertical="center" wrapText="1"/>
    </xf>
    <xf numFmtId="164" fontId="0" fillId="0" borderId="98" xfId="7" applyNumberFormat="1" applyFont="1" applyBorder="1" applyAlignment="1">
      <alignment horizontal="center"/>
    </xf>
    <xf numFmtId="164" fontId="0" fillId="0" borderId="95" xfId="7" applyNumberFormat="1" applyFont="1" applyBorder="1" applyAlignment="1">
      <alignment horizontal="center"/>
    </xf>
    <xf numFmtId="164" fontId="0" fillId="0" borderId="96" xfId="7" applyNumberFormat="1"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164" fontId="0" fillId="0" borderId="141" xfId="7" applyNumberFormat="1" applyFont="1" applyBorder="1" applyAlignment="1">
      <alignment horizontal="center"/>
    </xf>
    <xf numFmtId="0" fontId="0" fillId="0" borderId="138" xfId="0" applyBorder="1" applyAlignment="1">
      <alignment horizontal="center" vertical="center"/>
    </xf>
    <xf numFmtId="0" fontId="128" fillId="0" borderId="93" xfId="0" applyFont="1" applyBorder="1" applyAlignment="1">
      <alignment horizontal="center" vertical="center"/>
    </xf>
    <xf numFmtId="0" fontId="128" fillId="0" borderId="7" xfId="0" applyFont="1" applyBorder="1" applyAlignment="1">
      <alignment horizontal="center" vertical="center"/>
    </xf>
    <xf numFmtId="164" fontId="10" fillId="0" borderId="16" xfId="7" applyNumberFormat="1" applyFont="1" applyBorder="1" applyAlignment="1">
      <alignment horizontal="center" vertical="center"/>
    </xf>
    <xf numFmtId="164" fontId="10" fillId="0" borderId="17" xfId="7" applyNumberFormat="1" applyFont="1" applyBorder="1" applyAlignment="1">
      <alignment horizontal="center" vertic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164" fontId="10" fillId="0" borderId="16" xfId="7" applyNumberFormat="1" applyFont="1" applyBorder="1" applyAlignment="1">
      <alignment horizontal="center"/>
    </xf>
    <xf numFmtId="164" fontId="10" fillId="0" borderId="17" xfId="7" applyNumberFormat="1" applyFont="1" applyBorder="1" applyAlignment="1">
      <alignment horizontal="center"/>
    </xf>
    <xf numFmtId="0" fontId="13" fillId="0" borderId="3" xfId="0" applyFont="1" applyBorder="1" applyAlignment="1">
      <alignment wrapText="1"/>
    </xf>
    <xf numFmtId="0" fontId="4" fillId="0" borderId="19" xfId="0" applyFont="1" applyBorder="1"/>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xf>
    <xf numFmtId="0" fontId="4" fillId="0" borderId="20" xfId="0" applyFont="1" applyBorder="1" applyAlignment="1">
      <alignment horizontal="center"/>
    </xf>
    <xf numFmtId="0" fontId="6" fillId="35" borderId="116" xfId="0" applyFont="1" applyFill="1" applyBorder="1" applyAlignment="1">
      <alignment horizontal="center" vertical="center" wrapText="1"/>
    </xf>
    <xf numFmtId="0" fontId="6" fillId="35" borderId="27"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3" xfId="0" applyFont="1" applyFill="1" applyBorder="1" applyAlignment="1">
      <alignment horizontal="center" vertical="center" wrapText="1"/>
    </xf>
    <xf numFmtId="0" fontId="6" fillId="86" borderId="155" xfId="0" applyFont="1" applyFill="1" applyBorder="1" applyAlignment="1">
      <alignment horizontal="center" vertical="center" wrapText="1"/>
    </xf>
    <xf numFmtId="0" fontId="101" fillId="3" borderId="66" xfId="13" applyFont="1" applyFill="1" applyBorder="1" applyAlignment="1" applyProtection="1">
      <alignment horizontal="center" vertical="center" wrapText="1"/>
      <protection locked="0"/>
    </xf>
    <xf numFmtId="0" fontId="101" fillId="3" borderId="63"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5" xfId="1" applyNumberFormat="1" applyFont="1" applyFill="1" applyBorder="1" applyAlignment="1" applyProtection="1">
      <alignment horizontal="center"/>
      <protection locked="0"/>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9" xfId="1" applyNumberFormat="1" applyFont="1" applyFill="1" applyBorder="1" applyAlignment="1" applyProtection="1">
      <alignment horizontal="center" vertical="center" wrapText="1"/>
      <protection locked="0"/>
    </xf>
    <xf numFmtId="164" fontId="15" fillId="0" borderId="90" xfId="1" applyNumberFormat="1" applyFont="1" applyFill="1" applyBorder="1" applyAlignment="1" applyProtection="1">
      <alignment horizontal="center" vertical="center" wrapText="1"/>
      <protection locked="0"/>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4" xfId="0" applyFont="1" applyBorder="1" applyAlignment="1">
      <alignment horizontal="center" vertical="center" wrapText="1"/>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12" xfId="0" applyFont="1" applyBorder="1" applyAlignment="1">
      <alignment horizontal="center"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2"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48" xfId="0"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2" xfId="0" applyFont="1" applyBorder="1" applyAlignment="1">
      <alignment horizontal="center" vertical="center"/>
    </xf>
    <xf numFmtId="0" fontId="118" fillId="0" borderId="11" xfId="0" applyFont="1" applyBorder="1" applyAlignment="1">
      <alignment horizontal="center" vertical="center"/>
    </xf>
    <xf numFmtId="0" fontId="119" fillId="0" borderId="146"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2"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104" xfId="0" applyFont="1" applyBorder="1" applyAlignment="1">
      <alignment horizontal="center" vertical="center" wrapText="1"/>
    </xf>
    <xf numFmtId="0" fontId="119" fillId="0" borderId="53" xfId="0" applyFont="1" applyBorder="1" applyAlignment="1">
      <alignment horizontal="left" vertical="top" wrapText="1"/>
    </xf>
    <xf numFmtId="0" fontId="119" fillId="0" borderId="104" xfId="0" applyFont="1" applyBorder="1" applyAlignment="1">
      <alignment horizontal="left" vertical="top" wrapText="1"/>
    </xf>
    <xf numFmtId="0" fontId="119" fillId="0" borderId="62" xfId="0" applyFont="1" applyBorder="1" applyAlignment="1">
      <alignment horizontal="left" vertical="top" wrapText="1"/>
    </xf>
    <xf numFmtId="0" fontId="119" fillId="0" borderId="91"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8"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0" borderId="69" xfId="0" applyFont="1" applyBorder="1" applyAlignment="1">
      <alignment horizontal="center" vertical="center"/>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6" fillId="0" borderId="97" xfId="0" applyFont="1" applyBorder="1" applyAlignment="1">
      <alignment horizontal="left" vertical="center" wrapText="1"/>
    </xf>
    <xf numFmtId="0" fontId="105" fillId="75" borderId="72" xfId="0" applyFont="1" applyFill="1" applyBorder="1" applyAlignment="1">
      <alignment horizontal="center"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6" fillId="0" borderId="52"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98" xfId="0" applyFont="1" applyBorder="1" applyAlignment="1">
      <alignment horizontal="left" vertical="center" wrapText="1"/>
    </xf>
    <xf numFmtId="0" fontId="106" fillId="0" borderId="96" xfId="0" applyFont="1" applyBorder="1" applyAlignment="1">
      <alignment horizontal="left" vertical="center" wrapText="1"/>
    </xf>
    <xf numFmtId="0" fontId="155" fillId="3" borderId="98" xfId="0" applyFont="1" applyFill="1" applyBorder="1" applyAlignment="1">
      <alignment vertical="center" wrapText="1"/>
    </xf>
    <xf numFmtId="0" fontId="155" fillId="3" borderId="96" xfId="0" applyFont="1" applyFill="1" applyBorder="1" applyAlignment="1">
      <alignment vertical="center" wrapText="1"/>
    </xf>
    <xf numFmtId="0" fontId="106" fillId="3" borderId="98" xfId="0" applyFont="1" applyFill="1" applyBorder="1" applyAlignment="1">
      <alignment vertical="center" wrapText="1"/>
    </xf>
    <xf numFmtId="0" fontId="106" fillId="3" borderId="96" xfId="0" applyFont="1" applyFill="1" applyBorder="1" applyAlignment="1">
      <alignment vertical="center" wrapText="1"/>
    </xf>
    <xf numFmtId="0" fontId="106" fillId="0" borderId="98" xfId="0" applyFont="1" applyBorder="1" applyAlignment="1">
      <alignment horizontal="left"/>
    </xf>
    <xf numFmtId="0" fontId="106" fillId="0" borderId="96" xfId="0" applyFont="1" applyBorder="1" applyAlignment="1">
      <alignment horizontal="left"/>
    </xf>
    <xf numFmtId="0" fontId="106" fillId="0" borderId="98" xfId="0" applyFont="1" applyBorder="1" applyAlignment="1">
      <alignment vertical="center" wrapText="1"/>
    </xf>
    <xf numFmtId="0" fontId="106" fillId="0" borderId="96" xfId="0" applyFont="1" applyBorder="1" applyAlignment="1">
      <alignment vertical="center" wrapText="1"/>
    </xf>
    <xf numFmtId="0" fontId="106" fillId="0" borderId="139" xfId="0" applyFont="1" applyBorder="1" applyAlignment="1">
      <alignment horizontal="left" vertical="center" wrapText="1"/>
    </xf>
    <xf numFmtId="0" fontId="106" fillId="0" borderId="140" xfId="0" applyFont="1" applyBorder="1" applyAlignment="1">
      <alignment horizontal="left" vertical="center" wrapText="1"/>
    </xf>
    <xf numFmtId="0" fontId="106" fillId="0" borderId="141" xfId="0" applyFont="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0" borderId="79" xfId="0" applyFont="1" applyBorder="1" applyAlignment="1">
      <alignment horizontal="left" vertical="center" wrapText="1"/>
    </xf>
    <xf numFmtId="0" fontId="106" fillId="0" borderId="80" xfId="0" applyFont="1" applyBorder="1" applyAlignment="1">
      <alignment horizontal="left" vertical="center" wrapText="1"/>
    </xf>
    <xf numFmtId="0" fontId="106" fillId="0" borderId="52" xfId="0" applyFont="1" applyBorder="1" applyAlignment="1">
      <alignment vertical="center" wrapText="1"/>
    </xf>
    <xf numFmtId="0" fontId="106" fillId="0" borderId="11" xfId="0" applyFont="1" applyBorder="1" applyAlignment="1">
      <alignment vertical="center" wrapText="1"/>
    </xf>
    <xf numFmtId="0" fontId="106" fillId="0" borderId="76" xfId="0" applyFont="1" applyBorder="1" applyAlignment="1">
      <alignment horizontal="left" vertical="center" wrapText="1"/>
    </xf>
    <xf numFmtId="0" fontId="106" fillId="0" borderId="77" xfId="0" applyFont="1" applyBorder="1" applyAlignment="1">
      <alignment horizontal="left" vertical="center" wrapText="1"/>
    </xf>
    <xf numFmtId="0" fontId="155" fillId="3" borderId="98" xfId="0" applyFont="1" applyFill="1" applyBorder="1" applyAlignment="1">
      <alignment horizontal="left" vertical="center" wrapText="1"/>
    </xf>
    <xf numFmtId="0" fontId="155" fillId="3" borderId="96"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3" borderId="96" xfId="0" applyFont="1" applyFill="1" applyBorder="1" applyAlignment="1">
      <alignment horizontal="left"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05" fillId="75" borderId="81"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2" xfId="0" applyFont="1" applyFill="1" applyBorder="1" applyAlignment="1">
      <alignment horizontal="center" vertical="center" wrapText="1"/>
    </xf>
    <xf numFmtId="0" fontId="105" fillId="75" borderId="86" xfId="0" applyFont="1" applyFill="1" applyBorder="1" applyAlignment="1">
      <alignment horizontal="center" vertical="center"/>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146" xfId="0" applyFont="1" applyFill="1" applyBorder="1" applyAlignment="1">
      <alignment horizontal="center" vertical="center" wrapText="1"/>
    </xf>
    <xf numFmtId="0" fontId="105" fillId="0" borderId="146" xfId="0" applyFont="1" applyBorder="1" applyAlignment="1">
      <alignment horizontal="center" vertical="center"/>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4" xfId="0" applyFont="1" applyBorder="1" applyAlignment="1">
      <alignment horizontal="center" vertical="center"/>
    </xf>
    <xf numFmtId="49" fontId="106" fillId="0" borderId="0" xfId="0" applyNumberFormat="1" applyFont="1" applyAlignment="1">
      <alignment horizontal="center" vertical="center"/>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6" xfId="0" applyFont="1" applyBorder="1" applyAlignment="1">
      <alignment horizontal="left" vertical="top" wrapText="1"/>
    </xf>
    <xf numFmtId="0" fontId="106" fillId="0" borderId="149" xfId="0" applyFont="1" applyBorder="1" applyAlignment="1">
      <alignment horizontal="left" vertical="top" wrapText="1"/>
    </xf>
    <xf numFmtId="0" fontId="106" fillId="0" borderId="146" xfId="0" applyFont="1" applyBorder="1" applyAlignment="1">
      <alignment horizontal="left" vertical="center" wrapText="1"/>
    </xf>
    <xf numFmtId="0" fontId="106" fillId="0" borderId="146" xfId="0" applyFont="1" applyBorder="1" applyAlignment="1">
      <alignment horizontal="center"/>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8" xfId="0" applyFont="1" applyBorder="1" applyAlignment="1">
      <alignment horizontal="left" vertical="top" wrapText="1"/>
    </xf>
    <xf numFmtId="43" fontId="4" fillId="0" borderId="0" xfId="7" applyFont="1"/>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rtu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10.28515625" style="1" customWidth="1"/>
    <col min="2" max="2" width="153" bestFit="1" customWidth="1"/>
    <col min="3" max="3" width="39.42578125" customWidth="1"/>
    <col min="7" max="7" width="25" customWidth="1"/>
  </cols>
  <sheetData>
    <row r="1" spans="1:3" ht="15.75">
      <c r="A1" s="6"/>
      <c r="B1" s="93" t="s">
        <v>148</v>
      </c>
      <c r="C1" s="46"/>
    </row>
    <row r="2" spans="1:3" s="90" customFormat="1" ht="15.75">
      <c r="A2" s="134">
        <v>1</v>
      </c>
      <c r="B2" s="91" t="s">
        <v>149</v>
      </c>
      <c r="C2" s="89" t="s">
        <v>1002</v>
      </c>
    </row>
    <row r="3" spans="1:3" s="90" customFormat="1" ht="15.75">
      <c r="A3" s="134">
        <v>2</v>
      </c>
      <c r="B3" s="92" t="s">
        <v>150</v>
      </c>
      <c r="C3" s="89" t="s">
        <v>1003</v>
      </c>
    </row>
    <row r="4" spans="1:3" s="90" customFormat="1" ht="15.75">
      <c r="A4" s="134">
        <v>3</v>
      </c>
      <c r="B4" s="92" t="s">
        <v>151</v>
      </c>
      <c r="C4" s="89" t="s">
        <v>1004</v>
      </c>
    </row>
    <row r="5" spans="1:3" s="90" customFormat="1" ht="15.75">
      <c r="A5" s="135">
        <v>4</v>
      </c>
      <c r="B5" s="95" t="s">
        <v>152</v>
      </c>
      <c r="C5" s="592" t="s">
        <v>1005</v>
      </c>
    </row>
    <row r="6" spans="1:3" s="94" customFormat="1" ht="65.25" customHeight="1">
      <c r="A6" s="728" t="s">
        <v>309</v>
      </c>
      <c r="B6" s="729"/>
      <c r="C6" s="729"/>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210">
        <v>9.1999999999999993</v>
      </c>
      <c r="B18" s="543" t="s">
        <v>946</v>
      </c>
    </row>
    <row r="19" spans="1:2">
      <c r="A19" s="210">
        <v>9.3000000000000007</v>
      </c>
      <c r="B19" s="543" t="s">
        <v>947</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42">
        <v>15.2</v>
      </c>
      <c r="B27" s="543" t="s">
        <v>970</v>
      </c>
    </row>
    <row r="28" spans="1:2">
      <c r="A28" s="210">
        <v>16</v>
      </c>
      <c r="B28" s="206" t="s">
        <v>422</v>
      </c>
    </row>
    <row r="29" spans="1:2">
      <c r="A29" s="210">
        <v>17</v>
      </c>
      <c r="B29" s="206" t="s">
        <v>646</v>
      </c>
    </row>
    <row r="30" spans="1:2">
      <c r="A30" s="210">
        <v>18</v>
      </c>
      <c r="B30" s="206" t="s">
        <v>906</v>
      </c>
    </row>
    <row r="31" spans="1:2">
      <c r="A31" s="210">
        <v>19</v>
      </c>
      <c r="B31" s="206" t="s">
        <v>907</v>
      </c>
    </row>
    <row r="32" spans="1:2">
      <c r="A32" s="210">
        <v>20</v>
      </c>
      <c r="B32" s="206" t="s">
        <v>908</v>
      </c>
    </row>
    <row r="33" spans="1:2">
      <c r="A33" s="210">
        <v>21</v>
      </c>
      <c r="B33" s="206" t="s">
        <v>515</v>
      </c>
    </row>
    <row r="34" spans="1:2">
      <c r="A34" s="210">
        <v>22</v>
      </c>
      <c r="B34" s="206" t="s">
        <v>909</v>
      </c>
    </row>
    <row r="35" spans="1:2" ht="25.5">
      <c r="A35" s="210">
        <v>23</v>
      </c>
      <c r="B35" s="500" t="s">
        <v>905</v>
      </c>
    </row>
    <row r="36" spans="1:2">
      <c r="A36" s="210">
        <v>24</v>
      </c>
      <c r="B36" s="206" t="s">
        <v>910</v>
      </c>
    </row>
    <row r="37" spans="1:2">
      <c r="A37" s="210">
        <v>25</v>
      </c>
      <c r="B37" s="206" t="s">
        <v>911</v>
      </c>
    </row>
    <row r="38" spans="1:2">
      <c r="A38" s="210">
        <v>26</v>
      </c>
      <c r="B38" s="206"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EACE8900-297D-44B4-ACE8-8A3A7E700C69}"/>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showGridLines="0" zoomScale="80" zoomScaleNormal="80" workbookViewId="0">
      <pane xSplit="1" ySplit="5" topLeftCell="B6" activePane="bottomRight" state="frozen"/>
      <selection activeCell="B30" sqref="B30"/>
      <selection pane="topRight" activeCell="B30" sqref="B30"/>
      <selection pane="bottomLeft" activeCell="B30" sqref="B30"/>
      <selection pane="bottomRight"/>
    </sheetView>
  </sheetViews>
  <sheetFormatPr defaultRowHeight="15"/>
  <cols>
    <col min="1" max="1" width="9.5703125" style="1" bestFit="1" customWidth="1"/>
    <col min="2" max="2" width="132.42578125" style="1" customWidth="1"/>
    <col min="3" max="3" width="18.42578125" style="601" customWidth="1"/>
    <col min="6" max="6" width="17" style="602" bestFit="1" customWidth="1"/>
  </cols>
  <sheetData>
    <row r="1" spans="1:6" ht="15.75">
      <c r="A1" s="13" t="s">
        <v>97</v>
      </c>
      <c r="B1" s="12" t="str">
        <f>Info!C2</f>
        <v>სს "ბანკი ქართუ"</v>
      </c>
      <c r="D1" s="1"/>
      <c r="E1" s="1"/>
      <c r="F1" s="601"/>
    </row>
    <row r="2" spans="1:6" s="13" customFormat="1" ht="15.75" customHeight="1">
      <c r="A2" s="13" t="s">
        <v>98</v>
      </c>
      <c r="B2" s="593">
        <f>'1. key ratios'!B2</f>
        <v>46112</v>
      </c>
      <c r="C2" s="639"/>
      <c r="F2" s="639"/>
    </row>
    <row r="3" spans="1:6" s="13" customFormat="1" ht="15.75" customHeight="1">
      <c r="C3" s="639"/>
      <c r="F3" s="639"/>
    </row>
    <row r="4" spans="1:6" ht="15.75" thickBot="1">
      <c r="A4" s="1" t="s">
        <v>246</v>
      </c>
      <c r="B4" s="22" t="s">
        <v>74</v>
      </c>
    </row>
    <row r="5" spans="1:6">
      <c r="A5" s="65" t="s">
        <v>25</v>
      </c>
      <c r="B5" s="66"/>
      <c r="C5" s="640" t="s">
        <v>26</v>
      </c>
    </row>
    <row r="6" spans="1:6">
      <c r="A6" s="67">
        <v>1</v>
      </c>
      <c r="B6" s="42" t="s">
        <v>27</v>
      </c>
      <c r="C6" s="641">
        <f>SUM(C7:C11)</f>
        <v>467302762.97191632</v>
      </c>
    </row>
    <row r="7" spans="1:6">
      <c r="A7" s="67">
        <v>2</v>
      </c>
      <c r="B7" s="39" t="s">
        <v>28</v>
      </c>
      <c r="C7" s="642">
        <v>114430000</v>
      </c>
    </row>
    <row r="8" spans="1:6">
      <c r="A8" s="67">
        <v>3</v>
      </c>
      <c r="B8" s="34" t="s">
        <v>29</v>
      </c>
      <c r="C8" s="642">
        <v>0</v>
      </c>
    </row>
    <row r="9" spans="1:6">
      <c r="A9" s="67">
        <v>4</v>
      </c>
      <c r="B9" s="34" t="s">
        <v>30</v>
      </c>
      <c r="C9" s="642">
        <v>0</v>
      </c>
    </row>
    <row r="10" spans="1:6">
      <c r="A10" s="67">
        <v>5</v>
      </c>
      <c r="B10" s="34" t="s">
        <v>31</v>
      </c>
      <c r="C10" s="642">
        <v>7438034.3799999999</v>
      </c>
    </row>
    <row r="11" spans="1:6">
      <c r="A11" s="67">
        <v>6</v>
      </c>
      <c r="B11" s="40" t="s">
        <v>32</v>
      </c>
      <c r="C11" s="642">
        <v>345434728.59191632</v>
      </c>
    </row>
    <row r="12" spans="1:6" s="2" customFormat="1">
      <c r="A12" s="67">
        <v>7</v>
      </c>
      <c r="B12" s="42" t="s">
        <v>33</v>
      </c>
      <c r="C12" s="643">
        <f>SUM(C13:C28)</f>
        <v>15625069.660000002</v>
      </c>
      <c r="F12" s="602"/>
    </row>
    <row r="13" spans="1:6" s="2" customFormat="1">
      <c r="A13" s="67">
        <v>8</v>
      </c>
      <c r="B13" s="41" t="s">
        <v>34</v>
      </c>
      <c r="C13" s="642">
        <v>0</v>
      </c>
      <c r="F13" s="602"/>
    </row>
    <row r="14" spans="1:6" s="2" customFormat="1" ht="25.5">
      <c r="A14" s="67">
        <v>9</v>
      </c>
      <c r="B14" s="35" t="s">
        <v>35</v>
      </c>
      <c r="C14" s="642">
        <v>0</v>
      </c>
      <c r="F14" s="602"/>
    </row>
    <row r="15" spans="1:6" s="2" customFormat="1">
      <c r="A15" s="67">
        <v>10</v>
      </c>
      <c r="B15" s="36" t="s">
        <v>36</v>
      </c>
      <c r="C15" s="642">
        <v>15625069.660000002</v>
      </c>
      <c r="F15" s="602"/>
    </row>
    <row r="16" spans="1:6" s="2" customFormat="1">
      <c r="A16" s="67">
        <v>11</v>
      </c>
      <c r="B16" s="37" t="s">
        <v>37</v>
      </c>
      <c r="C16" s="642">
        <v>0</v>
      </c>
      <c r="F16" s="602"/>
    </row>
    <row r="17" spans="1:6" s="2" customFormat="1">
      <c r="A17" s="67">
        <v>12</v>
      </c>
      <c r="B17" s="36" t="s">
        <v>38</v>
      </c>
      <c r="C17" s="642">
        <v>0</v>
      </c>
      <c r="F17" s="602"/>
    </row>
    <row r="18" spans="1:6" s="2" customFormat="1">
      <c r="A18" s="67">
        <v>13</v>
      </c>
      <c r="B18" s="36" t="s">
        <v>39</v>
      </c>
      <c r="C18" s="642">
        <v>0</v>
      </c>
      <c r="F18" s="602"/>
    </row>
    <row r="19" spans="1:6" s="2" customFormat="1">
      <c r="A19" s="67">
        <v>14</v>
      </c>
      <c r="B19" s="36" t="s">
        <v>40</v>
      </c>
      <c r="C19" s="642">
        <v>0</v>
      </c>
      <c r="F19" s="602"/>
    </row>
    <row r="20" spans="1:6" s="2" customFormat="1" ht="25.5">
      <c r="A20" s="67">
        <v>15</v>
      </c>
      <c r="B20" s="36" t="s">
        <v>41</v>
      </c>
      <c r="C20" s="642">
        <v>0</v>
      </c>
      <c r="F20" s="602"/>
    </row>
    <row r="21" spans="1:6" s="2" customFormat="1" ht="25.5">
      <c r="A21" s="67">
        <v>16</v>
      </c>
      <c r="B21" s="35" t="s">
        <v>42</v>
      </c>
      <c r="C21" s="642">
        <v>0</v>
      </c>
      <c r="F21" s="602"/>
    </row>
    <row r="22" spans="1:6" s="2" customFormat="1">
      <c r="A22" s="67">
        <v>17</v>
      </c>
      <c r="B22" s="68" t="s">
        <v>43</v>
      </c>
      <c r="C22" s="642">
        <v>0</v>
      </c>
      <c r="F22" s="602"/>
    </row>
    <row r="23" spans="1:6" s="2" customFormat="1">
      <c r="A23" s="67">
        <v>18</v>
      </c>
      <c r="B23" s="535" t="s">
        <v>694</v>
      </c>
      <c r="C23" s="642">
        <v>0</v>
      </c>
      <c r="F23" s="602"/>
    </row>
    <row r="24" spans="1:6" s="2" customFormat="1" ht="25.5">
      <c r="A24" s="67">
        <v>19</v>
      </c>
      <c r="B24" s="35" t="s">
        <v>44</v>
      </c>
      <c r="C24" s="642">
        <v>0</v>
      </c>
      <c r="F24" s="602"/>
    </row>
    <row r="25" spans="1:6" s="2" customFormat="1" ht="25.5">
      <c r="A25" s="67">
        <v>20</v>
      </c>
      <c r="B25" s="35" t="s">
        <v>45</v>
      </c>
      <c r="C25" s="642">
        <v>0</v>
      </c>
      <c r="F25" s="602"/>
    </row>
    <row r="26" spans="1:6" s="2" customFormat="1" ht="25.5">
      <c r="A26" s="67">
        <v>21</v>
      </c>
      <c r="B26" s="37" t="s">
        <v>46</v>
      </c>
      <c r="C26" s="642">
        <v>0</v>
      </c>
      <c r="F26" s="602"/>
    </row>
    <row r="27" spans="1:6" s="2" customFormat="1">
      <c r="A27" s="67">
        <v>22</v>
      </c>
      <c r="B27" s="37" t="s">
        <v>47</v>
      </c>
      <c r="C27" s="642">
        <v>0</v>
      </c>
      <c r="F27" s="602"/>
    </row>
    <row r="28" spans="1:6" s="2" customFormat="1" ht="25.5">
      <c r="A28" s="67">
        <v>23</v>
      </c>
      <c r="B28" s="37" t="s">
        <v>48</v>
      </c>
      <c r="C28" s="642">
        <v>0</v>
      </c>
      <c r="F28" s="602"/>
    </row>
    <row r="29" spans="1:6" s="2" customFormat="1">
      <c r="A29" s="67">
        <v>24</v>
      </c>
      <c r="B29" s="43" t="s">
        <v>22</v>
      </c>
      <c r="C29" s="643">
        <f>C6-C12</f>
        <v>451677693.31191629</v>
      </c>
      <c r="F29" s="602"/>
    </row>
    <row r="30" spans="1:6" s="2" customFormat="1">
      <c r="A30" s="69"/>
      <c r="B30" s="38"/>
      <c r="C30" s="644"/>
      <c r="F30" s="602"/>
    </row>
    <row r="31" spans="1:6" s="2" customFormat="1">
      <c r="A31" s="69">
        <v>25</v>
      </c>
      <c r="B31" s="43" t="s">
        <v>49</v>
      </c>
      <c r="C31" s="643">
        <f>C32+C35</f>
        <v>72894600.000000015</v>
      </c>
      <c r="F31" s="602"/>
    </row>
    <row r="32" spans="1:6" s="2" customFormat="1">
      <c r="A32" s="69">
        <v>26</v>
      </c>
      <c r="B32" s="34" t="s">
        <v>50</v>
      </c>
      <c r="C32" s="645">
        <f>C33+C34</f>
        <v>72894600.000000015</v>
      </c>
      <c r="F32" s="602"/>
    </row>
    <row r="33" spans="1:6" s="2" customFormat="1">
      <c r="A33" s="69">
        <v>27</v>
      </c>
      <c r="B33" s="87" t="s">
        <v>51</v>
      </c>
      <c r="C33" s="642">
        <v>23845347.84</v>
      </c>
      <c r="F33" s="602"/>
    </row>
    <row r="34" spans="1:6" s="2" customFormat="1">
      <c r="A34" s="69">
        <v>28</v>
      </c>
      <c r="B34" s="87" t="s">
        <v>52</v>
      </c>
      <c r="C34" s="642">
        <v>49049252.160000011</v>
      </c>
      <c r="F34" s="602"/>
    </row>
    <row r="35" spans="1:6" s="2" customFormat="1">
      <c r="A35" s="69">
        <v>29</v>
      </c>
      <c r="B35" s="34" t="s">
        <v>53</v>
      </c>
      <c r="C35" s="642">
        <v>0</v>
      </c>
      <c r="F35" s="602"/>
    </row>
    <row r="36" spans="1:6" s="2" customFormat="1">
      <c r="A36" s="69">
        <v>30</v>
      </c>
      <c r="B36" s="43" t="s">
        <v>54</v>
      </c>
      <c r="C36" s="643">
        <f>SUM(C37:C41)</f>
        <v>0</v>
      </c>
      <c r="F36" s="602"/>
    </row>
    <row r="37" spans="1:6" s="2" customFormat="1">
      <c r="A37" s="69">
        <v>31</v>
      </c>
      <c r="B37" s="35" t="s">
        <v>55</v>
      </c>
      <c r="C37" s="644"/>
      <c r="F37" s="602"/>
    </row>
    <row r="38" spans="1:6" s="2" customFormat="1">
      <c r="A38" s="69">
        <v>32</v>
      </c>
      <c r="B38" s="36" t="s">
        <v>56</v>
      </c>
      <c r="C38" s="644"/>
      <c r="F38" s="602"/>
    </row>
    <row r="39" spans="1:6" s="2" customFormat="1" ht="25.5">
      <c r="A39" s="69">
        <v>33</v>
      </c>
      <c r="B39" s="35" t="s">
        <v>57</v>
      </c>
      <c r="C39" s="644"/>
      <c r="F39" s="602"/>
    </row>
    <row r="40" spans="1:6" s="2" customFormat="1" ht="25.5">
      <c r="A40" s="69">
        <v>34</v>
      </c>
      <c r="B40" s="35" t="s">
        <v>45</v>
      </c>
      <c r="C40" s="644"/>
      <c r="F40" s="602"/>
    </row>
    <row r="41" spans="1:6" s="2" customFormat="1" ht="25.5">
      <c r="A41" s="69">
        <v>35</v>
      </c>
      <c r="B41" s="37" t="s">
        <v>58</v>
      </c>
      <c r="C41" s="644"/>
      <c r="F41" s="602"/>
    </row>
    <row r="42" spans="1:6" s="2" customFormat="1">
      <c r="A42" s="69">
        <v>36</v>
      </c>
      <c r="B42" s="43" t="s">
        <v>23</v>
      </c>
      <c r="C42" s="643">
        <f>C31-C36</f>
        <v>72894600.000000015</v>
      </c>
      <c r="F42" s="602"/>
    </row>
    <row r="43" spans="1:6" s="2" customFormat="1">
      <c r="A43" s="69"/>
      <c r="B43" s="38"/>
      <c r="C43" s="644"/>
      <c r="F43" s="602"/>
    </row>
    <row r="44" spans="1:6" s="2" customFormat="1">
      <c r="A44" s="69">
        <v>37</v>
      </c>
      <c r="B44" s="44" t="s">
        <v>59</v>
      </c>
      <c r="C44" s="643">
        <f>SUM(C45:C47)</f>
        <v>9179320</v>
      </c>
      <c r="F44" s="602"/>
    </row>
    <row r="45" spans="1:6" s="2" customFormat="1">
      <c r="A45" s="69">
        <v>38</v>
      </c>
      <c r="B45" s="34" t="s">
        <v>60</v>
      </c>
      <c r="C45" s="642">
        <v>9179320</v>
      </c>
      <c r="F45" s="602"/>
    </row>
    <row r="46" spans="1:6" s="2" customFormat="1">
      <c r="A46" s="69">
        <v>39</v>
      </c>
      <c r="B46" s="34" t="s">
        <v>61</v>
      </c>
      <c r="C46" s="644"/>
      <c r="F46" s="602"/>
    </row>
    <row r="47" spans="1:6" s="2" customFormat="1">
      <c r="A47" s="69">
        <v>40</v>
      </c>
      <c r="B47" s="536" t="s">
        <v>693</v>
      </c>
      <c r="C47" s="644"/>
      <c r="F47" s="602"/>
    </row>
    <row r="48" spans="1:6" s="2" customFormat="1">
      <c r="A48" s="69">
        <v>41</v>
      </c>
      <c r="B48" s="44" t="s">
        <v>62</v>
      </c>
      <c r="C48" s="643">
        <f>SUM(C49:C52)</f>
        <v>0</v>
      </c>
      <c r="F48" s="602"/>
    </row>
    <row r="49" spans="1:6" s="2" customFormat="1">
      <c r="A49" s="69">
        <v>42</v>
      </c>
      <c r="B49" s="35" t="s">
        <v>63</v>
      </c>
      <c r="C49" s="644"/>
      <c r="F49" s="602"/>
    </row>
    <row r="50" spans="1:6" s="2" customFormat="1">
      <c r="A50" s="69">
        <v>43</v>
      </c>
      <c r="B50" s="36" t="s">
        <v>64</v>
      </c>
      <c r="C50" s="644"/>
      <c r="F50" s="602"/>
    </row>
    <row r="51" spans="1:6" s="2" customFormat="1" ht="25.5">
      <c r="A51" s="69">
        <v>44</v>
      </c>
      <c r="B51" s="35" t="s">
        <v>65</v>
      </c>
      <c r="C51" s="644"/>
      <c r="F51" s="602"/>
    </row>
    <row r="52" spans="1:6" s="2" customFormat="1" ht="25.5">
      <c r="A52" s="69">
        <v>45</v>
      </c>
      <c r="B52" s="35" t="s">
        <v>45</v>
      </c>
      <c r="C52" s="644"/>
      <c r="F52" s="602"/>
    </row>
    <row r="53" spans="1:6" s="2" customFormat="1" ht="15.75" thickBot="1">
      <c r="A53" s="69">
        <v>46</v>
      </c>
      <c r="B53" s="70" t="s">
        <v>24</v>
      </c>
      <c r="C53" s="646">
        <f>C44-C48</f>
        <v>9179320</v>
      </c>
      <c r="F53" s="602"/>
    </row>
    <row r="56" spans="1:6">
      <c r="B56" s="1" t="s">
        <v>130</v>
      </c>
    </row>
  </sheetData>
  <dataValidations count="1">
    <dataValidation operator="lessThanOrEqual" allowBlank="1" showInputMessage="1" showErrorMessage="1" errorTitle="Should be negative number" error="Should be whole negative number or 0" sqref="C29:C32 C36:C44 C46: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showGridLines="0" zoomScale="80" zoomScaleNormal="80" workbookViewId="0"/>
  </sheetViews>
  <sheetFormatPr defaultColWidth="9.28515625" defaultRowHeight="12.75"/>
  <cols>
    <col min="1" max="1" width="10.7109375" style="1" bestFit="1" customWidth="1"/>
    <col min="2" max="2" width="59" style="1" customWidth="1"/>
    <col min="3" max="3" width="16.7109375" style="1" bestFit="1" customWidth="1"/>
    <col min="4" max="4" width="22.28515625" style="1" customWidth="1"/>
    <col min="5" max="16384" width="9.28515625" style="1"/>
  </cols>
  <sheetData>
    <row r="1" spans="1:6" ht="15">
      <c r="A1" s="13" t="s">
        <v>97</v>
      </c>
      <c r="B1" s="12" t="str">
        <f>Info!C2</f>
        <v>სს "ბანკი ქართუ"</v>
      </c>
    </row>
    <row r="2" spans="1:6" s="13" customFormat="1" ht="15.75" customHeight="1">
      <c r="A2" s="13" t="s">
        <v>98</v>
      </c>
      <c r="B2" s="593">
        <f>'1. key ratios'!B2</f>
        <v>46112</v>
      </c>
    </row>
    <row r="3" spans="1:6" s="13" customFormat="1" ht="15.75" customHeight="1"/>
    <row r="4" spans="1:6" ht="13.5" thickBot="1">
      <c r="A4" s="1" t="s">
        <v>345</v>
      </c>
      <c r="B4" s="198" t="s">
        <v>346</v>
      </c>
    </row>
    <row r="5" spans="1:6" s="30" customFormat="1">
      <c r="A5" s="755" t="s">
        <v>347</v>
      </c>
      <c r="B5" s="756"/>
      <c r="C5" s="188" t="s">
        <v>348</v>
      </c>
      <c r="D5" s="189" t="s">
        <v>349</v>
      </c>
    </row>
    <row r="6" spans="1:6" s="199" customFormat="1">
      <c r="A6" s="190">
        <v>1</v>
      </c>
      <c r="B6" s="191" t="s">
        <v>350</v>
      </c>
      <c r="C6" s="191"/>
      <c r="D6" s="192"/>
    </row>
    <row r="7" spans="1:6" s="199" customFormat="1">
      <c r="A7" s="193" t="s">
        <v>351</v>
      </c>
      <c r="B7" s="194" t="s">
        <v>352</v>
      </c>
      <c r="C7" s="214">
        <v>4.4999999999999998E-2</v>
      </c>
      <c r="D7" s="647">
        <f>C7*'5. RWA'!$C$13</f>
        <v>83409346.861711457</v>
      </c>
      <c r="F7" s="652"/>
    </row>
    <row r="8" spans="1:6" s="199" customFormat="1">
      <c r="A8" s="193" t="s">
        <v>353</v>
      </c>
      <c r="B8" s="194" t="s">
        <v>354</v>
      </c>
      <c r="C8" s="215">
        <v>0.06</v>
      </c>
      <c r="D8" s="647">
        <f>C8*'5. RWA'!$C$13</f>
        <v>111212462.48228194</v>
      </c>
      <c r="F8" s="652"/>
    </row>
    <row r="9" spans="1:6" s="199" customFormat="1">
      <c r="A9" s="193" t="s">
        <v>355</v>
      </c>
      <c r="B9" s="194" t="s">
        <v>356</v>
      </c>
      <c r="C9" s="215">
        <v>0.08</v>
      </c>
      <c r="D9" s="647">
        <f>C9*'5. RWA'!$C$13</f>
        <v>148283283.30970928</v>
      </c>
      <c r="F9" s="652"/>
    </row>
    <row r="10" spans="1:6" s="199" customFormat="1">
      <c r="A10" s="190" t="s">
        <v>357</v>
      </c>
      <c r="B10" s="191" t="s">
        <v>358</v>
      </c>
      <c r="C10" s="216"/>
      <c r="D10" s="648"/>
      <c r="F10" s="652"/>
    </row>
    <row r="11" spans="1:6" s="200" customFormat="1">
      <c r="A11" s="195" t="s">
        <v>359</v>
      </c>
      <c r="B11" s="196" t="s">
        <v>997</v>
      </c>
      <c r="C11" s="217">
        <v>2.5000000000000001E-2</v>
      </c>
      <c r="D11" s="649">
        <f>C11*'5. RWA'!$C$13</f>
        <v>46338526.034284145</v>
      </c>
      <c r="F11" s="652"/>
    </row>
    <row r="12" spans="1:6" s="200" customFormat="1">
      <c r="A12" s="195" t="s">
        <v>360</v>
      </c>
      <c r="B12" s="196" t="s">
        <v>361</v>
      </c>
      <c r="C12" s="217">
        <v>7.4999999999999997E-3</v>
      </c>
      <c r="D12" s="649">
        <f>C12*'5. RWA'!$C$13</f>
        <v>13901557.810285242</v>
      </c>
      <c r="F12" s="652"/>
    </row>
    <row r="13" spans="1:6" s="200" customFormat="1">
      <c r="A13" s="195" t="s">
        <v>362</v>
      </c>
      <c r="B13" s="196" t="s">
        <v>363</v>
      </c>
      <c r="C13" s="217">
        <v>0</v>
      </c>
      <c r="D13" s="649">
        <f>C13*'5. RWA'!$C$13</f>
        <v>0</v>
      </c>
      <c r="F13" s="652"/>
    </row>
    <row r="14" spans="1:6" s="199" customFormat="1">
      <c r="A14" s="190" t="s">
        <v>364</v>
      </c>
      <c r="B14" s="191" t="s">
        <v>409</v>
      </c>
      <c r="C14" s="218"/>
      <c r="D14" s="648"/>
      <c r="F14" s="652"/>
    </row>
    <row r="15" spans="1:6" s="199" customFormat="1">
      <c r="A15" s="207" t="s">
        <v>367</v>
      </c>
      <c r="B15" s="196" t="s">
        <v>410</v>
      </c>
      <c r="C15" s="217">
        <v>9.430116418093154E-2</v>
      </c>
      <c r="D15" s="649">
        <f>C15*'5. RWA'!$C$13</f>
        <v>174791078.05845597</v>
      </c>
      <c r="F15" s="652"/>
    </row>
    <row r="16" spans="1:6" s="199" customFormat="1">
      <c r="A16" s="207" t="s">
        <v>368</v>
      </c>
      <c r="B16" s="196" t="s">
        <v>370</v>
      </c>
      <c r="C16" s="217">
        <v>0.1125514324942519</v>
      </c>
      <c r="D16" s="649">
        <f>C16*'5. RWA'!$C$13</f>
        <v>208618699.39323464</v>
      </c>
      <c r="F16" s="652"/>
    </row>
    <row r="17" spans="1:6" s="199" customFormat="1">
      <c r="A17" s="207" t="s">
        <v>369</v>
      </c>
      <c r="B17" s="196" t="s">
        <v>407</v>
      </c>
      <c r="C17" s="217">
        <v>0.13656494343283132</v>
      </c>
      <c r="D17" s="649">
        <f>C17*'5. RWA'!$C$13</f>
        <v>253128727.46531183</v>
      </c>
      <c r="F17" s="652"/>
    </row>
    <row r="18" spans="1:6" s="30" customFormat="1">
      <c r="A18" s="757" t="s">
        <v>408</v>
      </c>
      <c r="B18" s="758"/>
      <c r="C18" s="219" t="s">
        <v>348</v>
      </c>
      <c r="D18" s="650" t="s">
        <v>349</v>
      </c>
      <c r="F18" s="652"/>
    </row>
    <row r="19" spans="1:6" s="199" customFormat="1">
      <c r="A19" s="197">
        <v>4</v>
      </c>
      <c r="B19" s="196" t="s">
        <v>22</v>
      </c>
      <c r="C19" s="217">
        <f>C7+C11+C12+C13+C15</f>
        <v>0.17180116418093155</v>
      </c>
      <c r="D19" s="647">
        <f>C19*'5. RWA'!$C$13</f>
        <v>318440508.76473683</v>
      </c>
      <c r="F19" s="652"/>
    </row>
    <row r="20" spans="1:6" s="199" customFormat="1">
      <c r="A20" s="197">
        <v>5</v>
      </c>
      <c r="B20" s="196" t="s">
        <v>75</v>
      </c>
      <c r="C20" s="217">
        <f>C8+C11+C12+C13+C16</f>
        <v>0.2050514324942519</v>
      </c>
      <c r="D20" s="647">
        <f>C20*'5. RWA'!$C$13</f>
        <v>380071245.72008598</v>
      </c>
      <c r="F20" s="652"/>
    </row>
    <row r="21" spans="1:6" s="199" customFormat="1" ht="13.5" thickBot="1">
      <c r="A21" s="201" t="s">
        <v>365</v>
      </c>
      <c r="B21" s="202" t="s">
        <v>74</v>
      </c>
      <c r="C21" s="220">
        <f>C9+C11+C12+C13+C17</f>
        <v>0.24906494343283134</v>
      </c>
      <c r="D21" s="651">
        <f>C21*'5. RWA'!$C$13</f>
        <v>461652094.61959052</v>
      </c>
      <c r="F21" s="652"/>
    </row>
    <row r="23" spans="1:6">
      <c r="B23" s="1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C6" sqref="C6"/>
    </sheetView>
  </sheetViews>
  <sheetFormatPr defaultRowHeight="15"/>
  <cols>
    <col min="1" max="1" width="107.140625" bestFit="1" customWidth="1"/>
    <col min="2" max="2" width="50.85546875" bestFit="1" customWidth="1"/>
    <col min="3" max="3" width="28.140625" bestFit="1" customWidth="1"/>
    <col min="4" max="4" width="28.28515625" customWidth="1"/>
    <col min="5" max="7" width="28.140625" customWidth="1"/>
  </cols>
  <sheetData>
    <row r="1" spans="1:2">
      <c r="A1" s="506" t="s">
        <v>97</v>
      </c>
      <c r="B1" s="12" t="str">
        <f>Info!C2</f>
        <v>სს "ბანკი ქართუ"</v>
      </c>
    </row>
    <row r="2" spans="1:2">
      <c r="A2" s="506" t="s">
        <v>98</v>
      </c>
      <c r="B2" s="593">
        <f>'1. key ratios'!B2</f>
        <v>46112</v>
      </c>
    </row>
    <row r="3" spans="1:2">
      <c r="A3" s="507" t="s">
        <v>948</v>
      </c>
      <c r="B3" s="502" t="s">
        <v>919</v>
      </c>
    </row>
    <row r="4" spans="1:2" ht="15.75" thickBot="1"/>
    <row r="5" spans="1:2">
      <c r="A5" s="512"/>
      <c r="B5" s="513" t="s">
        <v>920</v>
      </c>
    </row>
    <row r="6" spans="1:2">
      <c r="A6" s="508" t="s">
        <v>921</v>
      </c>
      <c r="B6" s="514">
        <f>SUM(B7,B11)</f>
        <v>533751613.31191629</v>
      </c>
    </row>
    <row r="7" spans="1:2">
      <c r="A7" s="508" t="s">
        <v>954</v>
      </c>
      <c r="B7" s="514">
        <f>SUM(B8:B10)</f>
        <v>533751613.31191629</v>
      </c>
    </row>
    <row r="8" spans="1:2">
      <c r="A8" s="509" t="s">
        <v>922</v>
      </c>
      <c r="B8" s="515">
        <f>'9. Capital'!C29</f>
        <v>451677693.31191629</v>
      </c>
    </row>
    <row r="9" spans="1:2">
      <c r="A9" s="509" t="s">
        <v>923</v>
      </c>
      <c r="B9" s="515">
        <f>'9. Capital'!C42</f>
        <v>72894600.000000015</v>
      </c>
    </row>
    <row r="10" spans="1:2">
      <c r="A10" s="509" t="s">
        <v>924</v>
      </c>
      <c r="B10" s="515">
        <f>'9. Capital'!C53</f>
        <v>9179320</v>
      </c>
    </row>
    <row r="11" spans="1:2">
      <c r="A11" s="508" t="s">
        <v>925</v>
      </c>
      <c r="B11" s="514">
        <f>SUM(B12:B13)</f>
        <v>0</v>
      </c>
    </row>
    <row r="12" spans="1:2">
      <c r="A12" s="509" t="s">
        <v>955</v>
      </c>
      <c r="B12" s="515"/>
    </row>
    <row r="13" spans="1:2">
      <c r="A13" s="509" t="s">
        <v>956</v>
      </c>
      <c r="B13" s="515"/>
    </row>
    <row r="14" spans="1:2">
      <c r="A14" s="508" t="s">
        <v>926</v>
      </c>
      <c r="B14" s="514">
        <f>SUM(B15:B16)</f>
        <v>533751613.31191629</v>
      </c>
    </row>
    <row r="15" spans="1:2">
      <c r="A15" s="510" t="s">
        <v>927</v>
      </c>
      <c r="B15" s="515"/>
    </row>
    <row r="16" spans="1:2">
      <c r="A16" s="510" t="s">
        <v>74</v>
      </c>
      <c r="B16" s="515">
        <f>B7</f>
        <v>533751613.31191629</v>
      </c>
    </row>
    <row r="17" spans="1:5">
      <c r="A17" s="508" t="s">
        <v>928</v>
      </c>
      <c r="B17" s="514"/>
    </row>
    <row r="18" spans="1:5">
      <c r="A18" s="510" t="s">
        <v>929</v>
      </c>
      <c r="B18" s="515">
        <f>'5. RWA'!C13</f>
        <v>1853541041.3713658</v>
      </c>
    </row>
    <row r="19" spans="1:5">
      <c r="A19" s="510" t="s">
        <v>930</v>
      </c>
      <c r="B19" s="515">
        <f>'15.1. LR'!C36</f>
        <v>0</v>
      </c>
    </row>
    <row r="20" spans="1:5">
      <c r="A20" s="508" t="s">
        <v>931</v>
      </c>
      <c r="B20" s="514"/>
    </row>
    <row r="21" spans="1:5">
      <c r="A21" s="511" t="s">
        <v>932</v>
      </c>
      <c r="B21" s="516">
        <f>IFERROR(B6/B18,0)</f>
        <v>0.28796320200010972</v>
      </c>
    </row>
    <row r="22" spans="1:5">
      <c r="A22" s="511" t="s">
        <v>933</v>
      </c>
      <c r="B22" s="516">
        <f>IFERROR(B6/B19,0)</f>
        <v>0</v>
      </c>
    </row>
    <row r="23" spans="1:5" ht="15.75" thickBot="1">
      <c r="A23" s="517" t="s">
        <v>934</v>
      </c>
      <c r="B23" s="518">
        <f>IFERROR(B6/B14,0)</f>
        <v>1</v>
      </c>
    </row>
    <row r="24" spans="1:5" ht="16.5" customHeight="1">
      <c r="A24" s="505" t="s">
        <v>957</v>
      </c>
      <c r="B24" s="503"/>
      <c r="C24" s="503"/>
      <c r="D24" s="503"/>
      <c r="E24" s="503"/>
    </row>
    <row r="25" spans="1:5" ht="25.5" customHeight="1">
      <c r="A25" s="505" t="s">
        <v>958</v>
      </c>
    </row>
    <row r="26" spans="1:5" ht="57" customHeight="1">
      <c r="A26" s="505" t="s">
        <v>959</v>
      </c>
    </row>
    <row r="27" spans="1:5">
      <c r="A27" s="504"/>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B30" sqref="B30"/>
    </sheetView>
  </sheetViews>
  <sheetFormatPr defaultRowHeight="15"/>
  <cols>
    <col min="1" max="1" width="82" customWidth="1"/>
    <col min="2" max="2" width="28.140625" bestFit="1" customWidth="1"/>
    <col min="3" max="3" width="28.28515625" customWidth="1"/>
    <col min="4" max="6" width="28.140625" customWidth="1"/>
  </cols>
  <sheetData>
    <row r="1" spans="1:6">
      <c r="A1" s="506" t="s">
        <v>97</v>
      </c>
      <c r="B1" s="12" t="str">
        <f>Info!C2</f>
        <v>სს "ბანკი ქართუ"</v>
      </c>
      <c r="C1" s="1"/>
    </row>
    <row r="2" spans="1:6">
      <c r="A2" s="506" t="s">
        <v>98</v>
      </c>
      <c r="B2" s="593">
        <f>'1. key ratios'!B2</f>
        <v>46112</v>
      </c>
      <c r="C2" s="1"/>
    </row>
    <row r="3" spans="1:6">
      <c r="A3" s="507" t="s">
        <v>949</v>
      </c>
      <c r="B3" s="502" t="s">
        <v>919</v>
      </c>
      <c r="C3" s="1"/>
    </row>
    <row r="5" spans="1:6">
      <c r="A5" s="504"/>
    </row>
    <row r="6" spans="1:6" ht="15.75" thickBot="1">
      <c r="A6" s="519"/>
      <c r="B6" s="519"/>
      <c r="C6" s="519"/>
      <c r="D6" s="519"/>
      <c r="E6" s="519"/>
      <c r="F6" s="519"/>
    </row>
    <row r="7" spans="1:6">
      <c r="A7" s="759"/>
      <c r="B7" s="761" t="s">
        <v>935</v>
      </c>
      <c r="C7" s="761"/>
      <c r="D7" s="761"/>
      <c r="E7" s="761"/>
      <c r="F7" s="762" t="s">
        <v>936</v>
      </c>
    </row>
    <row r="8" spans="1:6" ht="25.5">
      <c r="A8" s="760"/>
      <c r="B8" s="520" t="s">
        <v>937</v>
      </c>
      <c r="C8" s="520" t="s">
        <v>938</v>
      </c>
      <c r="D8" s="520" t="s">
        <v>939</v>
      </c>
      <c r="E8" s="520" t="s">
        <v>940</v>
      </c>
      <c r="F8" s="763"/>
    </row>
    <row r="9" spans="1:6">
      <c r="A9" s="521" t="s">
        <v>941</v>
      </c>
      <c r="B9" s="522">
        <f>B13+B17</f>
        <v>0</v>
      </c>
      <c r="C9" s="522">
        <f t="shared" ref="C9:E9" si="0">C13+C17</f>
        <v>0</v>
      </c>
      <c r="D9" s="522">
        <f t="shared" si="0"/>
        <v>0</v>
      </c>
      <c r="E9" s="522">
        <f t="shared" si="0"/>
        <v>0</v>
      </c>
      <c r="F9" s="523">
        <f>F13+F17</f>
        <v>0</v>
      </c>
    </row>
    <row r="10" spans="1:6">
      <c r="A10" s="524" t="s">
        <v>942</v>
      </c>
      <c r="B10" s="525">
        <f t="shared" ref="B10:E12" si="1">B14+B18</f>
        <v>0</v>
      </c>
      <c r="C10" s="525">
        <f t="shared" si="1"/>
        <v>0</v>
      </c>
      <c r="D10" s="525">
        <f t="shared" si="1"/>
        <v>0</v>
      </c>
      <c r="E10" s="525">
        <f t="shared" si="1"/>
        <v>0</v>
      </c>
      <c r="F10" s="523">
        <f>SUM(B10:E10)</f>
        <v>0</v>
      </c>
    </row>
    <row r="11" spans="1:6">
      <c r="A11" s="524" t="s">
        <v>943</v>
      </c>
      <c r="B11" s="525">
        <f t="shared" si="1"/>
        <v>0</v>
      </c>
      <c r="C11" s="525">
        <f t="shared" si="1"/>
        <v>0</v>
      </c>
      <c r="D11" s="525">
        <f t="shared" si="1"/>
        <v>0</v>
      </c>
      <c r="E11" s="525">
        <f t="shared" si="1"/>
        <v>0</v>
      </c>
      <c r="F11" s="523">
        <f t="shared" ref="F11:F12" si="2">SUM(B11:E11)</f>
        <v>0</v>
      </c>
    </row>
    <row r="12" spans="1:6">
      <c r="A12" s="526" t="s">
        <v>944</v>
      </c>
      <c r="B12" s="525">
        <f t="shared" si="1"/>
        <v>0</v>
      </c>
      <c r="C12" s="525">
        <f t="shared" si="1"/>
        <v>0</v>
      </c>
      <c r="D12" s="525">
        <f t="shared" si="1"/>
        <v>0</v>
      </c>
      <c r="E12" s="525">
        <f t="shared" si="1"/>
        <v>0</v>
      </c>
      <c r="F12" s="523">
        <f t="shared" si="2"/>
        <v>0</v>
      </c>
    </row>
    <row r="13" spans="1:6">
      <c r="A13" s="527" t="s">
        <v>945</v>
      </c>
      <c r="B13" s="528"/>
      <c r="C13" s="528"/>
      <c r="D13" s="528"/>
      <c r="E13" s="528"/>
      <c r="F13" s="529"/>
    </row>
    <row r="14" spans="1:6">
      <c r="A14" s="524" t="s">
        <v>942</v>
      </c>
      <c r="B14" s="530"/>
      <c r="C14" s="530"/>
      <c r="D14" s="530"/>
      <c r="E14" s="530"/>
      <c r="F14" s="531"/>
    </row>
    <row r="15" spans="1:6">
      <c r="A15" s="524" t="s">
        <v>943</v>
      </c>
      <c r="B15" s="530"/>
      <c r="C15" s="530"/>
      <c r="D15" s="530"/>
      <c r="E15" s="530"/>
      <c r="F15" s="531"/>
    </row>
    <row r="16" spans="1:6">
      <c r="A16" s="526" t="s">
        <v>944</v>
      </c>
      <c r="B16" s="530"/>
      <c r="C16" s="530"/>
      <c r="D16" s="530"/>
      <c r="E16" s="530"/>
      <c r="F16" s="531"/>
    </row>
    <row r="17" spans="1:6">
      <c r="A17" s="527" t="s">
        <v>925</v>
      </c>
      <c r="B17" s="528"/>
      <c r="C17" s="528"/>
      <c r="D17" s="528"/>
      <c r="E17" s="528"/>
      <c r="F17" s="531"/>
    </row>
    <row r="18" spans="1:6">
      <c r="A18" s="524" t="s">
        <v>942</v>
      </c>
      <c r="B18" s="530"/>
      <c r="C18" s="530"/>
      <c r="D18" s="530"/>
      <c r="E18" s="530"/>
      <c r="F18" s="531"/>
    </row>
    <row r="19" spans="1:6">
      <c r="A19" s="524" t="s">
        <v>943</v>
      </c>
      <c r="B19" s="530"/>
      <c r="C19" s="530"/>
      <c r="D19" s="530"/>
      <c r="E19" s="530"/>
      <c r="F19" s="531"/>
    </row>
    <row r="20" spans="1:6" ht="15.75" thickBot="1">
      <c r="A20" s="532" t="s">
        <v>944</v>
      </c>
      <c r="B20" s="533"/>
      <c r="C20" s="533"/>
      <c r="D20" s="533"/>
      <c r="E20" s="533"/>
      <c r="F20" s="534"/>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G68"/>
  <sheetViews>
    <sheetView showGridLines="0" zoomScale="80" zoomScaleNormal="80" workbookViewId="0">
      <pane xSplit="1" ySplit="5" topLeftCell="B6" activePane="bottomRight" state="frozen"/>
      <selection activeCell="B30" sqref="B30"/>
      <selection pane="topRight" activeCell="B30" sqref="B30"/>
      <selection pane="bottomLeft" activeCell="B30" sqref="B30"/>
      <selection pane="bottomRight"/>
    </sheetView>
  </sheetViews>
  <sheetFormatPr defaultRowHeight="15.75"/>
  <cols>
    <col min="1" max="1" width="10.7109375" style="31" customWidth="1"/>
    <col min="2" max="2" width="91.7109375" style="31" customWidth="1"/>
    <col min="3" max="3" width="53.28515625" style="654" customWidth="1"/>
    <col min="4" max="4" width="32.28515625" style="31" customWidth="1"/>
    <col min="5" max="5" width="9.42578125" customWidth="1"/>
    <col min="7" max="7" width="17" bestFit="1" customWidth="1"/>
  </cols>
  <sheetData>
    <row r="1" spans="1:7">
      <c r="A1" s="13" t="s">
        <v>97</v>
      </c>
      <c r="B1" s="14" t="str">
        <f>Info!C2</f>
        <v>სს "ბანკი ქართუ"</v>
      </c>
      <c r="E1" s="1"/>
      <c r="F1" s="1"/>
    </row>
    <row r="2" spans="1:7" s="13" customFormat="1" ht="15.75" customHeight="1">
      <c r="A2" s="13" t="s">
        <v>98</v>
      </c>
      <c r="B2" s="593">
        <f>'1. key ratios'!B2</f>
        <v>46112</v>
      </c>
      <c r="C2" s="639"/>
    </row>
    <row r="3" spans="1:7" s="13" customFormat="1" ht="15.75" customHeight="1">
      <c r="A3" s="19"/>
      <c r="C3" s="639"/>
    </row>
    <row r="4" spans="1:7" s="13" customFormat="1" ht="15.75" customHeight="1" thickBot="1">
      <c r="A4" s="13" t="s">
        <v>247</v>
      </c>
      <c r="B4" s="110" t="s">
        <v>161</v>
      </c>
      <c r="C4" s="639"/>
      <c r="D4" s="112" t="s">
        <v>76</v>
      </c>
    </row>
    <row r="5" spans="1:7" ht="25.5">
      <c r="A5" s="76" t="s">
        <v>25</v>
      </c>
      <c r="B5" s="77" t="s">
        <v>133</v>
      </c>
      <c r="C5" s="655" t="s">
        <v>826</v>
      </c>
      <c r="D5" s="111" t="s">
        <v>162</v>
      </c>
    </row>
    <row r="6" spans="1:7">
      <c r="A6" s="355">
        <v>1</v>
      </c>
      <c r="B6" s="318" t="s">
        <v>811</v>
      </c>
      <c r="C6" s="656">
        <f>SUM(C7:C9)</f>
        <v>611108459.22650898</v>
      </c>
      <c r="D6" s="71"/>
      <c r="E6" s="4"/>
      <c r="G6" s="602"/>
    </row>
    <row r="7" spans="1:7">
      <c r="A7" s="355">
        <v>1.1000000000000001</v>
      </c>
      <c r="B7" s="319" t="s">
        <v>85</v>
      </c>
      <c r="C7" s="653">
        <v>36956636.684</v>
      </c>
      <c r="D7" s="72"/>
      <c r="E7" s="4"/>
      <c r="G7" s="602"/>
    </row>
    <row r="8" spans="1:7">
      <c r="A8" s="355">
        <v>1.2</v>
      </c>
      <c r="B8" s="319" t="s">
        <v>86</v>
      </c>
      <c r="C8" s="653">
        <v>267686109.90480268</v>
      </c>
      <c r="D8" s="72"/>
      <c r="E8" s="4"/>
      <c r="G8" s="602"/>
    </row>
    <row r="9" spans="1:7">
      <c r="A9" s="355">
        <v>1.3</v>
      </c>
      <c r="B9" s="319" t="s">
        <v>87</v>
      </c>
      <c r="C9" s="653">
        <v>306465712.63770628</v>
      </c>
      <c r="D9" s="72"/>
      <c r="E9" s="4"/>
      <c r="G9" s="602"/>
    </row>
    <row r="10" spans="1:7">
      <c r="A10" s="355">
        <v>2</v>
      </c>
      <c r="B10" s="320" t="s">
        <v>698</v>
      </c>
      <c r="C10" s="653">
        <v>0</v>
      </c>
      <c r="D10" s="72"/>
      <c r="E10" s="4"/>
      <c r="G10" s="602"/>
    </row>
    <row r="11" spans="1:7">
      <c r="A11" s="355">
        <v>2.1</v>
      </c>
      <c r="B11" s="321" t="s">
        <v>699</v>
      </c>
      <c r="C11" s="653">
        <v>0</v>
      </c>
      <c r="D11" s="73"/>
      <c r="E11" s="5"/>
      <c r="G11" s="602"/>
    </row>
    <row r="12" spans="1:7" ht="23.65" customHeight="1">
      <c r="A12" s="355">
        <v>3</v>
      </c>
      <c r="B12" s="322" t="s">
        <v>700</v>
      </c>
      <c r="C12" s="653">
        <v>0</v>
      </c>
      <c r="D12" s="73"/>
      <c r="E12" s="5"/>
      <c r="G12" s="602"/>
    </row>
    <row r="13" spans="1:7" ht="22.9" customHeight="1">
      <c r="A13" s="355">
        <v>4</v>
      </c>
      <c r="B13" s="323" t="s">
        <v>701</v>
      </c>
      <c r="C13" s="653">
        <v>0</v>
      </c>
      <c r="D13" s="73"/>
      <c r="E13" s="5"/>
      <c r="G13" s="602"/>
    </row>
    <row r="14" spans="1:7">
      <c r="A14" s="355">
        <v>5</v>
      </c>
      <c r="B14" s="323" t="s">
        <v>702</v>
      </c>
      <c r="C14" s="657">
        <f>SUM(C15:C17)</f>
        <v>175637.53</v>
      </c>
      <c r="D14" s="73"/>
      <c r="E14" s="5"/>
      <c r="G14" s="602"/>
    </row>
    <row r="15" spans="1:7">
      <c r="A15" s="355">
        <v>5.0999999999999996</v>
      </c>
      <c r="B15" s="324" t="s">
        <v>703</v>
      </c>
      <c r="C15" s="653">
        <v>175637.53</v>
      </c>
      <c r="D15" s="73"/>
      <c r="E15" s="4"/>
      <c r="G15" s="602"/>
    </row>
    <row r="16" spans="1:7">
      <c r="A16" s="355">
        <v>5.2</v>
      </c>
      <c r="B16" s="324" t="s">
        <v>538</v>
      </c>
      <c r="C16" s="653">
        <v>0</v>
      </c>
      <c r="D16" s="72"/>
      <c r="E16" s="4"/>
      <c r="G16" s="602"/>
    </row>
    <row r="17" spans="1:7">
      <c r="A17" s="355">
        <v>5.3</v>
      </c>
      <c r="B17" s="324" t="s">
        <v>704</v>
      </c>
      <c r="C17" s="653">
        <v>0</v>
      </c>
      <c r="D17" s="72"/>
      <c r="E17" s="4"/>
      <c r="G17" s="602"/>
    </row>
    <row r="18" spans="1:7">
      <c r="A18" s="355">
        <v>6</v>
      </c>
      <c r="B18" s="322" t="s">
        <v>705</v>
      </c>
      <c r="C18" s="658">
        <f>SUM(C19:C20)</f>
        <v>1216977378.2976139</v>
      </c>
      <c r="D18" s="72"/>
      <c r="E18" s="4"/>
      <c r="G18" s="602"/>
    </row>
    <row r="19" spans="1:7">
      <c r="A19" s="355">
        <v>6.1</v>
      </c>
      <c r="B19" s="324" t="s">
        <v>538</v>
      </c>
      <c r="C19" s="653">
        <v>75889429.706043974</v>
      </c>
      <c r="D19" s="72"/>
      <c r="E19" s="4"/>
      <c r="G19" s="602"/>
    </row>
    <row r="20" spans="1:7">
      <c r="A20" s="355">
        <v>6.2</v>
      </c>
      <c r="B20" s="324" t="s">
        <v>704</v>
      </c>
      <c r="C20" s="653">
        <v>1141087948.5915699</v>
      </c>
      <c r="D20" s="72"/>
      <c r="E20" s="4"/>
      <c r="G20" s="602"/>
    </row>
    <row r="21" spans="1:7">
      <c r="A21" s="355">
        <v>7</v>
      </c>
      <c r="B21" s="325" t="s">
        <v>706</v>
      </c>
      <c r="C21" s="653">
        <v>9772300</v>
      </c>
      <c r="D21" s="72"/>
      <c r="E21" s="4"/>
      <c r="G21" s="602"/>
    </row>
    <row r="22" spans="1:7">
      <c r="A22" s="355">
        <v>8</v>
      </c>
      <c r="B22" s="326" t="s">
        <v>707</v>
      </c>
      <c r="C22" s="653">
        <v>0</v>
      </c>
      <c r="D22" s="72"/>
      <c r="E22" s="4"/>
      <c r="G22" s="602"/>
    </row>
    <row r="23" spans="1:7">
      <c r="A23" s="355">
        <v>9</v>
      </c>
      <c r="B23" s="323" t="s">
        <v>708</v>
      </c>
      <c r="C23" s="658">
        <f>SUM(C24:C25)</f>
        <v>24285653.962592997</v>
      </c>
      <c r="D23" s="375"/>
      <c r="E23" s="4"/>
      <c r="G23" s="602"/>
    </row>
    <row r="24" spans="1:7">
      <c r="A24" s="355">
        <v>9.1</v>
      </c>
      <c r="B24" s="327" t="s">
        <v>709</v>
      </c>
      <c r="C24" s="653">
        <v>24285653.962592997</v>
      </c>
      <c r="D24" s="74"/>
      <c r="E24" s="4"/>
      <c r="G24" s="602"/>
    </row>
    <row r="25" spans="1:7">
      <c r="A25" s="355">
        <v>9.1999999999999993</v>
      </c>
      <c r="B25" s="327" t="s">
        <v>710</v>
      </c>
      <c r="C25" s="653">
        <v>0</v>
      </c>
      <c r="D25" s="374"/>
      <c r="E25" s="3"/>
      <c r="G25" s="602"/>
    </row>
    <row r="26" spans="1:7">
      <c r="A26" s="355">
        <v>10</v>
      </c>
      <c r="B26" s="323" t="s">
        <v>36</v>
      </c>
      <c r="C26" s="659">
        <f>SUM(C27:C28)</f>
        <v>15625069.66</v>
      </c>
      <c r="D26" s="499" t="s">
        <v>903</v>
      </c>
      <c r="E26" s="4"/>
      <c r="G26" s="602"/>
    </row>
    <row r="27" spans="1:7">
      <c r="A27" s="355">
        <v>10.1</v>
      </c>
      <c r="B27" s="327" t="s">
        <v>711</v>
      </c>
      <c r="C27" s="653">
        <v>0</v>
      </c>
      <c r="D27" s="72"/>
      <c r="E27" s="4"/>
      <c r="G27" s="602"/>
    </row>
    <row r="28" spans="1:7">
      <c r="A28" s="355">
        <v>10.199999999999999</v>
      </c>
      <c r="B28" s="327" t="s">
        <v>712</v>
      </c>
      <c r="C28" s="653">
        <v>15625069.66</v>
      </c>
      <c r="D28" s="72"/>
      <c r="E28" s="4"/>
      <c r="G28" s="602"/>
    </row>
    <row r="29" spans="1:7">
      <c r="A29" s="355">
        <v>11</v>
      </c>
      <c r="B29" s="323" t="s">
        <v>713</v>
      </c>
      <c r="C29" s="658">
        <f>SUM(C30:C31)</f>
        <v>4209254.1011789693</v>
      </c>
      <c r="D29" s="72"/>
      <c r="E29" s="4"/>
      <c r="G29" s="602"/>
    </row>
    <row r="30" spans="1:7">
      <c r="A30" s="355">
        <v>11.1</v>
      </c>
      <c r="B30" s="327" t="s">
        <v>714</v>
      </c>
      <c r="C30" s="653">
        <v>4209254.1011789693</v>
      </c>
      <c r="D30" s="72"/>
      <c r="E30" s="4"/>
      <c r="G30" s="602"/>
    </row>
    <row r="31" spans="1:7">
      <c r="A31" s="355">
        <v>11.2</v>
      </c>
      <c r="B31" s="327" t="s">
        <v>715</v>
      </c>
      <c r="C31" s="653">
        <v>0</v>
      </c>
      <c r="D31" s="72"/>
      <c r="E31" s="4"/>
      <c r="G31" s="602"/>
    </row>
    <row r="32" spans="1:7">
      <c r="A32" s="355">
        <v>13</v>
      </c>
      <c r="B32" s="323" t="s">
        <v>88</v>
      </c>
      <c r="C32" s="653">
        <v>52191562.722066104</v>
      </c>
      <c r="D32" s="72"/>
      <c r="E32" s="4"/>
      <c r="G32" s="602"/>
    </row>
    <row r="33" spans="1:7">
      <c r="A33" s="355">
        <v>13.1</v>
      </c>
      <c r="B33" s="328" t="s">
        <v>716</v>
      </c>
      <c r="C33" s="653">
        <v>49523125.673766106</v>
      </c>
      <c r="D33" s="72"/>
      <c r="E33" s="4"/>
      <c r="G33" s="602"/>
    </row>
    <row r="34" spans="1:7">
      <c r="A34" s="355">
        <v>13.2</v>
      </c>
      <c r="B34" s="328" t="s">
        <v>717</v>
      </c>
      <c r="C34" s="653">
        <v>0</v>
      </c>
      <c r="D34" s="74"/>
      <c r="E34" s="4"/>
      <c r="G34" s="602"/>
    </row>
    <row r="35" spans="1:7">
      <c r="A35" s="355">
        <v>14</v>
      </c>
      <c r="B35" s="329" t="s">
        <v>718</v>
      </c>
      <c r="C35" s="660">
        <f>SUM(C6,C10,C12,C13,C14,C18,C21,C22,C23,C26,C29,C32)</f>
        <v>1934345315.4999611</v>
      </c>
      <c r="D35" s="74"/>
      <c r="E35" s="4"/>
      <c r="G35" s="602"/>
    </row>
    <row r="36" spans="1:7">
      <c r="A36" s="355"/>
      <c r="B36" s="330" t="s">
        <v>93</v>
      </c>
      <c r="C36" s="661"/>
      <c r="D36" s="75"/>
      <c r="E36" s="4"/>
      <c r="G36" s="602"/>
    </row>
    <row r="37" spans="1:7">
      <c r="A37" s="355">
        <v>15</v>
      </c>
      <c r="B37" s="331" t="s">
        <v>719</v>
      </c>
      <c r="C37" s="653">
        <v>0</v>
      </c>
      <c r="D37" s="374"/>
      <c r="E37" s="3"/>
      <c r="G37" s="602"/>
    </row>
    <row r="38" spans="1:7">
      <c r="A38" s="355">
        <v>15.1</v>
      </c>
      <c r="B38" s="332" t="s">
        <v>699</v>
      </c>
      <c r="C38" s="653">
        <v>0</v>
      </c>
      <c r="D38" s="72"/>
      <c r="E38" s="4"/>
      <c r="G38" s="602"/>
    </row>
    <row r="39" spans="1:7" ht="21">
      <c r="A39" s="355">
        <v>16</v>
      </c>
      <c r="B39" s="325" t="s">
        <v>720</v>
      </c>
      <c r="C39" s="653">
        <v>0</v>
      </c>
      <c r="D39" s="72"/>
      <c r="E39" s="4"/>
      <c r="G39" s="602"/>
    </row>
    <row r="40" spans="1:7">
      <c r="A40" s="355">
        <v>17</v>
      </c>
      <c r="B40" s="325" t="s">
        <v>721</v>
      </c>
      <c r="C40" s="658">
        <f>SUM(C41:C44)</f>
        <v>1351910470.1443636</v>
      </c>
      <c r="D40" s="72"/>
      <c r="E40" s="4"/>
      <c r="G40" s="602"/>
    </row>
    <row r="41" spans="1:7">
      <c r="A41" s="355">
        <v>17.100000000000001</v>
      </c>
      <c r="B41" s="333" t="s">
        <v>722</v>
      </c>
      <c r="C41" s="653">
        <v>1341552745.5317001</v>
      </c>
      <c r="D41" s="72"/>
      <c r="E41" s="4"/>
      <c r="G41" s="602"/>
    </row>
    <row r="42" spans="1:7">
      <c r="A42" s="366">
        <v>17.2</v>
      </c>
      <c r="B42" s="367" t="s">
        <v>89</v>
      </c>
      <c r="C42" s="653">
        <v>0</v>
      </c>
      <c r="D42" s="74"/>
      <c r="E42" s="4"/>
      <c r="G42" s="602"/>
    </row>
    <row r="43" spans="1:7">
      <c r="A43" s="355">
        <v>17.3</v>
      </c>
      <c r="B43" s="368" t="s">
        <v>723</v>
      </c>
      <c r="C43" s="653">
        <v>0</v>
      </c>
      <c r="D43" s="369"/>
      <c r="E43" s="4"/>
      <c r="G43" s="602"/>
    </row>
    <row r="44" spans="1:7">
      <c r="A44" s="355">
        <v>17.399999999999999</v>
      </c>
      <c r="B44" s="368" t="s">
        <v>724</v>
      </c>
      <c r="C44" s="653">
        <v>10357724.6126635</v>
      </c>
      <c r="D44" s="369"/>
      <c r="E44" s="4"/>
      <c r="G44" s="602"/>
    </row>
    <row r="45" spans="1:7">
      <c r="A45" s="355">
        <v>18</v>
      </c>
      <c r="B45" s="341" t="s">
        <v>725</v>
      </c>
      <c r="C45" s="653">
        <v>560553.1052087961</v>
      </c>
      <c r="D45" s="369"/>
      <c r="E45" s="3"/>
      <c r="G45" s="602"/>
    </row>
    <row r="46" spans="1:7">
      <c r="A46" s="355">
        <v>19</v>
      </c>
      <c r="B46" s="341" t="s">
        <v>726</v>
      </c>
      <c r="C46" s="662">
        <f>SUM(C47:C48)</f>
        <v>3260361.480872714</v>
      </c>
      <c r="D46" s="370"/>
      <c r="G46" s="602"/>
    </row>
    <row r="47" spans="1:7">
      <c r="A47" s="355">
        <v>19.100000000000001</v>
      </c>
      <c r="B47" s="371" t="s">
        <v>727</v>
      </c>
      <c r="C47" s="653">
        <v>0</v>
      </c>
      <c r="D47" s="370"/>
      <c r="G47" s="602"/>
    </row>
    <row r="48" spans="1:7">
      <c r="A48" s="355">
        <v>19.2</v>
      </c>
      <c r="B48" s="371" t="s">
        <v>728</v>
      </c>
      <c r="C48" s="653">
        <v>3260361.480872714</v>
      </c>
      <c r="D48" s="370"/>
      <c r="G48" s="602"/>
    </row>
    <row r="49" spans="1:7">
      <c r="A49" s="355">
        <v>20</v>
      </c>
      <c r="B49" s="337" t="s">
        <v>90</v>
      </c>
      <c r="C49" s="653">
        <v>81463938.573199779</v>
      </c>
      <c r="D49" s="499" t="s">
        <v>1028</v>
      </c>
      <c r="G49" s="602"/>
    </row>
    <row r="50" spans="1:7">
      <c r="A50" s="355">
        <v>21</v>
      </c>
      <c r="B50" s="338" t="s">
        <v>78</v>
      </c>
      <c r="C50" s="653">
        <v>6001888.4269000003</v>
      </c>
      <c r="D50" s="370"/>
      <c r="G50" s="602"/>
    </row>
    <row r="51" spans="1:7">
      <c r="A51" s="355">
        <v>21.1</v>
      </c>
      <c r="B51" s="334" t="s">
        <v>729</v>
      </c>
      <c r="C51" s="653">
        <v>0</v>
      </c>
      <c r="D51" s="370"/>
      <c r="G51" s="602"/>
    </row>
    <row r="52" spans="1:7">
      <c r="A52" s="355">
        <v>22</v>
      </c>
      <c r="B52" s="337" t="s">
        <v>730</v>
      </c>
      <c r="C52" s="662">
        <f>SUM(C37,C39,C40,C45,C46,C49,C50)</f>
        <v>1443197211.7305448</v>
      </c>
      <c r="D52" s="370"/>
      <c r="G52" s="602"/>
    </row>
    <row r="53" spans="1:7">
      <c r="A53" s="355"/>
      <c r="B53" s="339" t="s">
        <v>731</v>
      </c>
      <c r="C53" s="663"/>
      <c r="D53" s="370"/>
      <c r="G53" s="602"/>
    </row>
    <row r="54" spans="1:7">
      <c r="A54" s="355">
        <v>23</v>
      </c>
      <c r="B54" s="337" t="s">
        <v>94</v>
      </c>
      <c r="C54" s="653">
        <v>114430000</v>
      </c>
      <c r="D54" s="499" t="s">
        <v>1029</v>
      </c>
      <c r="G54" s="602"/>
    </row>
    <row r="55" spans="1:7">
      <c r="A55" s="355">
        <v>24</v>
      </c>
      <c r="B55" s="337" t="s">
        <v>732</v>
      </c>
      <c r="C55" s="653">
        <v>0</v>
      </c>
      <c r="D55" s="370"/>
      <c r="G55" s="602"/>
    </row>
    <row r="56" spans="1:7">
      <c r="A56" s="355">
        <v>25</v>
      </c>
      <c r="B56" s="337" t="s">
        <v>91</v>
      </c>
      <c r="C56" s="653">
        <v>0</v>
      </c>
      <c r="D56" s="370"/>
      <c r="G56" s="602"/>
    </row>
    <row r="57" spans="1:7">
      <c r="A57" s="355">
        <v>26</v>
      </c>
      <c r="B57" s="341" t="s">
        <v>733</v>
      </c>
      <c r="C57" s="653">
        <v>0</v>
      </c>
      <c r="D57" s="370"/>
      <c r="G57" s="602"/>
    </row>
    <row r="58" spans="1:7">
      <c r="A58" s="355">
        <v>27</v>
      </c>
      <c r="B58" s="341" t="s">
        <v>734</v>
      </c>
      <c r="C58" s="664">
        <f>SUM(C59:C60)</f>
        <v>23845347.84</v>
      </c>
      <c r="D58" s="370"/>
      <c r="G58" s="602"/>
    </row>
    <row r="59" spans="1:7">
      <c r="A59" s="355">
        <v>27.1</v>
      </c>
      <c r="B59" s="371" t="s">
        <v>735</v>
      </c>
      <c r="C59" s="653">
        <v>23845347.84</v>
      </c>
      <c r="D59" s="499" t="s">
        <v>1030</v>
      </c>
      <c r="G59" s="602"/>
    </row>
    <row r="60" spans="1:7">
      <c r="A60" s="355">
        <v>27.2</v>
      </c>
      <c r="B60" s="368" t="s">
        <v>736</v>
      </c>
      <c r="C60" s="653">
        <v>0</v>
      </c>
      <c r="D60" s="370"/>
      <c r="G60" s="602"/>
    </row>
    <row r="61" spans="1:7">
      <c r="A61" s="355">
        <v>28</v>
      </c>
      <c r="B61" s="338" t="s">
        <v>737</v>
      </c>
      <c r="C61" s="653">
        <v>0</v>
      </c>
      <c r="D61" s="370"/>
      <c r="G61" s="602"/>
    </row>
    <row r="62" spans="1:7">
      <c r="A62" s="355">
        <v>29</v>
      </c>
      <c r="B62" s="341" t="s">
        <v>738</v>
      </c>
      <c r="C62" s="664">
        <f>SUM(C63:C65)</f>
        <v>0</v>
      </c>
      <c r="D62" s="370"/>
      <c r="G62" s="602"/>
    </row>
    <row r="63" spans="1:7">
      <c r="A63" s="355">
        <v>29.1</v>
      </c>
      <c r="B63" s="372" t="s">
        <v>739</v>
      </c>
      <c r="C63" s="653">
        <v>0</v>
      </c>
      <c r="D63" s="370"/>
      <c r="G63" s="602"/>
    </row>
    <row r="64" spans="1:7" ht="24" customHeight="1">
      <c r="A64" s="355">
        <v>29.2</v>
      </c>
      <c r="B64" s="371" t="s">
        <v>740</v>
      </c>
      <c r="C64" s="653">
        <v>0</v>
      </c>
      <c r="D64" s="370"/>
      <c r="G64" s="602"/>
    </row>
    <row r="65" spans="1:7" ht="22.15" customHeight="1">
      <c r="A65" s="355">
        <v>29.3</v>
      </c>
      <c r="B65" s="373" t="s">
        <v>741</v>
      </c>
      <c r="C65" s="653">
        <v>0</v>
      </c>
      <c r="D65" s="370"/>
      <c r="G65" s="602"/>
    </row>
    <row r="66" spans="1:7">
      <c r="A66" s="355">
        <v>30</v>
      </c>
      <c r="B66" s="341" t="s">
        <v>92</v>
      </c>
      <c r="C66" s="653">
        <v>352872762.97191632</v>
      </c>
      <c r="D66" s="499" t="s">
        <v>1031</v>
      </c>
      <c r="G66" s="602"/>
    </row>
    <row r="67" spans="1:7">
      <c r="A67" s="355">
        <v>31</v>
      </c>
      <c r="B67" s="340" t="s">
        <v>742</v>
      </c>
      <c r="C67" s="664">
        <f>SUM(C54,C55,C56,C57,C58,C61,C62,C66)</f>
        <v>491148110.81191635</v>
      </c>
      <c r="D67" s="370"/>
      <c r="G67" s="602"/>
    </row>
    <row r="68" spans="1:7">
      <c r="A68" s="355">
        <v>32</v>
      </c>
      <c r="B68" s="341" t="s">
        <v>743</v>
      </c>
      <c r="C68" s="664">
        <f>SUM(C52,C67)</f>
        <v>1934345322.5424612</v>
      </c>
      <c r="D68" s="370"/>
      <c r="G68" s="60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39"/>
  <sheetViews>
    <sheetView showGridLines="0" zoomScale="80" zoomScaleNormal="80" workbookViewId="0">
      <pane xSplit="2" ySplit="7" topLeftCell="C8" activePane="bottomRight" state="frozen"/>
      <selection activeCell="B30" sqref="B30"/>
      <selection pane="topRight" activeCell="B30" sqref="B30"/>
      <selection pane="bottomLeft" activeCell="B30" sqref="B30"/>
      <selection pane="bottomRight"/>
    </sheetView>
  </sheetViews>
  <sheetFormatPr defaultColWidth="9.28515625" defaultRowHeight="12.75"/>
  <cols>
    <col min="1" max="1" width="10.5703125" style="1" bestFit="1" customWidth="1"/>
    <col min="2" max="2" width="97" style="1" bestFit="1" customWidth="1"/>
    <col min="3" max="3" width="15.28515625" style="1" bestFit="1" customWidth="1"/>
    <col min="4" max="4" width="13.42578125" style="1" bestFit="1" customWidth="1"/>
    <col min="5" max="5" width="16.42578125" style="1" bestFit="1" customWidth="1"/>
    <col min="6" max="6" width="13.42578125" style="1" bestFit="1" customWidth="1"/>
    <col min="7" max="7" width="9.5703125" style="1" bestFit="1" customWidth="1"/>
    <col min="8" max="8" width="13.42578125" style="1" bestFit="1" customWidth="1"/>
    <col min="9" max="9" width="15.28515625" style="1" bestFit="1" customWidth="1"/>
    <col min="10" max="10" width="13.42578125" style="1" bestFit="1" customWidth="1"/>
    <col min="11" max="11" width="9.5703125" style="1" bestFit="1" customWidth="1"/>
    <col min="12" max="12" width="13.42578125" style="1" bestFit="1" customWidth="1"/>
    <col min="13" max="13" width="18" style="1" bestFit="1" customWidth="1"/>
    <col min="14" max="14" width="16.42578125" style="1" bestFit="1" customWidth="1"/>
    <col min="15" max="15" width="14.28515625" style="1" bestFit="1" customWidth="1"/>
    <col min="16" max="16" width="13.42578125" style="1" bestFit="1" customWidth="1"/>
    <col min="17" max="17" width="15.28515625" style="1" bestFit="1" customWidth="1"/>
    <col min="18" max="18" width="13.42578125" style="1" bestFit="1" customWidth="1"/>
    <col min="19" max="19" width="31.7109375" style="1" bestFit="1" customWidth="1"/>
    <col min="20" max="16384" width="9.28515625" style="8"/>
  </cols>
  <sheetData>
    <row r="1" spans="1:19">
      <c r="A1" s="1" t="s">
        <v>97</v>
      </c>
      <c r="B1" s="1" t="str">
        <f>Info!C2</f>
        <v>სს "ბანკი ქართუ"</v>
      </c>
    </row>
    <row r="2" spans="1:19">
      <c r="A2" s="1" t="s">
        <v>98</v>
      </c>
      <c r="B2" s="593">
        <f>'1. key ratios'!B2</f>
        <v>46112</v>
      </c>
    </row>
    <row r="4" spans="1:19" ht="26.25" thickBot="1">
      <c r="A4" s="30" t="s">
        <v>248</v>
      </c>
      <c r="B4" s="144" t="s">
        <v>282</v>
      </c>
    </row>
    <row r="5" spans="1:19">
      <c r="A5" s="62"/>
      <c r="B5" s="64"/>
      <c r="C5" s="56" t="s">
        <v>0</v>
      </c>
      <c r="D5" s="56" t="s">
        <v>1</v>
      </c>
      <c r="E5" s="56" t="s">
        <v>2</v>
      </c>
      <c r="F5" s="56" t="s">
        <v>3</v>
      </c>
      <c r="G5" s="56" t="s">
        <v>4</v>
      </c>
      <c r="H5" s="56" t="s">
        <v>5</v>
      </c>
      <c r="I5" s="56" t="s">
        <v>134</v>
      </c>
      <c r="J5" s="56" t="s">
        <v>135</v>
      </c>
      <c r="K5" s="56" t="s">
        <v>136</v>
      </c>
      <c r="L5" s="56" t="s">
        <v>137</v>
      </c>
      <c r="M5" s="56" t="s">
        <v>138</v>
      </c>
      <c r="N5" s="56" t="s">
        <v>139</v>
      </c>
      <c r="O5" s="56" t="s">
        <v>269</v>
      </c>
      <c r="P5" s="56" t="s">
        <v>270</v>
      </c>
      <c r="Q5" s="56" t="s">
        <v>271</v>
      </c>
      <c r="R5" s="140" t="s">
        <v>272</v>
      </c>
      <c r="S5" s="57" t="s">
        <v>273</v>
      </c>
    </row>
    <row r="6" spans="1:19" ht="46.5" customHeight="1">
      <c r="A6" s="78"/>
      <c r="B6" s="768" t="s">
        <v>274</v>
      </c>
      <c r="C6" s="766">
        <v>0</v>
      </c>
      <c r="D6" s="767"/>
      <c r="E6" s="766">
        <v>0.2</v>
      </c>
      <c r="F6" s="767"/>
      <c r="G6" s="766">
        <v>0.35</v>
      </c>
      <c r="H6" s="767"/>
      <c r="I6" s="766">
        <v>0.5</v>
      </c>
      <c r="J6" s="767"/>
      <c r="K6" s="766">
        <v>0.75</v>
      </c>
      <c r="L6" s="767"/>
      <c r="M6" s="766">
        <v>1</v>
      </c>
      <c r="N6" s="767"/>
      <c r="O6" s="766">
        <v>1.5</v>
      </c>
      <c r="P6" s="767"/>
      <c r="Q6" s="766">
        <v>2.5</v>
      </c>
      <c r="R6" s="767"/>
      <c r="S6" s="764" t="s">
        <v>145</v>
      </c>
    </row>
    <row r="7" spans="1:19">
      <c r="A7" s="78"/>
      <c r="B7" s="769"/>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765"/>
    </row>
    <row r="8" spans="1:19">
      <c r="A8" s="60">
        <v>1</v>
      </c>
      <c r="B8" s="86" t="s">
        <v>123</v>
      </c>
      <c r="C8" s="665">
        <v>32536323.18314977</v>
      </c>
      <c r="D8" s="665">
        <v>0</v>
      </c>
      <c r="E8" s="665">
        <v>0</v>
      </c>
      <c r="F8" s="666">
        <v>0</v>
      </c>
      <c r="G8" s="665">
        <v>0</v>
      </c>
      <c r="H8" s="665">
        <v>0</v>
      </c>
      <c r="I8" s="665">
        <v>0</v>
      </c>
      <c r="J8" s="665">
        <v>0</v>
      </c>
      <c r="K8" s="665">
        <v>0</v>
      </c>
      <c r="L8" s="665">
        <v>0</v>
      </c>
      <c r="M8" s="665">
        <v>256543829.52480263</v>
      </c>
      <c r="N8" s="665">
        <v>0</v>
      </c>
      <c r="O8" s="665">
        <v>0</v>
      </c>
      <c r="P8" s="665">
        <v>0</v>
      </c>
      <c r="Q8" s="665">
        <v>0</v>
      </c>
      <c r="R8" s="666">
        <v>0</v>
      </c>
      <c r="S8" s="147">
        <f>$C$6*SUM(C8:D8)+$E$6*SUM(E8:F8)+$G$6*SUM(G8:H8)+$I$6*SUM(I8:J8)+$K$6*SUM(K8:L8)+$M$6*SUM(M8:N8)+$O$6*SUM(O8:P8)+$Q$6*SUM(Q8:R8)</f>
        <v>256543829.52480263</v>
      </c>
    </row>
    <row r="9" spans="1:19">
      <c r="A9" s="60">
        <v>2</v>
      </c>
      <c r="B9" s="86" t="s">
        <v>124</v>
      </c>
      <c r="C9" s="665">
        <v>0</v>
      </c>
      <c r="D9" s="665">
        <v>0</v>
      </c>
      <c r="E9" s="665">
        <v>0</v>
      </c>
      <c r="F9" s="665">
        <v>0</v>
      </c>
      <c r="G9" s="665">
        <v>0</v>
      </c>
      <c r="H9" s="665">
        <v>0</v>
      </c>
      <c r="I9" s="665">
        <v>0</v>
      </c>
      <c r="J9" s="665">
        <v>0</v>
      </c>
      <c r="K9" s="665">
        <v>0</v>
      </c>
      <c r="L9" s="665">
        <v>0</v>
      </c>
      <c r="M9" s="665">
        <v>0</v>
      </c>
      <c r="N9" s="665">
        <v>0</v>
      </c>
      <c r="O9" s="665">
        <v>0</v>
      </c>
      <c r="P9" s="665">
        <v>0</v>
      </c>
      <c r="Q9" s="665">
        <v>0</v>
      </c>
      <c r="R9" s="666">
        <v>0</v>
      </c>
      <c r="S9" s="147">
        <f t="shared" ref="S9:S21" si="0">$C$6*SUM(C9:D9)+$E$6*SUM(E9:F9)+$G$6*SUM(G9:H9)+$I$6*SUM(I9:J9)+$K$6*SUM(K9:L9)+$M$6*SUM(M9:N9)+$O$6*SUM(O9:P9)+$Q$6*SUM(Q9:R9)</f>
        <v>0</v>
      </c>
    </row>
    <row r="10" spans="1:19">
      <c r="A10" s="60">
        <v>3</v>
      </c>
      <c r="B10" s="86" t="s">
        <v>125</v>
      </c>
      <c r="C10" s="665">
        <v>0</v>
      </c>
      <c r="D10" s="665">
        <v>0</v>
      </c>
      <c r="E10" s="665">
        <v>0</v>
      </c>
      <c r="F10" s="665">
        <v>0</v>
      </c>
      <c r="G10" s="665">
        <v>0</v>
      </c>
      <c r="H10" s="665">
        <v>0</v>
      </c>
      <c r="I10" s="665">
        <v>0</v>
      </c>
      <c r="J10" s="665">
        <v>0</v>
      </c>
      <c r="K10" s="665">
        <v>0</v>
      </c>
      <c r="L10" s="665">
        <v>0</v>
      </c>
      <c r="M10" s="665">
        <v>0</v>
      </c>
      <c r="N10" s="665">
        <v>0</v>
      </c>
      <c r="O10" s="665">
        <v>0</v>
      </c>
      <c r="P10" s="665">
        <v>0</v>
      </c>
      <c r="Q10" s="665">
        <v>0</v>
      </c>
      <c r="R10" s="666">
        <v>0</v>
      </c>
      <c r="S10" s="147">
        <f t="shared" si="0"/>
        <v>0</v>
      </c>
    </row>
    <row r="11" spans="1:19">
      <c r="A11" s="60">
        <v>4</v>
      </c>
      <c r="B11" s="86" t="s">
        <v>126</v>
      </c>
      <c r="C11" s="665">
        <v>0</v>
      </c>
      <c r="D11" s="665">
        <v>0</v>
      </c>
      <c r="E11" s="665">
        <v>0</v>
      </c>
      <c r="F11" s="665">
        <v>0</v>
      </c>
      <c r="G11" s="665">
        <v>0</v>
      </c>
      <c r="H11" s="665">
        <v>0</v>
      </c>
      <c r="I11" s="665">
        <v>0</v>
      </c>
      <c r="J11" s="665">
        <v>0</v>
      </c>
      <c r="K11" s="665">
        <v>0</v>
      </c>
      <c r="L11" s="665">
        <v>0</v>
      </c>
      <c r="M11" s="665">
        <v>0</v>
      </c>
      <c r="N11" s="665">
        <v>0</v>
      </c>
      <c r="O11" s="665">
        <v>0</v>
      </c>
      <c r="P11" s="665">
        <v>0</v>
      </c>
      <c r="Q11" s="665">
        <v>0</v>
      </c>
      <c r="R11" s="666">
        <v>0</v>
      </c>
      <c r="S11" s="147">
        <f t="shared" si="0"/>
        <v>0</v>
      </c>
    </row>
    <row r="12" spans="1:19">
      <c r="A12" s="60">
        <v>5</v>
      </c>
      <c r="B12" s="86" t="s">
        <v>912</v>
      </c>
      <c r="C12" s="665">
        <v>0</v>
      </c>
      <c r="D12" s="665">
        <v>0</v>
      </c>
      <c r="E12" s="665">
        <v>0</v>
      </c>
      <c r="F12" s="665">
        <v>0</v>
      </c>
      <c r="G12" s="665">
        <v>0</v>
      </c>
      <c r="H12" s="665">
        <v>0</v>
      </c>
      <c r="I12" s="665">
        <v>0</v>
      </c>
      <c r="J12" s="665">
        <v>0</v>
      </c>
      <c r="K12" s="665">
        <v>0</v>
      </c>
      <c r="L12" s="665">
        <v>0</v>
      </c>
      <c r="M12" s="665">
        <v>0</v>
      </c>
      <c r="N12" s="665">
        <v>0</v>
      </c>
      <c r="O12" s="665">
        <v>0</v>
      </c>
      <c r="P12" s="665">
        <v>0</v>
      </c>
      <c r="Q12" s="665">
        <v>0</v>
      </c>
      <c r="R12" s="666">
        <v>0</v>
      </c>
      <c r="S12" s="147">
        <f t="shared" si="0"/>
        <v>0</v>
      </c>
    </row>
    <row r="13" spans="1:19">
      <c r="A13" s="60">
        <v>6</v>
      </c>
      <c r="B13" s="86" t="s">
        <v>127</v>
      </c>
      <c r="C13" s="665">
        <v>0</v>
      </c>
      <c r="D13" s="665">
        <v>0</v>
      </c>
      <c r="E13" s="665">
        <v>268465739.2267676</v>
      </c>
      <c r="F13" s="665">
        <v>0</v>
      </c>
      <c r="G13" s="665">
        <v>0</v>
      </c>
      <c r="H13" s="665">
        <v>0</v>
      </c>
      <c r="I13" s="665">
        <v>25328738.480193514</v>
      </c>
      <c r="J13" s="665">
        <v>0</v>
      </c>
      <c r="K13" s="665">
        <v>0</v>
      </c>
      <c r="L13" s="665">
        <v>0</v>
      </c>
      <c r="M13" s="665">
        <v>8800374.8592451531</v>
      </c>
      <c r="N13" s="665">
        <v>0</v>
      </c>
      <c r="O13" s="665">
        <v>3870860.0715000005</v>
      </c>
      <c r="P13" s="665">
        <v>0</v>
      </c>
      <c r="Q13" s="665">
        <v>0</v>
      </c>
      <c r="R13" s="666">
        <v>0</v>
      </c>
      <c r="S13" s="147">
        <f t="shared" si="0"/>
        <v>80964182.051945433</v>
      </c>
    </row>
    <row r="14" spans="1:19">
      <c r="A14" s="60">
        <v>7</v>
      </c>
      <c r="B14" s="86" t="s">
        <v>71</v>
      </c>
      <c r="C14" s="665">
        <v>0</v>
      </c>
      <c r="D14" s="665">
        <v>0</v>
      </c>
      <c r="E14" s="665">
        <v>0</v>
      </c>
      <c r="F14" s="665">
        <v>0</v>
      </c>
      <c r="G14" s="665">
        <v>0</v>
      </c>
      <c r="H14" s="665">
        <v>0</v>
      </c>
      <c r="I14" s="665">
        <v>0</v>
      </c>
      <c r="J14" s="665">
        <v>0</v>
      </c>
      <c r="K14" s="665">
        <v>0</v>
      </c>
      <c r="L14" s="665">
        <v>0</v>
      </c>
      <c r="M14" s="665">
        <v>1092950410.8052795</v>
      </c>
      <c r="N14" s="665">
        <v>114973827.47557226</v>
      </c>
      <c r="O14" s="665">
        <v>0</v>
      </c>
      <c r="P14" s="665">
        <v>0</v>
      </c>
      <c r="Q14" s="665">
        <v>0</v>
      </c>
      <c r="R14" s="666">
        <v>0</v>
      </c>
      <c r="S14" s="147">
        <f t="shared" si="0"/>
        <v>1207924238.2808518</v>
      </c>
    </row>
    <row r="15" spans="1:19">
      <c r="A15" s="60">
        <v>8</v>
      </c>
      <c r="B15" s="86" t="s">
        <v>72</v>
      </c>
      <c r="C15" s="665">
        <v>0</v>
      </c>
      <c r="D15" s="665">
        <v>0</v>
      </c>
      <c r="E15" s="665">
        <v>0</v>
      </c>
      <c r="F15" s="665">
        <v>0</v>
      </c>
      <c r="G15" s="665">
        <v>0</v>
      </c>
      <c r="H15" s="665">
        <v>0</v>
      </c>
      <c r="I15" s="665">
        <v>0</v>
      </c>
      <c r="J15" s="665">
        <v>0</v>
      </c>
      <c r="K15" s="665">
        <v>0</v>
      </c>
      <c r="L15" s="665">
        <v>0</v>
      </c>
      <c r="M15" s="665">
        <v>0</v>
      </c>
      <c r="N15" s="665">
        <v>0</v>
      </c>
      <c r="O15" s="665">
        <v>0</v>
      </c>
      <c r="P15" s="665">
        <v>0</v>
      </c>
      <c r="Q15" s="665">
        <v>0</v>
      </c>
      <c r="R15" s="666">
        <v>0</v>
      </c>
      <c r="S15" s="147">
        <f t="shared" si="0"/>
        <v>0</v>
      </c>
    </row>
    <row r="16" spans="1:19">
      <c r="A16" s="60">
        <v>9</v>
      </c>
      <c r="B16" s="86" t="s">
        <v>913</v>
      </c>
      <c r="C16" s="665">
        <v>0</v>
      </c>
      <c r="D16" s="665">
        <v>0</v>
      </c>
      <c r="E16" s="665">
        <v>0</v>
      </c>
      <c r="F16" s="665">
        <v>0</v>
      </c>
      <c r="G16" s="665">
        <v>0</v>
      </c>
      <c r="H16" s="665">
        <v>0</v>
      </c>
      <c r="I16" s="665">
        <v>0</v>
      </c>
      <c r="J16" s="665">
        <v>0</v>
      </c>
      <c r="K16" s="665">
        <v>0</v>
      </c>
      <c r="L16" s="665">
        <v>0</v>
      </c>
      <c r="M16" s="665">
        <v>0</v>
      </c>
      <c r="N16" s="665">
        <v>0</v>
      </c>
      <c r="O16" s="665">
        <v>0</v>
      </c>
      <c r="P16" s="665">
        <v>0</v>
      </c>
      <c r="Q16" s="665">
        <v>0</v>
      </c>
      <c r="R16" s="666">
        <v>0</v>
      </c>
      <c r="S16" s="147">
        <f t="shared" si="0"/>
        <v>0</v>
      </c>
    </row>
    <row r="17" spans="1:19">
      <c r="A17" s="60">
        <v>10</v>
      </c>
      <c r="B17" s="86" t="s">
        <v>67</v>
      </c>
      <c r="C17" s="665">
        <v>0</v>
      </c>
      <c r="D17" s="665">
        <v>0</v>
      </c>
      <c r="E17" s="665">
        <v>0</v>
      </c>
      <c r="F17" s="665">
        <v>0</v>
      </c>
      <c r="G17" s="665">
        <v>0</v>
      </c>
      <c r="H17" s="665">
        <v>0</v>
      </c>
      <c r="I17" s="665">
        <v>0</v>
      </c>
      <c r="J17" s="665">
        <v>0</v>
      </c>
      <c r="K17" s="665">
        <v>0</v>
      </c>
      <c r="L17" s="665">
        <v>0</v>
      </c>
      <c r="M17" s="665">
        <v>52249418.357500672</v>
      </c>
      <c r="N17" s="665">
        <v>0</v>
      </c>
      <c r="O17" s="665">
        <v>0</v>
      </c>
      <c r="P17" s="665">
        <v>0</v>
      </c>
      <c r="Q17" s="665">
        <v>0</v>
      </c>
      <c r="R17" s="666">
        <v>0</v>
      </c>
      <c r="S17" s="147">
        <f t="shared" si="0"/>
        <v>52249418.357500672</v>
      </c>
    </row>
    <row r="18" spans="1:19">
      <c r="A18" s="60">
        <v>11</v>
      </c>
      <c r="B18" s="86" t="s">
        <v>68</v>
      </c>
      <c r="C18" s="665">
        <v>0</v>
      </c>
      <c r="D18" s="665">
        <v>0</v>
      </c>
      <c r="E18" s="665">
        <v>0</v>
      </c>
      <c r="F18" s="665">
        <v>0</v>
      </c>
      <c r="G18" s="665">
        <v>0</v>
      </c>
      <c r="H18" s="665">
        <v>0</v>
      </c>
      <c r="I18" s="665">
        <v>0</v>
      </c>
      <c r="J18" s="665">
        <v>0</v>
      </c>
      <c r="K18" s="665">
        <v>0</v>
      </c>
      <c r="L18" s="665">
        <v>0</v>
      </c>
      <c r="M18" s="665">
        <v>0</v>
      </c>
      <c r="N18" s="665">
        <v>0</v>
      </c>
      <c r="O18" s="665">
        <v>0</v>
      </c>
      <c r="P18" s="665">
        <v>0</v>
      </c>
      <c r="Q18" s="665">
        <v>0</v>
      </c>
      <c r="R18" s="666">
        <v>0</v>
      </c>
      <c r="S18" s="147">
        <f t="shared" si="0"/>
        <v>0</v>
      </c>
    </row>
    <row r="19" spans="1:19">
      <c r="A19" s="60">
        <v>12</v>
      </c>
      <c r="B19" s="86" t="s">
        <v>69</v>
      </c>
      <c r="C19" s="665">
        <v>0</v>
      </c>
      <c r="D19" s="665">
        <v>0</v>
      </c>
      <c r="E19" s="665">
        <v>0</v>
      </c>
      <c r="F19" s="665">
        <v>0</v>
      </c>
      <c r="G19" s="665">
        <v>0</v>
      </c>
      <c r="H19" s="665">
        <v>0</v>
      </c>
      <c r="I19" s="665">
        <v>0</v>
      </c>
      <c r="J19" s="665">
        <v>0</v>
      </c>
      <c r="K19" s="665">
        <v>0</v>
      </c>
      <c r="L19" s="665">
        <v>0</v>
      </c>
      <c r="M19" s="665">
        <v>0</v>
      </c>
      <c r="N19" s="665">
        <v>0</v>
      </c>
      <c r="O19" s="665">
        <v>0</v>
      </c>
      <c r="P19" s="665">
        <v>0</v>
      </c>
      <c r="Q19" s="665">
        <v>0</v>
      </c>
      <c r="R19" s="666">
        <v>0</v>
      </c>
      <c r="S19" s="147">
        <f t="shared" si="0"/>
        <v>0</v>
      </c>
    </row>
    <row r="20" spans="1:19">
      <c r="A20" s="60">
        <v>13</v>
      </c>
      <c r="B20" s="86" t="s">
        <v>70</v>
      </c>
      <c r="C20" s="665">
        <v>0</v>
      </c>
      <c r="D20" s="665">
        <v>0</v>
      </c>
      <c r="E20" s="665">
        <v>0</v>
      </c>
      <c r="F20" s="665">
        <v>0</v>
      </c>
      <c r="G20" s="665">
        <v>0</v>
      </c>
      <c r="H20" s="665">
        <v>0</v>
      </c>
      <c r="I20" s="665">
        <v>0</v>
      </c>
      <c r="J20" s="665">
        <v>0</v>
      </c>
      <c r="K20" s="665">
        <v>0</v>
      </c>
      <c r="L20" s="665">
        <v>0</v>
      </c>
      <c r="M20" s="665">
        <v>0</v>
      </c>
      <c r="N20" s="665">
        <v>0</v>
      </c>
      <c r="O20" s="665">
        <v>0</v>
      </c>
      <c r="P20" s="665">
        <v>0</v>
      </c>
      <c r="Q20" s="665">
        <v>0</v>
      </c>
      <c r="R20" s="666">
        <v>0</v>
      </c>
      <c r="S20" s="147">
        <f t="shared" si="0"/>
        <v>0</v>
      </c>
    </row>
    <row r="21" spans="1:19">
      <c r="A21" s="60">
        <v>14</v>
      </c>
      <c r="B21" s="86" t="s">
        <v>143</v>
      </c>
      <c r="C21" s="665">
        <v>45159038.046592996</v>
      </c>
      <c r="D21" s="665">
        <v>0</v>
      </c>
      <c r="E21" s="665">
        <v>0</v>
      </c>
      <c r="F21" s="665">
        <v>0</v>
      </c>
      <c r="G21" s="665">
        <v>0</v>
      </c>
      <c r="H21" s="665">
        <v>0</v>
      </c>
      <c r="I21" s="665">
        <v>0</v>
      </c>
      <c r="J21" s="665">
        <v>0</v>
      </c>
      <c r="K21" s="665">
        <v>0</v>
      </c>
      <c r="L21" s="665">
        <v>0</v>
      </c>
      <c r="M21" s="665">
        <v>105978690.95975821</v>
      </c>
      <c r="N21" s="665">
        <v>1491324.3067065065</v>
      </c>
      <c r="O21" s="665">
        <v>0</v>
      </c>
      <c r="P21" s="665">
        <v>0</v>
      </c>
      <c r="Q21" s="665">
        <v>26836824.239999998</v>
      </c>
      <c r="R21" s="666">
        <v>0</v>
      </c>
      <c r="S21" s="147">
        <f t="shared" si="0"/>
        <v>174562075.8664647</v>
      </c>
    </row>
    <row r="22" spans="1:19" ht="13.5" thickBot="1">
      <c r="A22" s="54"/>
      <c r="B22" s="82" t="s">
        <v>66</v>
      </c>
      <c r="C22" s="667">
        <f>SUM(C8:C21)</f>
        <v>77695361.229742765</v>
      </c>
      <c r="D22" s="667">
        <f t="shared" ref="D22:S22" si="1">SUM(D8:D21)</f>
        <v>0</v>
      </c>
      <c r="E22" s="667">
        <f t="shared" si="1"/>
        <v>268465739.2267676</v>
      </c>
      <c r="F22" s="667">
        <f t="shared" si="1"/>
        <v>0</v>
      </c>
      <c r="G22" s="667">
        <f t="shared" si="1"/>
        <v>0</v>
      </c>
      <c r="H22" s="667">
        <f t="shared" si="1"/>
        <v>0</v>
      </c>
      <c r="I22" s="667">
        <f t="shared" si="1"/>
        <v>25328738.480193514</v>
      </c>
      <c r="J22" s="667">
        <f t="shared" si="1"/>
        <v>0</v>
      </c>
      <c r="K22" s="667">
        <f t="shared" si="1"/>
        <v>0</v>
      </c>
      <c r="L22" s="667">
        <f t="shared" si="1"/>
        <v>0</v>
      </c>
      <c r="M22" s="667">
        <f t="shared" si="1"/>
        <v>1516522724.5065861</v>
      </c>
      <c r="N22" s="667">
        <f t="shared" si="1"/>
        <v>116465151.78227876</v>
      </c>
      <c r="O22" s="667">
        <f t="shared" si="1"/>
        <v>3870860.0715000005</v>
      </c>
      <c r="P22" s="667">
        <f t="shared" si="1"/>
        <v>0</v>
      </c>
      <c r="Q22" s="667">
        <f t="shared" si="1"/>
        <v>26836824.239999998</v>
      </c>
      <c r="R22" s="667">
        <f t="shared" si="1"/>
        <v>0</v>
      </c>
      <c r="S22" s="668">
        <f t="shared" si="1"/>
        <v>1772243744.0815654</v>
      </c>
    </row>
    <row r="25" spans="1:19">
      <c r="C25" s="601"/>
      <c r="D25" s="601"/>
      <c r="E25" s="601"/>
      <c r="F25" s="601"/>
      <c r="G25" s="601"/>
      <c r="H25" s="601"/>
      <c r="I25" s="601"/>
      <c r="J25" s="601"/>
      <c r="K25" s="601"/>
      <c r="L25" s="601"/>
      <c r="M25" s="601"/>
      <c r="N25" s="601"/>
      <c r="O25" s="601"/>
      <c r="P25" s="601"/>
      <c r="Q25" s="601"/>
      <c r="R25" s="601"/>
      <c r="S25" s="601"/>
    </row>
    <row r="26" spans="1:19">
      <c r="C26" s="601"/>
      <c r="D26" s="601"/>
      <c r="E26" s="601"/>
      <c r="F26" s="601"/>
      <c r="G26" s="601"/>
      <c r="H26" s="601"/>
      <c r="I26" s="601"/>
      <c r="J26" s="601"/>
      <c r="K26" s="601"/>
      <c r="L26" s="601"/>
      <c r="M26" s="601"/>
      <c r="N26" s="601"/>
      <c r="O26" s="601"/>
      <c r="P26" s="601"/>
      <c r="Q26" s="601"/>
      <c r="R26" s="601"/>
      <c r="S26" s="601"/>
    </row>
    <row r="27" spans="1:19">
      <c r="C27" s="601"/>
      <c r="D27" s="601"/>
      <c r="E27" s="601"/>
      <c r="F27" s="601"/>
      <c r="G27" s="601"/>
      <c r="H27" s="601"/>
      <c r="I27" s="601"/>
      <c r="J27" s="601"/>
      <c r="K27" s="601"/>
      <c r="L27" s="601"/>
      <c r="M27" s="601"/>
      <c r="N27" s="601"/>
      <c r="O27" s="601"/>
      <c r="P27" s="601"/>
      <c r="Q27" s="601"/>
      <c r="R27" s="601"/>
      <c r="S27" s="601"/>
    </row>
    <row r="28" spans="1:19">
      <c r="C28" s="601"/>
      <c r="D28" s="601"/>
      <c r="E28" s="601"/>
      <c r="F28" s="601"/>
      <c r="G28" s="601"/>
      <c r="H28" s="601"/>
      <c r="I28" s="601"/>
      <c r="J28" s="601"/>
      <c r="K28" s="601"/>
      <c r="L28" s="601"/>
      <c r="M28" s="601"/>
      <c r="N28" s="601"/>
      <c r="O28" s="601"/>
      <c r="P28" s="601"/>
      <c r="Q28" s="601"/>
      <c r="R28" s="601"/>
      <c r="S28" s="601"/>
    </row>
    <row r="29" spans="1:19">
      <c r="C29" s="601"/>
      <c r="D29" s="601"/>
      <c r="E29" s="601"/>
      <c r="F29" s="601"/>
      <c r="G29" s="601"/>
      <c r="H29" s="601"/>
      <c r="I29" s="601"/>
      <c r="J29" s="601"/>
      <c r="K29" s="601"/>
      <c r="L29" s="601"/>
      <c r="M29" s="601"/>
      <c r="N29" s="601"/>
      <c r="O29" s="601"/>
      <c r="P29" s="601"/>
      <c r="Q29" s="601"/>
      <c r="R29" s="601"/>
      <c r="S29" s="601"/>
    </row>
    <row r="30" spans="1:19">
      <c r="C30" s="601"/>
      <c r="D30" s="601"/>
      <c r="E30" s="601"/>
      <c r="F30" s="601"/>
      <c r="G30" s="601"/>
      <c r="H30" s="601"/>
      <c r="I30" s="601"/>
      <c r="J30" s="601"/>
      <c r="K30" s="601"/>
      <c r="L30" s="601"/>
      <c r="M30" s="601"/>
      <c r="N30" s="601"/>
      <c r="O30" s="601"/>
      <c r="P30" s="601"/>
      <c r="Q30" s="601"/>
      <c r="R30" s="601"/>
      <c r="S30" s="601"/>
    </row>
    <row r="31" spans="1:19">
      <c r="C31" s="601"/>
      <c r="D31" s="601"/>
      <c r="E31" s="601"/>
      <c r="F31" s="601"/>
      <c r="G31" s="601"/>
      <c r="H31" s="601"/>
      <c r="I31" s="601"/>
      <c r="J31" s="601"/>
      <c r="K31" s="601"/>
      <c r="L31" s="601"/>
      <c r="M31" s="601"/>
      <c r="N31" s="601"/>
      <c r="O31" s="601"/>
      <c r="P31" s="601"/>
      <c r="Q31" s="601"/>
      <c r="R31" s="601"/>
      <c r="S31" s="601"/>
    </row>
    <row r="32" spans="1:19">
      <c r="C32" s="601"/>
      <c r="D32" s="601"/>
      <c r="E32" s="601"/>
      <c r="F32" s="601"/>
      <c r="G32" s="601"/>
      <c r="H32" s="601"/>
      <c r="I32" s="601"/>
      <c r="J32" s="601"/>
      <c r="K32" s="601"/>
      <c r="L32" s="601"/>
      <c r="M32" s="601"/>
      <c r="N32" s="601"/>
      <c r="O32" s="601"/>
      <c r="P32" s="601"/>
      <c r="Q32" s="601"/>
      <c r="R32" s="601"/>
      <c r="S32" s="601"/>
    </row>
    <row r="33" spans="3:19">
      <c r="C33" s="601"/>
      <c r="D33" s="601"/>
      <c r="E33" s="601"/>
      <c r="F33" s="601"/>
      <c r="G33" s="601"/>
      <c r="H33" s="601"/>
      <c r="I33" s="601"/>
      <c r="J33" s="601"/>
      <c r="K33" s="601"/>
      <c r="L33" s="601"/>
      <c r="M33" s="601"/>
      <c r="N33" s="601"/>
      <c r="O33" s="601"/>
      <c r="P33" s="601"/>
      <c r="Q33" s="601"/>
      <c r="R33" s="601"/>
      <c r="S33" s="601"/>
    </row>
    <row r="34" spans="3:19">
      <c r="C34" s="601"/>
      <c r="D34" s="601"/>
      <c r="E34" s="601"/>
      <c r="F34" s="601"/>
      <c r="G34" s="601"/>
      <c r="H34" s="601"/>
      <c r="I34" s="601"/>
      <c r="J34" s="601"/>
      <c r="K34" s="601"/>
      <c r="L34" s="601"/>
      <c r="M34" s="601"/>
      <c r="N34" s="601"/>
      <c r="O34" s="601"/>
      <c r="P34" s="601"/>
      <c r="Q34" s="601"/>
      <c r="R34" s="601"/>
      <c r="S34" s="601"/>
    </row>
    <row r="35" spans="3:19">
      <c r="C35" s="601"/>
      <c r="D35" s="601"/>
      <c r="E35" s="601"/>
      <c r="F35" s="601"/>
      <c r="G35" s="601"/>
      <c r="H35" s="601"/>
      <c r="I35" s="601"/>
      <c r="J35" s="601"/>
      <c r="K35" s="601"/>
      <c r="L35" s="601"/>
      <c r="M35" s="601"/>
      <c r="N35" s="601"/>
      <c r="O35" s="601"/>
      <c r="P35" s="601"/>
      <c r="Q35" s="601"/>
      <c r="R35" s="601"/>
      <c r="S35" s="601"/>
    </row>
    <row r="36" spans="3:19">
      <c r="C36" s="601"/>
      <c r="D36" s="601"/>
      <c r="E36" s="601"/>
      <c r="F36" s="601"/>
      <c r="G36" s="601"/>
      <c r="H36" s="601"/>
      <c r="I36" s="601"/>
      <c r="J36" s="601"/>
      <c r="K36" s="601"/>
      <c r="L36" s="601"/>
      <c r="M36" s="601"/>
      <c r="N36" s="601"/>
      <c r="O36" s="601"/>
      <c r="P36" s="601"/>
      <c r="Q36" s="601"/>
      <c r="R36" s="601"/>
      <c r="S36" s="601"/>
    </row>
    <row r="37" spans="3:19">
      <c r="C37" s="601"/>
      <c r="D37" s="601"/>
      <c r="E37" s="601"/>
      <c r="F37" s="601"/>
      <c r="G37" s="601"/>
      <c r="H37" s="601"/>
      <c r="I37" s="601"/>
      <c r="J37" s="601"/>
      <c r="K37" s="601"/>
      <c r="L37" s="601"/>
      <c r="M37" s="601"/>
      <c r="N37" s="601"/>
      <c r="O37" s="601"/>
      <c r="P37" s="601"/>
      <c r="Q37" s="601"/>
      <c r="R37" s="601"/>
      <c r="S37" s="601"/>
    </row>
    <row r="38" spans="3:19">
      <c r="C38" s="601"/>
      <c r="D38" s="601"/>
      <c r="E38" s="601"/>
      <c r="F38" s="601"/>
      <c r="G38" s="601"/>
      <c r="H38" s="601"/>
      <c r="I38" s="601"/>
      <c r="J38" s="601"/>
      <c r="K38" s="601"/>
      <c r="L38" s="601"/>
      <c r="M38" s="601"/>
      <c r="N38" s="601"/>
      <c r="O38" s="601"/>
      <c r="P38" s="601"/>
      <c r="Q38" s="601"/>
      <c r="R38" s="601"/>
      <c r="S38" s="601"/>
    </row>
    <row r="39" spans="3:19">
      <c r="C39" s="601"/>
      <c r="D39" s="601"/>
      <c r="E39" s="601"/>
      <c r="F39" s="601"/>
      <c r="G39" s="601"/>
      <c r="H39" s="601"/>
      <c r="I39" s="601"/>
      <c r="J39" s="601"/>
      <c r="K39" s="601"/>
      <c r="L39" s="601"/>
      <c r="M39" s="601"/>
      <c r="N39" s="601"/>
      <c r="O39" s="601"/>
      <c r="P39" s="601"/>
      <c r="Q39" s="601"/>
      <c r="R39" s="601"/>
      <c r="S39" s="601"/>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39"/>
  <sheetViews>
    <sheetView showGridLines="0" zoomScale="80" zoomScaleNormal="80" workbookViewId="0">
      <pane xSplit="2" ySplit="6" topLeftCell="C7" activePane="bottomRight" state="frozen"/>
      <selection activeCell="B30" sqref="B30"/>
      <selection pane="topRight" activeCell="B30" sqref="B30"/>
      <selection pane="bottomLeft" activeCell="B30" sqref="B30"/>
      <selection pane="bottomRight"/>
    </sheetView>
  </sheetViews>
  <sheetFormatPr defaultColWidth="9.28515625" defaultRowHeight="12.75"/>
  <cols>
    <col min="1" max="1" width="10.5703125" style="1" bestFit="1" customWidth="1"/>
    <col min="2" max="2" width="97" style="1" bestFit="1" customWidth="1"/>
    <col min="3" max="3" width="19" style="1" customWidth="1"/>
    <col min="4" max="4" width="19.5703125" style="1" customWidth="1"/>
    <col min="5" max="5" width="31.28515625" style="1" customWidth="1"/>
    <col min="6" max="6" width="29.28515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71093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28515625" style="1" customWidth="1"/>
    <col min="22" max="22" width="20" style="1" customWidth="1"/>
    <col min="23" max="16384" width="9.28515625" style="8"/>
  </cols>
  <sheetData>
    <row r="1" spans="1:22">
      <c r="A1" s="1" t="s">
        <v>97</v>
      </c>
      <c r="B1" s="1" t="str">
        <f>Info!C2</f>
        <v>სს "ბანკი ქართუ"</v>
      </c>
    </row>
    <row r="2" spans="1:22">
      <c r="A2" s="1" t="s">
        <v>98</v>
      </c>
      <c r="B2" s="593">
        <f>'1. key ratios'!B2</f>
        <v>46112</v>
      </c>
    </row>
    <row r="4" spans="1:22" ht="27.75" thickBot="1">
      <c r="A4" s="1" t="s">
        <v>249</v>
      </c>
      <c r="B4" s="144" t="s">
        <v>283</v>
      </c>
      <c r="V4" s="112" t="s">
        <v>76</v>
      </c>
    </row>
    <row r="5" spans="1:22">
      <c r="A5" s="52"/>
      <c r="B5" s="53"/>
      <c r="C5" s="770" t="s">
        <v>105</v>
      </c>
      <c r="D5" s="771"/>
      <c r="E5" s="771"/>
      <c r="F5" s="771"/>
      <c r="G5" s="771"/>
      <c r="H5" s="771"/>
      <c r="I5" s="771"/>
      <c r="J5" s="771"/>
      <c r="K5" s="771"/>
      <c r="L5" s="772"/>
      <c r="M5" s="770" t="s">
        <v>106</v>
      </c>
      <c r="N5" s="771"/>
      <c r="O5" s="771"/>
      <c r="P5" s="771"/>
      <c r="Q5" s="771"/>
      <c r="R5" s="771"/>
      <c r="S5" s="772"/>
      <c r="T5" s="775" t="s">
        <v>281</v>
      </c>
      <c r="U5" s="775" t="s">
        <v>280</v>
      </c>
      <c r="V5" s="773" t="s">
        <v>107</v>
      </c>
    </row>
    <row r="6" spans="1:22" s="30" customFormat="1" ht="127.5">
      <c r="A6" s="58"/>
      <c r="B6" s="88"/>
      <c r="C6" s="50" t="s">
        <v>108</v>
      </c>
      <c r="D6" s="49" t="s">
        <v>109</v>
      </c>
      <c r="E6" s="47" t="s">
        <v>110</v>
      </c>
      <c r="F6" s="47" t="s">
        <v>275</v>
      </c>
      <c r="G6" s="49" t="s">
        <v>111</v>
      </c>
      <c r="H6" s="49" t="s">
        <v>112</v>
      </c>
      <c r="I6" s="49" t="s">
        <v>113</v>
      </c>
      <c r="J6" s="49" t="s">
        <v>142</v>
      </c>
      <c r="K6" s="49" t="s">
        <v>114</v>
      </c>
      <c r="L6" s="51" t="s">
        <v>115</v>
      </c>
      <c r="M6" s="50" t="s">
        <v>116</v>
      </c>
      <c r="N6" s="49" t="s">
        <v>117</v>
      </c>
      <c r="O6" s="49" t="s">
        <v>118</v>
      </c>
      <c r="P6" s="49" t="s">
        <v>119</v>
      </c>
      <c r="Q6" s="49" t="s">
        <v>120</v>
      </c>
      <c r="R6" s="49" t="s">
        <v>121</v>
      </c>
      <c r="S6" s="51" t="s">
        <v>122</v>
      </c>
      <c r="T6" s="776"/>
      <c r="U6" s="776"/>
      <c r="V6" s="774"/>
    </row>
    <row r="7" spans="1:22">
      <c r="A7" s="81">
        <v>1</v>
      </c>
      <c r="B7" s="86" t="s">
        <v>123</v>
      </c>
      <c r="C7" s="669">
        <v>0</v>
      </c>
      <c r="D7" s="665">
        <v>0</v>
      </c>
      <c r="E7" s="665">
        <v>0</v>
      </c>
      <c r="F7" s="665">
        <v>0</v>
      </c>
      <c r="G7" s="665">
        <v>0</v>
      </c>
      <c r="H7" s="665">
        <v>0</v>
      </c>
      <c r="I7" s="665">
        <v>0</v>
      </c>
      <c r="J7" s="665">
        <v>0</v>
      </c>
      <c r="K7" s="665">
        <v>0</v>
      </c>
      <c r="L7" s="670">
        <v>0</v>
      </c>
      <c r="M7" s="669">
        <v>0</v>
      </c>
      <c r="N7" s="665">
        <v>0</v>
      </c>
      <c r="O7" s="665">
        <v>0</v>
      </c>
      <c r="P7" s="665">
        <v>0</v>
      </c>
      <c r="Q7" s="665">
        <v>0</v>
      </c>
      <c r="R7" s="665">
        <v>0</v>
      </c>
      <c r="S7" s="670">
        <v>0</v>
      </c>
      <c r="T7" s="671">
        <v>0</v>
      </c>
      <c r="U7" s="672">
        <v>0</v>
      </c>
      <c r="V7" s="673">
        <f>SUM(C7:S7)</f>
        <v>0</v>
      </c>
    </row>
    <row r="8" spans="1:22">
      <c r="A8" s="81">
        <v>2</v>
      </c>
      <c r="B8" s="86" t="s">
        <v>124</v>
      </c>
      <c r="C8" s="669">
        <v>0</v>
      </c>
      <c r="D8" s="665">
        <v>0</v>
      </c>
      <c r="E8" s="665">
        <v>0</v>
      </c>
      <c r="F8" s="665">
        <v>0</v>
      </c>
      <c r="G8" s="665">
        <v>0</v>
      </c>
      <c r="H8" s="665">
        <v>0</v>
      </c>
      <c r="I8" s="665">
        <v>0</v>
      </c>
      <c r="J8" s="665">
        <v>0</v>
      </c>
      <c r="K8" s="665">
        <v>0</v>
      </c>
      <c r="L8" s="670">
        <v>0</v>
      </c>
      <c r="M8" s="669">
        <v>0</v>
      </c>
      <c r="N8" s="665">
        <v>0</v>
      </c>
      <c r="O8" s="665">
        <v>0</v>
      </c>
      <c r="P8" s="665">
        <v>0</v>
      </c>
      <c r="Q8" s="665">
        <v>0</v>
      </c>
      <c r="R8" s="665">
        <v>0</v>
      </c>
      <c r="S8" s="670">
        <v>0</v>
      </c>
      <c r="T8" s="672">
        <v>0</v>
      </c>
      <c r="U8" s="672">
        <v>0</v>
      </c>
      <c r="V8" s="673">
        <f t="shared" ref="V8:V20" si="0">SUM(C8:S8)</f>
        <v>0</v>
      </c>
    </row>
    <row r="9" spans="1:22">
      <c r="A9" s="81">
        <v>3</v>
      </c>
      <c r="B9" s="86" t="s">
        <v>125</v>
      </c>
      <c r="C9" s="669">
        <v>0</v>
      </c>
      <c r="D9" s="665">
        <v>0</v>
      </c>
      <c r="E9" s="665">
        <v>0</v>
      </c>
      <c r="F9" s="665">
        <v>0</v>
      </c>
      <c r="G9" s="665">
        <v>0</v>
      </c>
      <c r="H9" s="665">
        <v>0</v>
      </c>
      <c r="I9" s="665">
        <v>0</v>
      </c>
      <c r="J9" s="665">
        <v>0</v>
      </c>
      <c r="K9" s="665">
        <v>0</v>
      </c>
      <c r="L9" s="670">
        <v>0</v>
      </c>
      <c r="M9" s="669">
        <v>0</v>
      </c>
      <c r="N9" s="665">
        <v>0</v>
      </c>
      <c r="O9" s="665">
        <v>0</v>
      </c>
      <c r="P9" s="665">
        <v>0</v>
      </c>
      <c r="Q9" s="665">
        <v>0</v>
      </c>
      <c r="R9" s="665">
        <v>0</v>
      </c>
      <c r="S9" s="670">
        <v>0</v>
      </c>
      <c r="T9" s="672">
        <v>0</v>
      </c>
      <c r="U9" s="672">
        <v>0</v>
      </c>
      <c r="V9" s="673">
        <f>SUM(C9:S9)</f>
        <v>0</v>
      </c>
    </row>
    <row r="10" spans="1:22">
      <c r="A10" s="81">
        <v>4</v>
      </c>
      <c r="B10" s="86" t="s">
        <v>126</v>
      </c>
      <c r="C10" s="669">
        <v>0</v>
      </c>
      <c r="D10" s="665">
        <v>0</v>
      </c>
      <c r="E10" s="665">
        <v>0</v>
      </c>
      <c r="F10" s="665">
        <v>0</v>
      </c>
      <c r="G10" s="665">
        <v>0</v>
      </c>
      <c r="H10" s="665">
        <v>0</v>
      </c>
      <c r="I10" s="665">
        <v>0</v>
      </c>
      <c r="J10" s="665">
        <v>0</v>
      </c>
      <c r="K10" s="665">
        <v>0</v>
      </c>
      <c r="L10" s="670">
        <v>0</v>
      </c>
      <c r="M10" s="669">
        <v>0</v>
      </c>
      <c r="N10" s="665">
        <v>0</v>
      </c>
      <c r="O10" s="665">
        <v>0</v>
      </c>
      <c r="P10" s="665">
        <v>0</v>
      </c>
      <c r="Q10" s="665">
        <v>0</v>
      </c>
      <c r="R10" s="665">
        <v>0</v>
      </c>
      <c r="S10" s="670">
        <v>0</v>
      </c>
      <c r="T10" s="672">
        <v>0</v>
      </c>
      <c r="U10" s="672">
        <v>0</v>
      </c>
      <c r="V10" s="673">
        <f t="shared" si="0"/>
        <v>0</v>
      </c>
    </row>
    <row r="11" spans="1:22">
      <c r="A11" s="81">
        <v>5</v>
      </c>
      <c r="B11" s="86" t="s">
        <v>912</v>
      </c>
      <c r="C11" s="669">
        <v>0</v>
      </c>
      <c r="D11" s="665">
        <v>0</v>
      </c>
      <c r="E11" s="665">
        <v>0</v>
      </c>
      <c r="F11" s="665">
        <v>0</v>
      </c>
      <c r="G11" s="665">
        <v>0</v>
      </c>
      <c r="H11" s="665">
        <v>0</v>
      </c>
      <c r="I11" s="665">
        <v>0</v>
      </c>
      <c r="J11" s="665">
        <v>0</v>
      </c>
      <c r="K11" s="665">
        <v>0</v>
      </c>
      <c r="L11" s="670">
        <v>0</v>
      </c>
      <c r="M11" s="669">
        <v>0</v>
      </c>
      <c r="N11" s="665">
        <v>0</v>
      </c>
      <c r="O11" s="665">
        <v>0</v>
      </c>
      <c r="P11" s="665">
        <v>0</v>
      </c>
      <c r="Q11" s="665">
        <v>0</v>
      </c>
      <c r="R11" s="665">
        <v>0</v>
      </c>
      <c r="S11" s="670">
        <v>0</v>
      </c>
      <c r="T11" s="672">
        <v>0</v>
      </c>
      <c r="U11" s="672">
        <v>0</v>
      </c>
      <c r="V11" s="673">
        <f t="shared" si="0"/>
        <v>0</v>
      </c>
    </row>
    <row r="12" spans="1:22">
      <c r="A12" s="81">
        <v>6</v>
      </c>
      <c r="B12" s="86" t="s">
        <v>127</v>
      </c>
      <c r="C12" s="669">
        <v>0</v>
      </c>
      <c r="D12" s="665">
        <v>0</v>
      </c>
      <c r="E12" s="665">
        <v>0</v>
      </c>
      <c r="F12" s="665">
        <v>0</v>
      </c>
      <c r="G12" s="665">
        <v>0</v>
      </c>
      <c r="H12" s="665">
        <v>0</v>
      </c>
      <c r="I12" s="665">
        <v>0</v>
      </c>
      <c r="J12" s="665">
        <v>0</v>
      </c>
      <c r="K12" s="665">
        <v>0</v>
      </c>
      <c r="L12" s="670">
        <v>0</v>
      </c>
      <c r="M12" s="669">
        <v>0</v>
      </c>
      <c r="N12" s="665">
        <v>0</v>
      </c>
      <c r="O12" s="665">
        <v>0</v>
      </c>
      <c r="P12" s="665">
        <v>0</v>
      </c>
      <c r="Q12" s="665">
        <v>0</v>
      </c>
      <c r="R12" s="665">
        <v>0</v>
      </c>
      <c r="S12" s="670">
        <v>0</v>
      </c>
      <c r="T12" s="672">
        <v>0</v>
      </c>
      <c r="U12" s="672">
        <v>0</v>
      </c>
      <c r="V12" s="673">
        <f t="shared" si="0"/>
        <v>0</v>
      </c>
    </row>
    <row r="13" spans="1:22">
      <c r="A13" s="81">
        <v>7</v>
      </c>
      <c r="B13" s="86" t="s">
        <v>71</v>
      </c>
      <c r="C13" s="669">
        <v>0</v>
      </c>
      <c r="D13" s="665">
        <v>94317481.162114263</v>
      </c>
      <c r="E13" s="665">
        <v>0</v>
      </c>
      <c r="F13" s="665">
        <v>0</v>
      </c>
      <c r="G13" s="665">
        <v>0</v>
      </c>
      <c r="H13" s="665">
        <v>0</v>
      </c>
      <c r="I13" s="665">
        <v>0</v>
      </c>
      <c r="J13" s="665">
        <v>0</v>
      </c>
      <c r="K13" s="665">
        <v>0</v>
      </c>
      <c r="L13" s="670">
        <v>0</v>
      </c>
      <c r="M13" s="669">
        <v>0</v>
      </c>
      <c r="N13" s="665">
        <v>0</v>
      </c>
      <c r="O13" s="665">
        <v>0</v>
      </c>
      <c r="P13" s="665">
        <v>0</v>
      </c>
      <c r="Q13" s="665">
        <v>0</v>
      </c>
      <c r="R13" s="665">
        <v>0</v>
      </c>
      <c r="S13" s="670">
        <v>0</v>
      </c>
      <c r="T13" s="672">
        <v>84320098.696929067</v>
      </c>
      <c r="U13" s="672">
        <v>9997382.4651851915</v>
      </c>
      <c r="V13" s="673">
        <f t="shared" si="0"/>
        <v>94317481.162114263</v>
      </c>
    </row>
    <row r="14" spans="1:22">
      <c r="A14" s="81">
        <v>8</v>
      </c>
      <c r="B14" s="86" t="s">
        <v>72</v>
      </c>
      <c r="C14" s="669">
        <v>0</v>
      </c>
      <c r="D14" s="665">
        <v>0</v>
      </c>
      <c r="E14" s="665">
        <v>0</v>
      </c>
      <c r="F14" s="665">
        <v>0</v>
      </c>
      <c r="G14" s="665">
        <v>0</v>
      </c>
      <c r="H14" s="665">
        <v>0</v>
      </c>
      <c r="I14" s="665">
        <v>0</v>
      </c>
      <c r="J14" s="665">
        <v>0</v>
      </c>
      <c r="K14" s="665">
        <v>0</v>
      </c>
      <c r="L14" s="670">
        <v>0</v>
      </c>
      <c r="M14" s="669">
        <v>0</v>
      </c>
      <c r="N14" s="665">
        <v>0</v>
      </c>
      <c r="O14" s="665">
        <v>0</v>
      </c>
      <c r="P14" s="665">
        <v>0</v>
      </c>
      <c r="Q14" s="665">
        <v>0</v>
      </c>
      <c r="R14" s="665">
        <v>0</v>
      </c>
      <c r="S14" s="670">
        <v>0</v>
      </c>
      <c r="T14" s="672">
        <v>0</v>
      </c>
      <c r="U14" s="672">
        <v>0</v>
      </c>
      <c r="V14" s="673">
        <f t="shared" si="0"/>
        <v>0</v>
      </c>
    </row>
    <row r="15" spans="1:22">
      <c r="A15" s="81">
        <v>9</v>
      </c>
      <c r="B15" s="86" t="s">
        <v>913</v>
      </c>
      <c r="C15" s="669">
        <v>0</v>
      </c>
      <c r="D15" s="665">
        <v>0</v>
      </c>
      <c r="E15" s="665">
        <v>0</v>
      </c>
      <c r="F15" s="665">
        <v>0</v>
      </c>
      <c r="G15" s="665">
        <v>0</v>
      </c>
      <c r="H15" s="665">
        <v>0</v>
      </c>
      <c r="I15" s="665">
        <v>0</v>
      </c>
      <c r="J15" s="665">
        <v>0</v>
      </c>
      <c r="K15" s="665">
        <v>0</v>
      </c>
      <c r="L15" s="670">
        <v>0</v>
      </c>
      <c r="M15" s="669">
        <v>0</v>
      </c>
      <c r="N15" s="665">
        <v>0</v>
      </c>
      <c r="O15" s="665">
        <v>0</v>
      </c>
      <c r="P15" s="665">
        <v>0</v>
      </c>
      <c r="Q15" s="665">
        <v>0</v>
      </c>
      <c r="R15" s="665">
        <v>0</v>
      </c>
      <c r="S15" s="670">
        <v>0</v>
      </c>
      <c r="T15" s="672">
        <v>0</v>
      </c>
      <c r="U15" s="672">
        <v>0</v>
      </c>
      <c r="V15" s="673">
        <f t="shared" si="0"/>
        <v>0</v>
      </c>
    </row>
    <row r="16" spans="1:22">
      <c r="A16" s="81">
        <v>10</v>
      </c>
      <c r="B16" s="86" t="s">
        <v>67</v>
      </c>
      <c r="C16" s="669">
        <v>0</v>
      </c>
      <c r="D16" s="665">
        <v>1026.6367471999999</v>
      </c>
      <c r="E16" s="665">
        <v>0</v>
      </c>
      <c r="F16" s="665">
        <v>0</v>
      </c>
      <c r="G16" s="665">
        <v>0</v>
      </c>
      <c r="H16" s="665">
        <v>0</v>
      </c>
      <c r="I16" s="665">
        <v>0</v>
      </c>
      <c r="J16" s="665">
        <v>0</v>
      </c>
      <c r="K16" s="665">
        <v>0</v>
      </c>
      <c r="L16" s="670">
        <v>0</v>
      </c>
      <c r="M16" s="669">
        <v>0</v>
      </c>
      <c r="N16" s="665">
        <v>0</v>
      </c>
      <c r="O16" s="665">
        <v>0</v>
      </c>
      <c r="P16" s="665">
        <v>0</v>
      </c>
      <c r="Q16" s="665">
        <v>0</v>
      </c>
      <c r="R16" s="665">
        <v>0</v>
      </c>
      <c r="S16" s="670">
        <v>0</v>
      </c>
      <c r="T16" s="672">
        <v>1026.6367471999999</v>
      </c>
      <c r="U16" s="672">
        <v>0</v>
      </c>
      <c r="V16" s="673">
        <f t="shared" si="0"/>
        <v>1026.6367471999999</v>
      </c>
    </row>
    <row r="17" spans="1:22">
      <c r="A17" s="81">
        <v>11</v>
      </c>
      <c r="B17" s="86" t="s">
        <v>68</v>
      </c>
      <c r="C17" s="669">
        <v>0</v>
      </c>
      <c r="D17" s="665">
        <v>0</v>
      </c>
      <c r="E17" s="665">
        <v>0</v>
      </c>
      <c r="F17" s="665">
        <v>0</v>
      </c>
      <c r="G17" s="665">
        <v>0</v>
      </c>
      <c r="H17" s="665">
        <v>0</v>
      </c>
      <c r="I17" s="665">
        <v>0</v>
      </c>
      <c r="J17" s="665">
        <v>0</v>
      </c>
      <c r="K17" s="665">
        <v>0</v>
      </c>
      <c r="L17" s="670">
        <v>0</v>
      </c>
      <c r="M17" s="669">
        <v>0</v>
      </c>
      <c r="N17" s="665">
        <v>0</v>
      </c>
      <c r="O17" s="665">
        <v>0</v>
      </c>
      <c r="P17" s="665">
        <v>0</v>
      </c>
      <c r="Q17" s="665">
        <v>0</v>
      </c>
      <c r="R17" s="665">
        <v>0</v>
      </c>
      <c r="S17" s="670">
        <v>0</v>
      </c>
      <c r="T17" s="672">
        <v>0</v>
      </c>
      <c r="U17" s="672">
        <v>0</v>
      </c>
      <c r="V17" s="673">
        <f t="shared" si="0"/>
        <v>0</v>
      </c>
    </row>
    <row r="18" spans="1:22">
      <c r="A18" s="81">
        <v>12</v>
      </c>
      <c r="B18" s="86" t="s">
        <v>69</v>
      </c>
      <c r="C18" s="669">
        <v>0</v>
      </c>
      <c r="D18" s="665">
        <v>0</v>
      </c>
      <c r="E18" s="665">
        <v>0</v>
      </c>
      <c r="F18" s="665">
        <v>0</v>
      </c>
      <c r="G18" s="665">
        <v>0</v>
      </c>
      <c r="H18" s="665">
        <v>0</v>
      </c>
      <c r="I18" s="665">
        <v>0</v>
      </c>
      <c r="J18" s="665">
        <v>0</v>
      </c>
      <c r="K18" s="665">
        <v>0</v>
      </c>
      <c r="L18" s="670">
        <v>0</v>
      </c>
      <c r="M18" s="669">
        <v>0</v>
      </c>
      <c r="N18" s="665">
        <v>0</v>
      </c>
      <c r="O18" s="665">
        <v>0</v>
      </c>
      <c r="P18" s="665">
        <v>0</v>
      </c>
      <c r="Q18" s="665">
        <v>0</v>
      </c>
      <c r="R18" s="665">
        <v>0</v>
      </c>
      <c r="S18" s="670">
        <v>0</v>
      </c>
      <c r="T18" s="672">
        <v>0</v>
      </c>
      <c r="U18" s="672">
        <v>0</v>
      </c>
      <c r="V18" s="673">
        <f t="shared" si="0"/>
        <v>0</v>
      </c>
    </row>
    <row r="19" spans="1:22">
      <c r="A19" s="81">
        <v>13</v>
      </c>
      <c r="B19" s="86" t="s">
        <v>70</v>
      </c>
      <c r="C19" s="669">
        <v>0</v>
      </c>
      <c r="D19" s="665">
        <v>0</v>
      </c>
      <c r="E19" s="665">
        <v>0</v>
      </c>
      <c r="F19" s="665">
        <v>0</v>
      </c>
      <c r="G19" s="665">
        <v>0</v>
      </c>
      <c r="H19" s="665">
        <v>0</v>
      </c>
      <c r="I19" s="665">
        <v>0</v>
      </c>
      <c r="J19" s="665">
        <v>0</v>
      </c>
      <c r="K19" s="665">
        <v>0</v>
      </c>
      <c r="L19" s="670">
        <v>0</v>
      </c>
      <c r="M19" s="669">
        <v>0</v>
      </c>
      <c r="N19" s="665">
        <v>0</v>
      </c>
      <c r="O19" s="665">
        <v>0</v>
      </c>
      <c r="P19" s="665">
        <v>0</v>
      </c>
      <c r="Q19" s="665">
        <v>0</v>
      </c>
      <c r="R19" s="665">
        <v>0</v>
      </c>
      <c r="S19" s="670">
        <v>0</v>
      </c>
      <c r="T19" s="672">
        <v>0</v>
      </c>
      <c r="U19" s="672">
        <v>0</v>
      </c>
      <c r="V19" s="673">
        <f t="shared" si="0"/>
        <v>0</v>
      </c>
    </row>
    <row r="20" spans="1:22">
      <c r="A20" s="81">
        <v>14</v>
      </c>
      <c r="B20" s="86" t="s">
        <v>143</v>
      </c>
      <c r="C20" s="669">
        <v>0</v>
      </c>
      <c r="D20" s="665">
        <v>20129221.16700273</v>
      </c>
      <c r="E20" s="665">
        <v>0</v>
      </c>
      <c r="F20" s="665">
        <v>0</v>
      </c>
      <c r="G20" s="665">
        <v>0</v>
      </c>
      <c r="H20" s="665">
        <v>0</v>
      </c>
      <c r="I20" s="665">
        <v>0</v>
      </c>
      <c r="J20" s="665">
        <v>0</v>
      </c>
      <c r="K20" s="665">
        <v>0</v>
      </c>
      <c r="L20" s="670">
        <v>0</v>
      </c>
      <c r="M20" s="669">
        <v>0</v>
      </c>
      <c r="N20" s="665">
        <v>0</v>
      </c>
      <c r="O20" s="665">
        <v>0</v>
      </c>
      <c r="P20" s="665">
        <v>0</v>
      </c>
      <c r="Q20" s="665">
        <v>0</v>
      </c>
      <c r="R20" s="665">
        <v>0</v>
      </c>
      <c r="S20" s="670">
        <v>0</v>
      </c>
      <c r="T20" s="672">
        <v>20113967.299662799</v>
      </c>
      <c r="U20" s="672">
        <v>15253.867339932129</v>
      </c>
      <c r="V20" s="673">
        <f t="shared" si="0"/>
        <v>20129221.16700273</v>
      </c>
    </row>
    <row r="21" spans="1:22" ht="13.5" thickBot="1">
      <c r="A21" s="54"/>
      <c r="B21" s="55" t="s">
        <v>66</v>
      </c>
      <c r="C21" s="674">
        <f>SUM(C7:C20)</f>
        <v>0</v>
      </c>
      <c r="D21" s="667">
        <f t="shared" ref="D21:V21" si="1">SUM(D7:D20)</f>
        <v>114447728.96586418</v>
      </c>
      <c r="E21" s="667">
        <f t="shared" si="1"/>
        <v>0</v>
      </c>
      <c r="F21" s="667">
        <f t="shared" si="1"/>
        <v>0</v>
      </c>
      <c r="G21" s="667">
        <f t="shared" si="1"/>
        <v>0</v>
      </c>
      <c r="H21" s="667">
        <f t="shared" si="1"/>
        <v>0</v>
      </c>
      <c r="I21" s="667">
        <f t="shared" si="1"/>
        <v>0</v>
      </c>
      <c r="J21" s="667">
        <f t="shared" si="1"/>
        <v>0</v>
      </c>
      <c r="K21" s="667">
        <f t="shared" si="1"/>
        <v>0</v>
      </c>
      <c r="L21" s="668">
        <f t="shared" si="1"/>
        <v>0</v>
      </c>
      <c r="M21" s="674">
        <f t="shared" si="1"/>
        <v>0</v>
      </c>
      <c r="N21" s="667">
        <f t="shared" si="1"/>
        <v>0</v>
      </c>
      <c r="O21" s="667">
        <f t="shared" si="1"/>
        <v>0</v>
      </c>
      <c r="P21" s="667">
        <f t="shared" si="1"/>
        <v>0</v>
      </c>
      <c r="Q21" s="667">
        <f t="shared" si="1"/>
        <v>0</v>
      </c>
      <c r="R21" s="667">
        <f t="shared" si="1"/>
        <v>0</v>
      </c>
      <c r="S21" s="668">
        <f t="shared" si="1"/>
        <v>0</v>
      </c>
      <c r="T21" s="668">
        <f>SUM(T7:T20)</f>
        <v>104435092.63333906</v>
      </c>
      <c r="U21" s="668">
        <f t="shared" si="1"/>
        <v>10012636.332525123</v>
      </c>
      <c r="V21" s="675">
        <f t="shared" si="1"/>
        <v>114447728.96586418</v>
      </c>
    </row>
    <row r="24" spans="1:22">
      <c r="C24" s="33"/>
      <c r="D24" s="33"/>
      <c r="E24" s="33"/>
    </row>
    <row r="25" spans="1:22">
      <c r="A25" s="29"/>
      <c r="B25" s="29"/>
      <c r="C25" s="676"/>
      <c r="D25" s="676"/>
      <c r="E25" s="676"/>
      <c r="F25" s="676"/>
      <c r="G25" s="676"/>
      <c r="H25" s="676"/>
      <c r="I25" s="676"/>
      <c r="J25" s="676"/>
      <c r="K25" s="676"/>
      <c r="L25" s="676"/>
      <c r="M25" s="676"/>
      <c r="N25" s="676"/>
      <c r="O25" s="676"/>
      <c r="P25" s="676"/>
      <c r="Q25" s="676"/>
      <c r="R25" s="676"/>
      <c r="S25" s="676"/>
      <c r="T25" s="676"/>
      <c r="U25" s="676"/>
      <c r="V25" s="676"/>
    </row>
    <row r="26" spans="1:22">
      <c r="A26" s="29"/>
      <c r="B26" s="48"/>
      <c r="C26" s="676"/>
      <c r="D26" s="676"/>
      <c r="E26" s="676"/>
      <c r="F26" s="676"/>
      <c r="G26" s="676"/>
      <c r="H26" s="676"/>
      <c r="I26" s="676"/>
      <c r="J26" s="676"/>
      <c r="K26" s="676"/>
      <c r="L26" s="676"/>
      <c r="M26" s="676"/>
      <c r="N26" s="676"/>
      <c r="O26" s="676"/>
      <c r="P26" s="676"/>
      <c r="Q26" s="676"/>
      <c r="R26" s="676"/>
      <c r="S26" s="676"/>
      <c r="T26" s="676"/>
      <c r="U26" s="676"/>
      <c r="V26" s="676"/>
    </row>
    <row r="27" spans="1:22">
      <c r="A27" s="29"/>
      <c r="B27" s="29"/>
      <c r="C27" s="676"/>
      <c r="D27" s="676"/>
      <c r="E27" s="676"/>
      <c r="F27" s="676"/>
      <c r="G27" s="676"/>
      <c r="H27" s="676"/>
      <c r="I27" s="676"/>
      <c r="J27" s="676"/>
      <c r="K27" s="676"/>
      <c r="L27" s="676"/>
      <c r="M27" s="676"/>
      <c r="N27" s="676"/>
      <c r="O27" s="676"/>
      <c r="P27" s="676"/>
      <c r="Q27" s="676"/>
      <c r="R27" s="676"/>
      <c r="S27" s="676"/>
      <c r="T27" s="676"/>
      <c r="U27" s="676"/>
      <c r="V27" s="676"/>
    </row>
    <row r="28" spans="1:22">
      <c r="A28" s="29"/>
      <c r="B28" s="48"/>
      <c r="C28" s="676"/>
      <c r="D28" s="676"/>
      <c r="E28" s="676"/>
      <c r="F28" s="676"/>
      <c r="G28" s="676"/>
      <c r="H28" s="676"/>
      <c r="I28" s="676"/>
      <c r="J28" s="676"/>
      <c r="K28" s="676"/>
      <c r="L28" s="676"/>
      <c r="M28" s="676"/>
      <c r="N28" s="676"/>
      <c r="O28" s="676"/>
      <c r="P28" s="676"/>
      <c r="Q28" s="676"/>
      <c r="R28" s="676"/>
      <c r="S28" s="676"/>
      <c r="T28" s="676"/>
      <c r="U28" s="676"/>
      <c r="V28" s="676"/>
    </row>
    <row r="29" spans="1:22">
      <c r="C29" s="676"/>
      <c r="D29" s="676"/>
      <c r="E29" s="676"/>
      <c r="F29" s="676"/>
      <c r="G29" s="676"/>
      <c r="H29" s="676"/>
      <c r="I29" s="676"/>
      <c r="J29" s="676"/>
      <c r="K29" s="676"/>
      <c r="L29" s="676"/>
      <c r="M29" s="676"/>
      <c r="N29" s="676"/>
      <c r="O29" s="676"/>
      <c r="P29" s="676"/>
      <c r="Q29" s="676"/>
      <c r="R29" s="676"/>
      <c r="S29" s="676"/>
      <c r="T29" s="676"/>
      <c r="U29" s="676"/>
      <c r="V29" s="676"/>
    </row>
    <row r="30" spans="1:22">
      <c r="C30" s="676"/>
      <c r="D30" s="676"/>
      <c r="E30" s="676"/>
      <c r="F30" s="676"/>
      <c r="G30" s="676"/>
      <c r="H30" s="676"/>
      <c r="I30" s="676"/>
      <c r="J30" s="676"/>
      <c r="K30" s="676"/>
      <c r="L30" s="676"/>
      <c r="M30" s="676"/>
      <c r="N30" s="676"/>
      <c r="O30" s="676"/>
      <c r="P30" s="676"/>
      <c r="Q30" s="676"/>
      <c r="R30" s="676"/>
      <c r="S30" s="676"/>
      <c r="T30" s="676"/>
      <c r="U30" s="676"/>
      <c r="V30" s="676"/>
    </row>
    <row r="31" spans="1:22">
      <c r="C31" s="676"/>
      <c r="D31" s="676"/>
      <c r="E31" s="676"/>
      <c r="F31" s="676"/>
      <c r="G31" s="676"/>
      <c r="H31" s="676"/>
      <c r="I31" s="676"/>
      <c r="J31" s="676"/>
      <c r="K31" s="676"/>
      <c r="L31" s="676"/>
      <c r="M31" s="676"/>
      <c r="N31" s="676"/>
      <c r="O31" s="676"/>
      <c r="P31" s="676"/>
      <c r="Q31" s="676"/>
      <c r="R31" s="676"/>
      <c r="S31" s="676"/>
      <c r="T31" s="676"/>
      <c r="U31" s="676"/>
      <c r="V31" s="676"/>
    </row>
    <row r="32" spans="1:22">
      <c r="C32" s="676"/>
      <c r="D32" s="676"/>
      <c r="E32" s="676"/>
      <c r="F32" s="676"/>
      <c r="G32" s="676"/>
      <c r="H32" s="676"/>
      <c r="I32" s="676"/>
      <c r="J32" s="676"/>
      <c r="K32" s="676"/>
      <c r="L32" s="676"/>
      <c r="M32" s="676"/>
      <c r="N32" s="676"/>
      <c r="O32" s="676"/>
      <c r="P32" s="676"/>
      <c r="Q32" s="676"/>
      <c r="R32" s="676"/>
      <c r="S32" s="676"/>
      <c r="T32" s="676"/>
      <c r="U32" s="676"/>
      <c r="V32" s="676"/>
    </row>
    <row r="33" spans="3:22">
      <c r="C33" s="676"/>
      <c r="D33" s="676"/>
      <c r="E33" s="676"/>
      <c r="F33" s="676"/>
      <c r="G33" s="676"/>
      <c r="H33" s="676"/>
      <c r="I33" s="676"/>
      <c r="J33" s="676"/>
      <c r="K33" s="676"/>
      <c r="L33" s="676"/>
      <c r="M33" s="676"/>
      <c r="N33" s="676"/>
      <c r="O33" s="676"/>
      <c r="P33" s="676"/>
      <c r="Q33" s="676"/>
      <c r="R33" s="676"/>
      <c r="S33" s="676"/>
      <c r="T33" s="676"/>
      <c r="U33" s="676"/>
      <c r="V33" s="676"/>
    </row>
    <row r="34" spans="3:22">
      <c r="C34" s="676"/>
      <c r="D34" s="676"/>
      <c r="E34" s="676"/>
      <c r="F34" s="676"/>
      <c r="G34" s="676"/>
      <c r="H34" s="676"/>
      <c r="I34" s="676"/>
      <c r="J34" s="676"/>
      <c r="K34" s="676"/>
      <c r="L34" s="676"/>
      <c r="M34" s="676"/>
      <c r="N34" s="676"/>
      <c r="O34" s="676"/>
      <c r="P34" s="676"/>
      <c r="Q34" s="676"/>
      <c r="R34" s="676"/>
      <c r="S34" s="676"/>
      <c r="T34" s="676"/>
      <c r="U34" s="676"/>
      <c r="V34" s="676"/>
    </row>
    <row r="35" spans="3:22">
      <c r="C35" s="676"/>
      <c r="D35" s="676"/>
      <c r="E35" s="676"/>
      <c r="F35" s="676"/>
      <c r="G35" s="676"/>
      <c r="H35" s="676"/>
      <c r="I35" s="676"/>
      <c r="J35" s="676"/>
      <c r="K35" s="676"/>
      <c r="L35" s="676"/>
      <c r="M35" s="676"/>
      <c r="N35" s="676"/>
      <c r="O35" s="676"/>
      <c r="P35" s="676"/>
      <c r="Q35" s="676"/>
      <c r="R35" s="676"/>
      <c r="S35" s="676"/>
      <c r="T35" s="676"/>
      <c r="U35" s="676"/>
      <c r="V35" s="676"/>
    </row>
    <row r="36" spans="3:22">
      <c r="C36" s="676"/>
      <c r="D36" s="676"/>
      <c r="E36" s="676"/>
      <c r="F36" s="676"/>
      <c r="G36" s="676"/>
      <c r="H36" s="676"/>
      <c r="I36" s="676"/>
      <c r="J36" s="676"/>
      <c r="K36" s="676"/>
      <c r="L36" s="676"/>
      <c r="M36" s="676"/>
      <c r="N36" s="676"/>
      <c r="O36" s="676"/>
      <c r="P36" s="676"/>
      <c r="Q36" s="676"/>
      <c r="R36" s="676"/>
      <c r="S36" s="676"/>
      <c r="T36" s="676"/>
      <c r="U36" s="676"/>
      <c r="V36" s="676"/>
    </row>
    <row r="37" spans="3:22">
      <c r="C37" s="676"/>
      <c r="D37" s="676"/>
      <c r="E37" s="676"/>
      <c r="F37" s="676"/>
      <c r="G37" s="676"/>
      <c r="H37" s="676"/>
      <c r="I37" s="676"/>
      <c r="J37" s="676"/>
      <c r="K37" s="676"/>
      <c r="L37" s="676"/>
      <c r="M37" s="676"/>
      <c r="N37" s="676"/>
      <c r="O37" s="676"/>
      <c r="P37" s="676"/>
      <c r="Q37" s="676"/>
      <c r="R37" s="676"/>
      <c r="S37" s="676"/>
      <c r="T37" s="676"/>
      <c r="U37" s="676"/>
      <c r="V37" s="676"/>
    </row>
    <row r="38" spans="3:22">
      <c r="C38" s="676"/>
      <c r="D38" s="676"/>
      <c r="E38" s="676"/>
      <c r="F38" s="676"/>
      <c r="G38" s="676"/>
      <c r="H38" s="676"/>
      <c r="I38" s="676"/>
      <c r="J38" s="676"/>
      <c r="K38" s="676"/>
      <c r="L38" s="676"/>
      <c r="M38" s="676"/>
      <c r="N38" s="676"/>
      <c r="O38" s="676"/>
      <c r="P38" s="676"/>
      <c r="Q38" s="676"/>
      <c r="R38" s="676"/>
      <c r="S38" s="676"/>
      <c r="T38" s="676"/>
      <c r="U38" s="676"/>
      <c r="V38" s="676"/>
    </row>
    <row r="39" spans="3:22">
      <c r="C39" s="676"/>
      <c r="D39" s="676"/>
      <c r="E39" s="676"/>
      <c r="F39" s="676"/>
      <c r="G39" s="676"/>
      <c r="H39" s="676"/>
      <c r="I39" s="676"/>
      <c r="J39" s="676"/>
      <c r="K39" s="676"/>
      <c r="L39" s="676"/>
      <c r="M39" s="676"/>
      <c r="N39" s="676"/>
      <c r="O39" s="676"/>
      <c r="P39" s="676"/>
      <c r="Q39" s="676"/>
      <c r="R39" s="676"/>
      <c r="S39" s="676"/>
      <c r="T39" s="676"/>
      <c r="U39" s="676"/>
      <c r="V39" s="67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P28"/>
  <sheetViews>
    <sheetView showGridLines="0" zoomScale="80" zoomScaleNormal="80" workbookViewId="0">
      <pane xSplit="1" ySplit="7" topLeftCell="B8" activePane="bottomRight" state="frozen"/>
      <selection activeCell="B30" sqref="B30"/>
      <selection pane="topRight" activeCell="B30" sqref="B30"/>
      <selection pane="bottomLeft" activeCell="B30" sqref="B30"/>
      <selection pane="bottomRight"/>
    </sheetView>
  </sheetViews>
  <sheetFormatPr defaultColWidth="9.28515625" defaultRowHeight="12.75"/>
  <cols>
    <col min="1" max="1" width="10.5703125" style="1" bestFit="1" customWidth="1"/>
    <col min="2" max="2" width="101.7109375" style="1" customWidth="1"/>
    <col min="3" max="3" width="14.85546875" style="1" customWidth="1"/>
    <col min="4" max="4" width="14.7109375" style="1" bestFit="1" customWidth="1"/>
    <col min="5" max="5" width="17.7109375" style="1" customWidth="1"/>
    <col min="6" max="6" width="15.7109375" style="1" customWidth="1"/>
    <col min="7" max="7" width="17.42578125" style="1" customWidth="1"/>
    <col min="8" max="8" width="15.28515625" style="1" customWidth="1"/>
    <col min="9" max="10" width="9.28515625" style="8"/>
    <col min="11" max="11" width="14.42578125" style="8" bestFit="1" customWidth="1"/>
    <col min="12" max="12" width="13.7109375" style="8" bestFit="1" customWidth="1"/>
    <col min="13" max="13" width="13.140625" style="8" bestFit="1" customWidth="1"/>
    <col min="14" max="14" width="14.85546875" style="8" bestFit="1" customWidth="1"/>
    <col min="15" max="15" width="14.42578125" style="8" bestFit="1" customWidth="1"/>
    <col min="16" max="16" width="9.42578125" style="8" bestFit="1" customWidth="1"/>
    <col min="17" max="16384" width="9.28515625" style="8"/>
  </cols>
  <sheetData>
    <row r="1" spans="1:16">
      <c r="A1" s="1" t="s">
        <v>97</v>
      </c>
      <c r="B1" s="1" t="str">
        <f>Info!C2</f>
        <v>სს "ბანკი ქართუ"</v>
      </c>
    </row>
    <row r="2" spans="1:16">
      <c r="A2" s="1" t="s">
        <v>98</v>
      </c>
      <c r="B2" s="593">
        <f>'1. key ratios'!B2</f>
        <v>46112</v>
      </c>
    </row>
    <row r="4" spans="1:16" ht="13.5" thickBot="1">
      <c r="A4" s="1" t="s">
        <v>250</v>
      </c>
      <c r="B4" s="22" t="s">
        <v>284</v>
      </c>
    </row>
    <row r="5" spans="1:16">
      <c r="A5" s="52"/>
      <c r="B5" s="79"/>
      <c r="C5" s="83" t="s">
        <v>0</v>
      </c>
      <c r="D5" s="83" t="s">
        <v>1</v>
      </c>
      <c r="E5" s="83" t="s">
        <v>2</v>
      </c>
      <c r="F5" s="83" t="s">
        <v>3</v>
      </c>
      <c r="G5" s="141" t="s">
        <v>4</v>
      </c>
      <c r="H5" s="84" t="s">
        <v>5</v>
      </c>
      <c r="I5" s="18"/>
    </row>
    <row r="6" spans="1:16" ht="15" customHeight="1">
      <c r="A6" s="78"/>
      <c r="B6" s="16"/>
      <c r="C6" s="768" t="s">
        <v>276</v>
      </c>
      <c r="D6" s="779" t="s">
        <v>297</v>
      </c>
      <c r="E6" s="780"/>
      <c r="F6" s="768" t="s">
        <v>303</v>
      </c>
      <c r="G6" s="768" t="s">
        <v>304</v>
      </c>
      <c r="H6" s="777" t="s">
        <v>278</v>
      </c>
      <c r="I6" s="18"/>
    </row>
    <row r="7" spans="1:16" ht="63.75">
      <c r="A7" s="78"/>
      <c r="B7" s="16"/>
      <c r="C7" s="769"/>
      <c r="D7" s="142" t="s">
        <v>279</v>
      </c>
      <c r="E7" s="142" t="s">
        <v>277</v>
      </c>
      <c r="F7" s="769"/>
      <c r="G7" s="769"/>
      <c r="H7" s="778"/>
      <c r="I7" s="18"/>
    </row>
    <row r="8" spans="1:16">
      <c r="A8" s="45">
        <v>1</v>
      </c>
      <c r="B8" s="86" t="s">
        <v>123</v>
      </c>
      <c r="C8" s="665">
        <v>289080152.70795238</v>
      </c>
      <c r="D8" s="665">
        <v>0</v>
      </c>
      <c r="E8" s="665">
        <v>0</v>
      </c>
      <c r="F8" s="665">
        <v>256543829.52480263</v>
      </c>
      <c r="G8" s="665">
        <v>256543829.52480263</v>
      </c>
      <c r="H8" s="145">
        <f>G8/(C8+E8)</f>
        <v>0.88744878235891878</v>
      </c>
      <c r="K8" s="619"/>
      <c r="L8" s="619"/>
      <c r="M8" s="619"/>
      <c r="N8" s="619"/>
      <c r="O8" s="619"/>
      <c r="P8" s="619"/>
    </row>
    <row r="9" spans="1:16" ht="15" customHeight="1">
      <c r="A9" s="45">
        <v>2</v>
      </c>
      <c r="B9" s="86" t="s">
        <v>124</v>
      </c>
      <c r="C9" s="665">
        <v>0</v>
      </c>
      <c r="D9" s="665">
        <v>0</v>
      </c>
      <c r="E9" s="665">
        <v>0</v>
      </c>
      <c r="F9" s="665">
        <v>0</v>
      </c>
      <c r="G9" s="665">
        <v>0</v>
      </c>
      <c r="H9" s="145">
        <f>IFERROR(G9/(C9+E9),0)</f>
        <v>0</v>
      </c>
      <c r="K9" s="619"/>
      <c r="L9" s="619"/>
      <c r="M9" s="619"/>
      <c r="N9" s="619"/>
      <c r="O9" s="619"/>
      <c r="P9" s="619"/>
    </row>
    <row r="10" spans="1:16">
      <c r="A10" s="45">
        <v>3</v>
      </c>
      <c r="B10" s="86" t="s">
        <v>125</v>
      </c>
      <c r="C10" s="665">
        <v>0</v>
      </c>
      <c r="D10" s="665">
        <v>0</v>
      </c>
      <c r="E10" s="665">
        <v>0</v>
      </c>
      <c r="F10" s="665">
        <v>0</v>
      </c>
      <c r="G10" s="665">
        <v>0</v>
      </c>
      <c r="H10" s="145">
        <f>IFERROR(G10/(C10+E10),0)</f>
        <v>0</v>
      </c>
      <c r="K10" s="619"/>
      <c r="L10" s="619"/>
      <c r="M10" s="619"/>
      <c r="N10" s="619"/>
      <c r="O10" s="619"/>
      <c r="P10" s="619"/>
    </row>
    <row r="11" spans="1:16">
      <c r="A11" s="45">
        <v>4</v>
      </c>
      <c r="B11" s="86" t="s">
        <v>126</v>
      </c>
      <c r="C11" s="665">
        <v>0</v>
      </c>
      <c r="D11" s="665">
        <v>0</v>
      </c>
      <c r="E11" s="665">
        <v>0</v>
      </c>
      <c r="F11" s="665">
        <v>0</v>
      </c>
      <c r="G11" s="665">
        <v>0</v>
      </c>
      <c r="H11" s="145">
        <f>IFERROR(G11/(C11+E11),0)</f>
        <v>0</v>
      </c>
      <c r="K11" s="619"/>
      <c r="L11" s="619"/>
      <c r="M11" s="619"/>
      <c r="N11" s="619"/>
      <c r="O11" s="619"/>
      <c r="P11" s="619"/>
    </row>
    <row r="12" spans="1:16">
      <c r="A12" s="45">
        <v>5</v>
      </c>
      <c r="B12" s="86" t="s">
        <v>912</v>
      </c>
      <c r="C12" s="665">
        <v>0</v>
      </c>
      <c r="D12" s="665">
        <v>0</v>
      </c>
      <c r="E12" s="665">
        <v>0</v>
      </c>
      <c r="F12" s="665">
        <v>0</v>
      </c>
      <c r="G12" s="665">
        <v>0</v>
      </c>
      <c r="H12" s="145">
        <f>IFERROR(G12/(C12+E12),0)</f>
        <v>0</v>
      </c>
      <c r="K12" s="619"/>
      <c r="L12" s="619"/>
      <c r="M12" s="619"/>
      <c r="N12" s="619"/>
      <c r="O12" s="619"/>
      <c r="P12" s="619"/>
    </row>
    <row r="13" spans="1:16">
      <c r="A13" s="45">
        <v>6</v>
      </c>
      <c r="B13" s="86" t="s">
        <v>127</v>
      </c>
      <c r="C13" s="665">
        <v>306465712.63770628</v>
      </c>
      <c r="D13" s="665">
        <v>0</v>
      </c>
      <c r="E13" s="665">
        <v>0</v>
      </c>
      <c r="F13" s="665">
        <v>80964182.051945433</v>
      </c>
      <c r="G13" s="665">
        <v>80964182.051945433</v>
      </c>
      <c r="H13" s="145">
        <f t="shared" ref="H13:H21" si="0">G13/(C13+E13)</f>
        <v>0.26418675471098668</v>
      </c>
      <c r="K13" s="619"/>
      <c r="L13" s="619"/>
      <c r="M13" s="619"/>
      <c r="N13" s="619"/>
      <c r="O13" s="619"/>
      <c r="P13" s="619"/>
    </row>
    <row r="14" spans="1:16">
      <c r="A14" s="45">
        <v>7</v>
      </c>
      <c r="B14" s="86" t="s">
        <v>71</v>
      </c>
      <c r="C14" s="665">
        <v>1092950410.8052795</v>
      </c>
      <c r="D14" s="665">
        <v>204104882.05804619</v>
      </c>
      <c r="E14" s="665">
        <v>114973827.47557226</v>
      </c>
      <c r="F14" s="665">
        <v>1207924238.2808518</v>
      </c>
      <c r="G14" s="665">
        <v>1113606757.1187377</v>
      </c>
      <c r="H14" s="145">
        <f>G14/(C14+E14)</f>
        <v>0.92191771787248089</v>
      </c>
      <c r="K14" s="619"/>
      <c r="L14" s="619"/>
      <c r="M14" s="619"/>
      <c r="N14" s="619"/>
      <c r="O14" s="619"/>
      <c r="P14" s="619"/>
    </row>
    <row r="15" spans="1:16">
      <c r="A15" s="45">
        <v>8</v>
      </c>
      <c r="B15" s="86" t="s">
        <v>72</v>
      </c>
      <c r="C15" s="665">
        <v>0</v>
      </c>
      <c r="D15" s="665">
        <v>0</v>
      </c>
      <c r="E15" s="665">
        <v>0</v>
      </c>
      <c r="F15" s="665">
        <v>0</v>
      </c>
      <c r="G15" s="665">
        <v>0</v>
      </c>
      <c r="H15" s="145">
        <f>IFERROR(G15/(C15+E15),0)</f>
        <v>0</v>
      </c>
      <c r="K15" s="619"/>
      <c r="L15" s="619"/>
      <c r="M15" s="619"/>
      <c r="N15" s="619"/>
      <c r="O15" s="619"/>
      <c r="P15" s="619"/>
    </row>
    <row r="16" spans="1:16">
      <c r="A16" s="45">
        <v>9</v>
      </c>
      <c r="B16" s="86" t="s">
        <v>913</v>
      </c>
      <c r="C16" s="665">
        <v>0</v>
      </c>
      <c r="D16" s="665">
        <v>0</v>
      </c>
      <c r="E16" s="665">
        <v>0</v>
      </c>
      <c r="F16" s="665">
        <v>0</v>
      </c>
      <c r="G16" s="665">
        <v>0</v>
      </c>
      <c r="H16" s="145">
        <f>IFERROR(G16/(C16+E16),0)</f>
        <v>0</v>
      </c>
      <c r="K16" s="619"/>
      <c r="L16" s="619"/>
      <c r="M16" s="619"/>
      <c r="N16" s="619"/>
      <c r="O16" s="619"/>
      <c r="P16" s="619"/>
    </row>
    <row r="17" spans="1:16">
      <c r="A17" s="45">
        <v>10</v>
      </c>
      <c r="B17" s="86" t="s">
        <v>67</v>
      </c>
      <c r="C17" s="665">
        <v>52249418.357500672</v>
      </c>
      <c r="D17" s="665">
        <v>0</v>
      </c>
      <c r="E17" s="665">
        <v>0</v>
      </c>
      <c r="F17" s="665">
        <v>52249418.357500672</v>
      </c>
      <c r="G17" s="665">
        <v>52248391.720753476</v>
      </c>
      <c r="H17" s="145">
        <f t="shared" si="0"/>
        <v>0.99998035123108597</v>
      </c>
      <c r="K17" s="619"/>
      <c r="L17" s="619"/>
      <c r="M17" s="619"/>
      <c r="N17" s="619"/>
      <c r="O17" s="619"/>
      <c r="P17" s="619"/>
    </row>
    <row r="18" spans="1:16">
      <c r="A18" s="45">
        <v>11</v>
      </c>
      <c r="B18" s="86" t="s">
        <v>68</v>
      </c>
      <c r="C18" s="665">
        <v>0</v>
      </c>
      <c r="D18" s="665">
        <v>0</v>
      </c>
      <c r="E18" s="665">
        <v>0</v>
      </c>
      <c r="F18" s="665">
        <v>0</v>
      </c>
      <c r="G18" s="665">
        <v>0</v>
      </c>
      <c r="H18" s="145">
        <f>IFERROR(G18/(C18+E18),0)</f>
        <v>0</v>
      </c>
      <c r="K18" s="619"/>
      <c r="L18" s="619"/>
      <c r="M18" s="619"/>
      <c r="N18" s="619"/>
      <c r="O18" s="619"/>
      <c r="P18" s="619"/>
    </row>
    <row r="19" spans="1:16">
      <c r="A19" s="45">
        <v>12</v>
      </c>
      <c r="B19" s="86" t="s">
        <v>69</v>
      </c>
      <c r="C19" s="665">
        <v>0</v>
      </c>
      <c r="D19" s="665">
        <v>0</v>
      </c>
      <c r="E19" s="665">
        <v>0</v>
      </c>
      <c r="F19" s="665">
        <v>0</v>
      </c>
      <c r="G19" s="665">
        <v>0</v>
      </c>
      <c r="H19" s="145">
        <f>IFERROR(G19/(C19+E19),0)</f>
        <v>0</v>
      </c>
      <c r="K19" s="619"/>
      <c r="L19" s="619"/>
      <c r="M19" s="619"/>
      <c r="N19" s="619"/>
      <c r="O19" s="619"/>
      <c r="P19" s="619"/>
    </row>
    <row r="20" spans="1:16">
      <c r="A20" s="45">
        <v>13</v>
      </c>
      <c r="B20" s="86" t="s">
        <v>70</v>
      </c>
      <c r="C20" s="665">
        <v>0</v>
      </c>
      <c r="D20" s="665">
        <v>0</v>
      </c>
      <c r="E20" s="665">
        <v>0</v>
      </c>
      <c r="F20" s="665">
        <v>0</v>
      </c>
      <c r="G20" s="665">
        <v>0</v>
      </c>
      <c r="H20" s="145">
        <f>IFERROR(G20/(C20+E20),0)</f>
        <v>0</v>
      </c>
      <c r="K20" s="619"/>
      <c r="L20" s="619"/>
      <c r="M20" s="619"/>
      <c r="N20" s="619"/>
      <c r="O20" s="619"/>
      <c r="P20" s="619"/>
    </row>
    <row r="21" spans="1:16">
      <c r="A21" s="45">
        <v>14</v>
      </c>
      <c r="B21" s="86" t="s">
        <v>143</v>
      </c>
      <c r="C21" s="665">
        <v>177974553.24635121</v>
      </c>
      <c r="D21" s="665">
        <v>2982648.6134130131</v>
      </c>
      <c r="E21" s="665">
        <v>1491324.3067065065</v>
      </c>
      <c r="F21" s="665">
        <v>174562075.8664647</v>
      </c>
      <c r="G21" s="665">
        <v>154432854.69946197</v>
      </c>
      <c r="H21" s="145">
        <f t="shared" si="0"/>
        <v>0.860513746708229</v>
      </c>
      <c r="K21" s="619"/>
      <c r="L21" s="619"/>
      <c r="M21" s="619"/>
      <c r="N21" s="619"/>
      <c r="O21" s="619"/>
      <c r="P21" s="619"/>
    </row>
    <row r="22" spans="1:16" ht="13.5" thickBot="1">
      <c r="A22" s="80"/>
      <c r="B22" s="85" t="s">
        <v>66</v>
      </c>
      <c r="C22" s="667">
        <f>SUM(C8:C21)</f>
        <v>1918720247.7547898</v>
      </c>
      <c r="D22" s="667">
        <f>SUM(D8:D21)</f>
        <v>207087530.6714592</v>
      </c>
      <c r="E22" s="667">
        <f>SUM(E8:E21)</f>
        <v>116465151.78227876</v>
      </c>
      <c r="F22" s="667">
        <f>SUM(F8:F21)</f>
        <v>1772243744.0815654</v>
      </c>
      <c r="G22" s="667">
        <f>SUM(G8:G21)</f>
        <v>1657796015.1157012</v>
      </c>
      <c r="H22" s="146">
        <f>G22/(C22+E22)</f>
        <v>0.81456756494655969</v>
      </c>
      <c r="K22" s="619"/>
      <c r="L22" s="619"/>
      <c r="M22" s="619"/>
      <c r="N22" s="619"/>
      <c r="O22" s="619"/>
      <c r="P22" s="619"/>
    </row>
    <row r="23" spans="1:16">
      <c r="K23" s="619"/>
      <c r="L23" s="619"/>
      <c r="M23" s="619"/>
      <c r="N23" s="619"/>
      <c r="O23" s="619"/>
      <c r="P23" s="619"/>
    </row>
    <row r="28" spans="1:16"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W53"/>
  <sheetViews>
    <sheetView showGridLines="0" zoomScale="80" zoomScaleNormal="80" workbookViewId="0">
      <pane xSplit="2" ySplit="6" topLeftCell="C7" activePane="bottomRight" state="frozen"/>
      <selection activeCell="B30" sqref="B30"/>
      <selection pane="topRight" activeCell="B30" sqref="B30"/>
      <selection pane="bottomLeft" activeCell="B30" sqref="B30"/>
      <selection pane="bottomRight" activeCell="D1" sqref="D1"/>
    </sheetView>
  </sheetViews>
  <sheetFormatPr defaultColWidth="9.28515625" defaultRowHeight="12.75"/>
  <cols>
    <col min="1" max="1" width="10.5703125" style="1" bestFit="1" customWidth="1"/>
    <col min="2" max="2" width="104.28515625" style="1" customWidth="1"/>
    <col min="3" max="3" width="12.7109375" style="1" customWidth="1"/>
    <col min="4" max="4" width="15.85546875" style="1" bestFit="1" customWidth="1"/>
    <col min="5" max="5" width="17.42578125" style="1" bestFit="1" customWidth="1"/>
    <col min="6" max="11" width="12.7109375" style="1" customWidth="1"/>
    <col min="12" max="12" width="9.28515625" style="1"/>
    <col min="13" max="13" width="16.42578125" style="1" bestFit="1" customWidth="1"/>
    <col min="14" max="15" width="18" style="1" bestFit="1" customWidth="1"/>
    <col min="16" max="18" width="16.42578125" style="1" bestFit="1" customWidth="1"/>
    <col min="19" max="19" width="15.28515625" style="1" bestFit="1" customWidth="1"/>
    <col min="20" max="21" width="16.42578125" style="1" bestFit="1" customWidth="1"/>
    <col min="22" max="22" width="9.42578125" style="1" bestFit="1" customWidth="1"/>
    <col min="23" max="23" width="16.42578125" style="1" bestFit="1" customWidth="1"/>
    <col min="24" max="16384" width="9.28515625" style="1"/>
  </cols>
  <sheetData>
    <row r="1" spans="1:23">
      <c r="A1" s="1" t="s">
        <v>97</v>
      </c>
      <c r="B1" s="1" t="str">
        <f>Info!C2</f>
        <v>სს "ბანკი ქართუ"</v>
      </c>
    </row>
    <row r="2" spans="1:23">
      <c r="A2" s="1" t="s">
        <v>98</v>
      </c>
      <c r="B2" s="593">
        <f>'1. key ratios'!B2</f>
        <v>46112</v>
      </c>
    </row>
    <row r="4" spans="1:23" ht="13.5" thickBot="1">
      <c r="A4" s="1" t="s">
        <v>340</v>
      </c>
      <c r="B4" s="22" t="s">
        <v>339</v>
      </c>
    </row>
    <row r="5" spans="1:23" ht="30" customHeight="1">
      <c r="A5" s="784"/>
      <c r="B5" s="785"/>
      <c r="C5" s="782" t="s">
        <v>372</v>
      </c>
      <c r="D5" s="782"/>
      <c r="E5" s="782"/>
      <c r="F5" s="782" t="s">
        <v>373</v>
      </c>
      <c r="G5" s="782"/>
      <c r="H5" s="782"/>
      <c r="I5" s="782" t="s">
        <v>374</v>
      </c>
      <c r="J5" s="782"/>
      <c r="K5" s="783"/>
    </row>
    <row r="6" spans="1:23">
      <c r="A6" s="169"/>
      <c r="B6" s="170"/>
      <c r="C6" s="171" t="s">
        <v>26</v>
      </c>
      <c r="D6" s="171" t="s">
        <v>79</v>
      </c>
      <c r="E6" s="171" t="s">
        <v>66</v>
      </c>
      <c r="F6" s="171" t="s">
        <v>26</v>
      </c>
      <c r="G6" s="171" t="s">
        <v>79</v>
      </c>
      <c r="H6" s="171" t="s">
        <v>66</v>
      </c>
      <c r="I6" s="171" t="s">
        <v>26</v>
      </c>
      <c r="J6" s="171" t="s">
        <v>79</v>
      </c>
      <c r="K6" s="173" t="s">
        <v>66</v>
      </c>
    </row>
    <row r="7" spans="1:23">
      <c r="A7" s="174" t="s">
        <v>310</v>
      </c>
      <c r="B7" s="168"/>
      <c r="C7" s="168"/>
      <c r="D7" s="168"/>
      <c r="E7" s="168"/>
      <c r="F7" s="168"/>
      <c r="G7" s="168"/>
      <c r="H7" s="168"/>
      <c r="I7" s="168"/>
      <c r="J7" s="168"/>
      <c r="K7" s="175"/>
    </row>
    <row r="8" spans="1:23">
      <c r="A8" s="167">
        <v>1</v>
      </c>
      <c r="B8" s="152" t="s">
        <v>310</v>
      </c>
      <c r="C8" s="150"/>
      <c r="D8" s="150"/>
      <c r="E8" s="150"/>
      <c r="F8" s="677">
        <v>148735948.42677671</v>
      </c>
      <c r="G8" s="677">
        <v>524674926.88295239</v>
      </c>
      <c r="H8" s="677">
        <v>673410875.30972874</v>
      </c>
      <c r="I8" s="677">
        <v>86251389.977512792</v>
      </c>
      <c r="J8" s="677">
        <v>290353604.00725228</v>
      </c>
      <c r="K8" s="678">
        <v>376604993.98476529</v>
      </c>
      <c r="M8" s="601"/>
      <c r="N8" s="601"/>
      <c r="O8" s="601"/>
      <c r="P8" s="601"/>
      <c r="Q8" s="601"/>
      <c r="R8" s="601"/>
      <c r="S8" s="601"/>
      <c r="T8" s="601"/>
      <c r="U8" s="601"/>
      <c r="V8" s="601"/>
      <c r="W8" s="601"/>
    </row>
    <row r="9" spans="1:23">
      <c r="A9" s="174" t="s">
        <v>311</v>
      </c>
      <c r="B9" s="168"/>
      <c r="C9" s="168"/>
      <c r="D9" s="168"/>
      <c r="E9" s="168"/>
      <c r="F9" s="168"/>
      <c r="G9" s="168"/>
      <c r="H9" s="168"/>
      <c r="I9" s="168"/>
      <c r="J9" s="168"/>
      <c r="K9" s="175"/>
      <c r="M9" s="601"/>
      <c r="N9" s="601"/>
      <c r="O9" s="601"/>
      <c r="P9" s="601"/>
      <c r="Q9" s="601"/>
      <c r="R9" s="601"/>
      <c r="S9" s="601"/>
      <c r="T9" s="601"/>
      <c r="U9" s="601"/>
      <c r="V9" s="601"/>
      <c r="W9" s="601"/>
    </row>
    <row r="10" spans="1:23">
      <c r="A10" s="176">
        <v>2</v>
      </c>
      <c r="B10" s="153" t="s">
        <v>312</v>
      </c>
      <c r="C10" s="271">
        <v>30683169.898651645</v>
      </c>
      <c r="D10" s="679">
        <v>475299299.19389212</v>
      </c>
      <c r="E10" s="679">
        <v>505982469.09254336</v>
      </c>
      <c r="F10" s="679">
        <v>5130741.9727640385</v>
      </c>
      <c r="G10" s="679">
        <v>53704556.923026986</v>
      </c>
      <c r="H10" s="679">
        <v>58835298.895791046</v>
      </c>
      <c r="I10" s="679">
        <v>1009314.5836179756</v>
      </c>
      <c r="J10" s="679">
        <v>6257496.786848818</v>
      </c>
      <c r="K10" s="680">
        <v>7266811.3704668004</v>
      </c>
      <c r="M10" s="601"/>
      <c r="N10" s="601"/>
      <c r="O10" s="601"/>
      <c r="P10" s="601"/>
      <c r="Q10" s="601"/>
      <c r="R10" s="601"/>
      <c r="S10" s="601"/>
      <c r="T10" s="601"/>
      <c r="U10" s="601"/>
      <c r="V10" s="601"/>
      <c r="W10" s="601"/>
    </row>
    <row r="11" spans="1:23">
      <c r="A11" s="176">
        <v>3</v>
      </c>
      <c r="B11" s="153" t="s">
        <v>313</v>
      </c>
      <c r="C11" s="271">
        <v>277024848.36231518</v>
      </c>
      <c r="D11" s="679">
        <v>570917415.70479882</v>
      </c>
      <c r="E11" s="679">
        <v>847942264.06711352</v>
      </c>
      <c r="F11" s="679">
        <v>58171983.669321671</v>
      </c>
      <c r="G11" s="679">
        <v>325296247.5270499</v>
      </c>
      <c r="H11" s="679">
        <v>383468231.19637156</v>
      </c>
      <c r="I11" s="679">
        <v>39512475.001830928</v>
      </c>
      <c r="J11" s="679">
        <v>134978670.44037685</v>
      </c>
      <c r="K11" s="680">
        <v>174491145.44220784</v>
      </c>
      <c r="M11" s="601"/>
      <c r="N11" s="601"/>
      <c r="O11" s="601"/>
      <c r="P11" s="601"/>
      <c r="Q11" s="601"/>
      <c r="R11" s="601"/>
      <c r="S11" s="601"/>
      <c r="T11" s="601"/>
      <c r="U11" s="601"/>
      <c r="V11" s="601"/>
      <c r="W11" s="601"/>
    </row>
    <row r="12" spans="1:23">
      <c r="A12" s="176">
        <v>4</v>
      </c>
      <c r="B12" s="153" t="s">
        <v>314</v>
      </c>
      <c r="C12" s="271">
        <v>0</v>
      </c>
      <c r="D12" s="679">
        <v>0</v>
      </c>
      <c r="E12" s="679">
        <v>0</v>
      </c>
      <c r="F12" s="679">
        <v>0</v>
      </c>
      <c r="G12" s="679">
        <v>0</v>
      </c>
      <c r="H12" s="679">
        <v>0</v>
      </c>
      <c r="I12" s="679">
        <v>0</v>
      </c>
      <c r="J12" s="679">
        <v>0</v>
      </c>
      <c r="K12" s="680">
        <v>0</v>
      </c>
      <c r="M12" s="601"/>
      <c r="N12" s="601"/>
      <c r="O12" s="601"/>
      <c r="P12" s="601"/>
      <c r="Q12" s="601"/>
      <c r="R12" s="601"/>
      <c r="S12" s="601"/>
      <c r="T12" s="601"/>
      <c r="U12" s="601"/>
      <c r="V12" s="601"/>
      <c r="W12" s="601"/>
    </row>
    <row r="13" spans="1:23">
      <c r="A13" s="176">
        <v>5</v>
      </c>
      <c r="B13" s="153" t="s">
        <v>315</v>
      </c>
      <c r="C13" s="271">
        <v>74622211.025168568</v>
      </c>
      <c r="D13" s="679">
        <v>133196988.08144158</v>
      </c>
      <c r="E13" s="679">
        <v>207819199.10661006</v>
      </c>
      <c r="F13" s="679">
        <v>18052357.620223589</v>
      </c>
      <c r="G13" s="679">
        <v>16656576.512559755</v>
      </c>
      <c r="H13" s="679">
        <v>34708934.132783346</v>
      </c>
      <c r="I13" s="679">
        <v>7037934.318039326</v>
      </c>
      <c r="J13" s="679">
        <v>7468934.9091655239</v>
      </c>
      <c r="K13" s="680">
        <v>14506869.22720485</v>
      </c>
      <c r="M13" s="601"/>
      <c r="N13" s="601"/>
      <c r="O13" s="601"/>
      <c r="P13" s="601"/>
      <c r="Q13" s="601"/>
      <c r="R13" s="601"/>
      <c r="S13" s="601"/>
      <c r="T13" s="601"/>
      <c r="U13" s="601"/>
      <c r="V13" s="601"/>
      <c r="W13" s="601"/>
    </row>
    <row r="14" spans="1:23">
      <c r="A14" s="176">
        <v>6</v>
      </c>
      <c r="B14" s="153" t="s">
        <v>330</v>
      </c>
      <c r="C14" s="271">
        <v>0</v>
      </c>
      <c r="D14" s="679">
        <v>0</v>
      </c>
      <c r="E14" s="679">
        <v>0</v>
      </c>
      <c r="F14" s="679">
        <v>0</v>
      </c>
      <c r="G14" s="679">
        <v>0</v>
      </c>
      <c r="H14" s="679">
        <v>0</v>
      </c>
      <c r="I14" s="679">
        <v>0</v>
      </c>
      <c r="J14" s="679">
        <v>0</v>
      </c>
      <c r="K14" s="680">
        <v>0</v>
      </c>
      <c r="M14" s="601"/>
      <c r="N14" s="601"/>
      <c r="O14" s="601"/>
      <c r="P14" s="601"/>
      <c r="Q14" s="601"/>
      <c r="R14" s="601"/>
      <c r="S14" s="601"/>
      <c r="T14" s="601"/>
      <c r="U14" s="601"/>
      <c r="V14" s="601"/>
      <c r="W14" s="601"/>
    </row>
    <row r="15" spans="1:23">
      <c r="A15" s="176">
        <v>7</v>
      </c>
      <c r="B15" s="153" t="s">
        <v>317</v>
      </c>
      <c r="C15" s="271">
        <v>52898320.677806363</v>
      </c>
      <c r="D15" s="679">
        <v>132247372.356151</v>
      </c>
      <c r="E15" s="679">
        <v>185145693.03395736</v>
      </c>
      <c r="F15" s="679">
        <v>1994584.7288764038</v>
      </c>
      <c r="G15" s="679">
        <v>1251541.0305662923</v>
      </c>
      <c r="H15" s="679">
        <v>3246125.7594426977</v>
      </c>
      <c r="I15" s="679">
        <v>1994584.7288764038</v>
      </c>
      <c r="J15" s="679">
        <v>1251541.0305662923</v>
      </c>
      <c r="K15" s="680">
        <v>3246125.7594426977</v>
      </c>
      <c r="M15" s="601"/>
      <c r="N15" s="601"/>
      <c r="O15" s="601"/>
      <c r="P15" s="601"/>
      <c r="Q15" s="601"/>
      <c r="R15" s="601"/>
      <c r="S15" s="601"/>
      <c r="T15" s="601"/>
      <c r="U15" s="601"/>
      <c r="V15" s="601"/>
      <c r="W15" s="601"/>
    </row>
    <row r="16" spans="1:23">
      <c r="A16" s="176">
        <v>8</v>
      </c>
      <c r="B16" s="154" t="s">
        <v>318</v>
      </c>
      <c r="C16" s="271">
        <v>435228549.96394181</v>
      </c>
      <c r="D16" s="679">
        <v>1311661075.3362837</v>
      </c>
      <c r="E16" s="679">
        <v>1746889625.3002243</v>
      </c>
      <c r="F16" s="679">
        <v>83349667.991185695</v>
      </c>
      <c r="G16" s="679">
        <v>396908921.99320292</v>
      </c>
      <c r="H16" s="679">
        <v>480258589.98438865</v>
      </c>
      <c r="I16" s="679">
        <v>49554308.632364638</v>
      </c>
      <c r="J16" s="679">
        <v>149956643.1669575</v>
      </c>
      <c r="K16" s="680">
        <v>199510951.79932219</v>
      </c>
      <c r="M16" s="601"/>
      <c r="N16" s="601"/>
      <c r="O16" s="601"/>
      <c r="P16" s="601"/>
      <c r="Q16" s="601"/>
      <c r="R16" s="601"/>
      <c r="S16" s="601"/>
      <c r="T16" s="601"/>
      <c r="U16" s="601"/>
      <c r="V16" s="601"/>
      <c r="W16" s="601"/>
    </row>
    <row r="17" spans="1:23">
      <c r="A17" s="174" t="s">
        <v>319</v>
      </c>
      <c r="B17" s="168"/>
      <c r="C17" s="168"/>
      <c r="D17" s="168"/>
      <c r="E17" s="168"/>
      <c r="F17" s="168"/>
      <c r="G17" s="168"/>
      <c r="H17" s="168"/>
      <c r="I17" s="168"/>
      <c r="J17" s="168"/>
      <c r="K17" s="175"/>
      <c r="M17" s="601"/>
      <c r="N17" s="601"/>
      <c r="O17" s="601"/>
      <c r="P17" s="601"/>
      <c r="Q17" s="601"/>
      <c r="R17" s="601"/>
      <c r="S17" s="601"/>
      <c r="T17" s="601"/>
      <c r="U17" s="601"/>
      <c r="V17" s="601"/>
      <c r="W17" s="601"/>
    </row>
    <row r="18" spans="1:23">
      <c r="A18" s="176">
        <v>9</v>
      </c>
      <c r="B18" s="153" t="s">
        <v>320</v>
      </c>
      <c r="C18" s="271">
        <v>0</v>
      </c>
      <c r="D18" s="679">
        <v>0</v>
      </c>
      <c r="E18" s="679">
        <v>0</v>
      </c>
      <c r="F18" s="679">
        <v>0</v>
      </c>
      <c r="G18" s="679">
        <v>0</v>
      </c>
      <c r="H18" s="679">
        <v>0</v>
      </c>
      <c r="I18" s="679">
        <v>0</v>
      </c>
      <c r="J18" s="679">
        <v>0</v>
      </c>
      <c r="K18" s="680">
        <v>0</v>
      </c>
      <c r="M18" s="601"/>
      <c r="N18" s="601"/>
      <c r="O18" s="601"/>
      <c r="P18" s="601"/>
      <c r="Q18" s="601"/>
      <c r="R18" s="601"/>
      <c r="S18" s="601"/>
      <c r="T18" s="601"/>
      <c r="U18" s="601"/>
      <c r="V18" s="601"/>
      <c r="W18" s="601"/>
    </row>
    <row r="19" spans="1:23">
      <c r="A19" s="176">
        <v>10</v>
      </c>
      <c r="B19" s="153" t="s">
        <v>321</v>
      </c>
      <c r="C19" s="271">
        <v>626243388.28775775</v>
      </c>
      <c r="D19" s="679">
        <v>850865057.12810183</v>
      </c>
      <c r="E19" s="679">
        <v>1477108445.4158597</v>
      </c>
      <c r="F19" s="679">
        <v>13555708.177736588</v>
      </c>
      <c r="G19" s="679">
        <v>10408961.259728601</v>
      </c>
      <c r="H19" s="679">
        <v>23964669.437465183</v>
      </c>
      <c r="I19" s="679">
        <v>76040506.142056644</v>
      </c>
      <c r="J19" s="679">
        <v>256239105.1573683</v>
      </c>
      <c r="K19" s="680">
        <v>332279611.29942483</v>
      </c>
      <c r="M19" s="601"/>
      <c r="N19" s="601"/>
      <c r="O19" s="601"/>
      <c r="P19" s="601"/>
      <c r="Q19" s="601"/>
      <c r="R19" s="601"/>
      <c r="S19" s="601"/>
      <c r="T19" s="601"/>
      <c r="U19" s="601"/>
      <c r="V19" s="601"/>
      <c r="W19" s="601"/>
    </row>
    <row r="20" spans="1:23">
      <c r="A20" s="176">
        <v>11</v>
      </c>
      <c r="B20" s="153" t="s">
        <v>322</v>
      </c>
      <c r="C20" s="271">
        <v>30758007.957983568</v>
      </c>
      <c r="D20" s="679">
        <v>3071.9059303370723</v>
      </c>
      <c r="E20" s="679">
        <v>30761079.863913927</v>
      </c>
      <c r="F20" s="679">
        <v>1567724.5960790101</v>
      </c>
      <c r="G20" s="679">
        <v>0</v>
      </c>
      <c r="H20" s="679">
        <v>1567724.5960790101</v>
      </c>
      <c r="I20" s="679">
        <v>1567724.5960790101</v>
      </c>
      <c r="J20" s="679">
        <v>0</v>
      </c>
      <c r="K20" s="680">
        <v>1567724.5960790101</v>
      </c>
      <c r="M20" s="601"/>
      <c r="N20" s="601"/>
      <c r="O20" s="601"/>
      <c r="P20" s="601"/>
      <c r="Q20" s="601"/>
      <c r="R20" s="601"/>
      <c r="S20" s="601"/>
      <c r="T20" s="601"/>
      <c r="U20" s="601"/>
      <c r="V20" s="601"/>
      <c r="W20" s="601"/>
    </row>
    <row r="21" spans="1:23" ht="13.5" thickBot="1">
      <c r="A21" s="120">
        <v>12</v>
      </c>
      <c r="B21" s="177" t="s">
        <v>323</v>
      </c>
      <c r="C21" s="681">
        <v>657001396.24574137</v>
      </c>
      <c r="D21" s="682">
        <v>850868129.03403211</v>
      </c>
      <c r="E21" s="681">
        <v>1507869525.2797737</v>
      </c>
      <c r="F21" s="682">
        <v>15123432.773815598</v>
      </c>
      <c r="G21" s="682">
        <v>10408961.259728601</v>
      </c>
      <c r="H21" s="682">
        <v>25532394.033544194</v>
      </c>
      <c r="I21" s="682">
        <v>77608230.738135651</v>
      </c>
      <c r="J21" s="682">
        <v>256239105.1573683</v>
      </c>
      <c r="K21" s="683">
        <v>333847335.89550382</v>
      </c>
      <c r="M21" s="601"/>
      <c r="N21" s="601"/>
      <c r="O21" s="601"/>
      <c r="P21" s="601"/>
      <c r="Q21" s="601"/>
      <c r="R21" s="601"/>
      <c r="S21" s="601"/>
      <c r="T21" s="601"/>
      <c r="U21" s="601"/>
      <c r="V21" s="601"/>
      <c r="W21" s="601"/>
    </row>
    <row r="22" spans="1:23" ht="38.25" customHeight="1" thickBot="1">
      <c r="A22" s="165"/>
      <c r="B22" s="166"/>
      <c r="C22" s="166"/>
      <c r="D22" s="166"/>
      <c r="E22" s="166"/>
      <c r="F22" s="781" t="s">
        <v>324</v>
      </c>
      <c r="G22" s="782"/>
      <c r="H22" s="782"/>
      <c r="I22" s="781" t="s">
        <v>325</v>
      </c>
      <c r="J22" s="782"/>
      <c r="K22" s="783"/>
      <c r="M22" s="601"/>
      <c r="N22" s="601"/>
      <c r="O22" s="601"/>
      <c r="P22" s="601"/>
      <c r="Q22" s="601"/>
      <c r="R22" s="601"/>
      <c r="S22" s="601"/>
      <c r="T22" s="601"/>
      <c r="U22" s="601"/>
      <c r="V22" s="601"/>
      <c r="W22" s="601"/>
    </row>
    <row r="23" spans="1:23">
      <c r="A23" s="158">
        <v>13</v>
      </c>
      <c r="B23" s="155" t="s">
        <v>310</v>
      </c>
      <c r="C23" s="164"/>
      <c r="D23" s="164"/>
      <c r="E23" s="164"/>
      <c r="F23" s="684">
        <f t="shared" ref="F23:K23" si="0">F8</f>
        <v>148735948.42677671</v>
      </c>
      <c r="G23" s="684">
        <f t="shared" si="0"/>
        <v>524674926.88295239</v>
      </c>
      <c r="H23" s="684">
        <f t="shared" si="0"/>
        <v>673410875.30972874</v>
      </c>
      <c r="I23" s="684">
        <f t="shared" si="0"/>
        <v>86251389.977512792</v>
      </c>
      <c r="J23" s="684">
        <f t="shared" si="0"/>
        <v>290353604.00725228</v>
      </c>
      <c r="K23" s="685">
        <f t="shared" si="0"/>
        <v>376604993.98476529</v>
      </c>
      <c r="M23" s="601"/>
      <c r="N23" s="601"/>
      <c r="O23" s="601"/>
      <c r="P23" s="601"/>
      <c r="Q23" s="601"/>
      <c r="R23" s="601"/>
      <c r="S23" s="601"/>
      <c r="T23" s="601"/>
      <c r="U23" s="601"/>
      <c r="V23" s="601"/>
      <c r="W23" s="601"/>
    </row>
    <row r="24" spans="1:23" ht="13.5" thickBot="1">
      <c r="A24" s="159">
        <v>14</v>
      </c>
      <c r="B24" s="156" t="s">
        <v>326</v>
      </c>
      <c r="C24" s="178"/>
      <c r="D24" s="162"/>
      <c r="E24" s="163"/>
      <c r="F24" s="686">
        <f t="shared" ref="F24:K24" si="1">MAX(F16-F21,F16*0.25)</f>
        <v>68226235.217370093</v>
      </c>
      <c r="G24" s="686">
        <f t="shared" si="1"/>
        <v>386499960.73347431</v>
      </c>
      <c r="H24" s="686">
        <f>MAX(H16-H21,H16*0.25)</f>
        <v>454726195.95084447</v>
      </c>
      <c r="I24" s="686">
        <f t="shared" si="1"/>
        <v>12388577.15809116</v>
      </c>
      <c r="J24" s="686">
        <f t="shared" si="1"/>
        <v>37489160.791739374</v>
      </c>
      <c r="K24" s="687">
        <f t="shared" si="1"/>
        <v>49877737.949830547</v>
      </c>
      <c r="M24" s="601"/>
      <c r="N24" s="601"/>
      <c r="O24" s="601"/>
      <c r="P24" s="601"/>
      <c r="Q24" s="601"/>
      <c r="R24" s="601"/>
      <c r="S24" s="601"/>
      <c r="T24" s="601"/>
      <c r="U24" s="601"/>
      <c r="V24" s="601"/>
      <c r="W24" s="601"/>
    </row>
    <row r="25" spans="1:23" ht="13.5" thickBot="1">
      <c r="A25" s="160">
        <v>15</v>
      </c>
      <c r="B25" s="157" t="s">
        <v>327</v>
      </c>
      <c r="C25" s="161"/>
      <c r="D25" s="161"/>
      <c r="E25" s="161"/>
      <c r="F25" s="688">
        <f t="shared" ref="F25:K25" si="2">F23/F24</f>
        <v>2.1800403899306642</v>
      </c>
      <c r="G25" s="688">
        <f t="shared" si="2"/>
        <v>1.3575031828910376</v>
      </c>
      <c r="H25" s="688">
        <f t="shared" si="2"/>
        <v>1.4809150678060428</v>
      </c>
      <c r="I25" s="688">
        <f t="shared" si="2"/>
        <v>6.9621707865927736</v>
      </c>
      <c r="J25" s="688">
        <f t="shared" si="2"/>
        <v>7.7450014317533302</v>
      </c>
      <c r="K25" s="689">
        <f t="shared" si="2"/>
        <v>7.5505628255149198</v>
      </c>
      <c r="M25" s="601"/>
      <c r="N25" s="601"/>
      <c r="O25" s="601"/>
      <c r="P25" s="601"/>
      <c r="Q25" s="601"/>
      <c r="R25" s="601"/>
      <c r="S25" s="601"/>
      <c r="T25" s="601"/>
      <c r="U25" s="601"/>
      <c r="V25" s="601"/>
      <c r="W25" s="601"/>
    </row>
    <row r="28" spans="1:23" ht="38.25">
      <c r="B28" s="17" t="s">
        <v>371</v>
      </c>
    </row>
    <row r="34" spans="3:11">
      <c r="C34" s="906"/>
      <c r="D34" s="906"/>
      <c r="E34" s="906"/>
      <c r="F34" s="906"/>
      <c r="G34" s="906"/>
      <c r="H34" s="906"/>
      <c r="I34" s="906"/>
      <c r="J34" s="906"/>
      <c r="K34" s="906"/>
    </row>
    <row r="35" spans="3:11">
      <c r="C35" s="906"/>
      <c r="D35" s="906"/>
      <c r="E35" s="906"/>
      <c r="F35" s="906"/>
      <c r="G35" s="906"/>
      <c r="H35" s="906"/>
      <c r="I35" s="906"/>
      <c r="J35" s="906"/>
      <c r="K35" s="906"/>
    </row>
    <row r="36" spans="3:11">
      <c r="C36" s="906"/>
      <c r="D36" s="906"/>
      <c r="E36" s="906"/>
      <c r="F36" s="906"/>
      <c r="G36" s="906"/>
      <c r="H36" s="906"/>
      <c r="I36" s="906"/>
      <c r="J36" s="906"/>
      <c r="K36" s="906"/>
    </row>
    <row r="37" spans="3:11">
      <c r="C37" s="906"/>
      <c r="D37" s="906"/>
      <c r="E37" s="906"/>
      <c r="F37" s="906"/>
      <c r="G37" s="906"/>
      <c r="H37" s="906"/>
      <c r="I37" s="906"/>
      <c r="J37" s="906"/>
      <c r="K37" s="906"/>
    </row>
    <row r="38" spans="3:11">
      <c r="C38" s="906"/>
      <c r="D38" s="906"/>
      <c r="E38" s="906"/>
      <c r="F38" s="906"/>
      <c r="G38" s="906"/>
      <c r="H38" s="906"/>
      <c r="I38" s="906"/>
      <c r="J38" s="906"/>
      <c r="K38" s="906"/>
    </row>
    <row r="39" spans="3:11">
      <c r="C39" s="906"/>
      <c r="D39" s="906"/>
      <c r="E39" s="906"/>
      <c r="F39" s="906"/>
      <c r="G39" s="906"/>
      <c r="H39" s="906"/>
      <c r="I39" s="906"/>
      <c r="J39" s="906"/>
      <c r="K39" s="906"/>
    </row>
    <row r="40" spans="3:11">
      <c r="C40" s="906"/>
      <c r="D40" s="906"/>
      <c r="E40" s="906"/>
      <c r="F40" s="906"/>
      <c r="G40" s="906"/>
      <c r="H40" s="906"/>
      <c r="I40" s="906"/>
      <c r="J40" s="906"/>
      <c r="K40" s="906"/>
    </row>
    <row r="41" spans="3:11">
      <c r="C41" s="906"/>
      <c r="D41" s="906"/>
      <c r="E41" s="906"/>
      <c r="F41" s="906"/>
      <c r="G41" s="906"/>
      <c r="H41" s="906"/>
      <c r="I41" s="906"/>
      <c r="J41" s="906"/>
      <c r="K41" s="906"/>
    </row>
    <row r="42" spans="3:11">
      <c r="C42" s="906"/>
      <c r="D42" s="906"/>
      <c r="E42" s="906"/>
      <c r="F42" s="906"/>
      <c r="G42" s="906"/>
      <c r="H42" s="906"/>
      <c r="I42" s="906"/>
      <c r="J42" s="906"/>
      <c r="K42" s="906"/>
    </row>
    <row r="43" spans="3:11">
      <c r="C43" s="906"/>
      <c r="D43" s="906"/>
      <c r="E43" s="906"/>
      <c r="F43" s="906"/>
      <c r="G43" s="906"/>
      <c r="H43" s="906"/>
      <c r="I43" s="906"/>
      <c r="J43" s="906"/>
      <c r="K43" s="906"/>
    </row>
    <row r="44" spans="3:11">
      <c r="C44" s="906"/>
      <c r="D44" s="906"/>
      <c r="E44" s="906"/>
      <c r="F44" s="906"/>
      <c r="G44" s="906"/>
      <c r="H44" s="906"/>
      <c r="I44" s="906"/>
      <c r="J44" s="906"/>
      <c r="K44" s="906"/>
    </row>
    <row r="45" spans="3:11">
      <c r="C45" s="906"/>
      <c r="D45" s="906"/>
      <c r="E45" s="906"/>
      <c r="F45" s="906"/>
      <c r="G45" s="906"/>
      <c r="H45" s="906"/>
      <c r="I45" s="906"/>
      <c r="J45" s="906"/>
      <c r="K45" s="906"/>
    </row>
    <row r="46" spans="3:11">
      <c r="C46" s="906"/>
      <c r="D46" s="906"/>
      <c r="E46" s="906"/>
      <c r="F46" s="906"/>
      <c r="G46" s="906"/>
      <c r="H46" s="906"/>
      <c r="I46" s="906"/>
      <c r="J46" s="906"/>
      <c r="K46" s="906"/>
    </row>
    <row r="47" spans="3:11">
      <c r="C47" s="906"/>
      <c r="D47" s="906"/>
      <c r="E47" s="906"/>
      <c r="F47" s="906"/>
      <c r="G47" s="906"/>
      <c r="H47" s="906"/>
      <c r="I47" s="906"/>
      <c r="J47" s="906"/>
      <c r="K47" s="906"/>
    </row>
    <row r="48" spans="3:11">
      <c r="C48" s="906"/>
      <c r="D48" s="906"/>
      <c r="E48" s="906"/>
      <c r="F48" s="906"/>
      <c r="G48" s="906"/>
      <c r="H48" s="906"/>
      <c r="I48" s="906"/>
      <c r="J48" s="906"/>
      <c r="K48" s="906"/>
    </row>
    <row r="49" spans="3:11">
      <c r="C49" s="906"/>
      <c r="D49" s="906"/>
      <c r="E49" s="906"/>
      <c r="F49" s="906"/>
      <c r="G49" s="906"/>
      <c r="H49" s="906"/>
      <c r="I49" s="906"/>
      <c r="J49" s="906"/>
      <c r="K49" s="906"/>
    </row>
    <row r="50" spans="3:11">
      <c r="C50" s="906"/>
      <c r="D50" s="906"/>
      <c r="E50" s="906"/>
      <c r="F50" s="906"/>
      <c r="G50" s="906"/>
      <c r="H50" s="906"/>
      <c r="I50" s="906"/>
      <c r="J50" s="906"/>
      <c r="K50" s="906"/>
    </row>
    <row r="51" spans="3:11">
      <c r="C51" s="906"/>
      <c r="D51" s="906"/>
      <c r="E51" s="906"/>
      <c r="F51" s="906"/>
      <c r="G51" s="906"/>
      <c r="H51" s="906"/>
      <c r="I51" s="906"/>
      <c r="J51" s="906"/>
      <c r="K51" s="906"/>
    </row>
    <row r="52" spans="3:11">
      <c r="C52" s="906"/>
      <c r="D52" s="906"/>
      <c r="E52" s="906"/>
      <c r="F52" s="906"/>
      <c r="G52" s="906"/>
      <c r="H52" s="906"/>
      <c r="I52" s="906"/>
      <c r="J52" s="906"/>
      <c r="K52" s="906"/>
    </row>
    <row r="53" spans="3:11">
      <c r="C53" s="906"/>
      <c r="D53" s="906"/>
      <c r="E53" s="906"/>
      <c r="F53" s="906"/>
      <c r="G53" s="906"/>
      <c r="H53" s="906"/>
      <c r="I53" s="906"/>
      <c r="J53" s="906"/>
      <c r="K53" s="906"/>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showGridLines="0" zoomScale="80" zoomScaleNormal="80" workbookViewId="0">
      <pane xSplit="1" ySplit="1" topLeftCell="B4" activePane="bottomRight" state="frozen"/>
      <selection activeCell="B30" sqref="B30"/>
      <selection pane="topRight" activeCell="B30" sqref="B30"/>
      <selection pane="bottomLeft" activeCell="B30" sqref="B30"/>
      <selection pane="bottomRight" activeCell="B30" sqref="B30"/>
    </sheetView>
  </sheetViews>
  <sheetFormatPr defaultColWidth="9.28515625" defaultRowHeight="15"/>
  <cols>
    <col min="1" max="1" width="10.5703125" style="31" bestFit="1" customWidth="1"/>
    <col min="2" max="2" width="68" style="31" customWidth="1"/>
    <col min="3" max="9" width="15" style="31" customWidth="1"/>
    <col min="10" max="14" width="18.5703125" style="31" customWidth="1"/>
    <col min="15" max="17" width="18.5703125" style="8" customWidth="1"/>
    <col min="18" max="16384" width="9.28515625" style="8"/>
  </cols>
  <sheetData>
    <row r="1" spans="1:17">
      <c r="A1" s="12" t="s">
        <v>97</v>
      </c>
      <c r="B1" s="31" t="str">
        <f>Info!C2</f>
        <v>სს "ბანკი ქართუ"</v>
      </c>
    </row>
    <row r="2" spans="1:17">
      <c r="A2" s="31" t="s">
        <v>98</v>
      </c>
      <c r="B2" s="593">
        <f>'1. key ratios'!B2</f>
        <v>46112</v>
      </c>
    </row>
    <row r="3" spans="1:17">
      <c r="B3" s="8"/>
      <c r="C3" s="8"/>
      <c r="D3" s="8"/>
      <c r="E3" s="8"/>
      <c r="F3" s="8"/>
      <c r="G3" s="8"/>
      <c r="H3" s="8"/>
      <c r="I3" s="8"/>
      <c r="J3" s="8"/>
      <c r="K3" s="8"/>
      <c r="L3" s="8"/>
      <c r="M3" s="8"/>
      <c r="N3" s="8"/>
    </row>
    <row r="4" spans="1:17">
      <c r="B4" s="575" t="s">
        <v>980</v>
      </c>
      <c r="C4" s="8"/>
      <c r="D4" s="8"/>
      <c r="E4" s="8"/>
      <c r="F4" s="8"/>
      <c r="G4" s="8"/>
      <c r="H4" s="8"/>
      <c r="I4" s="8"/>
      <c r="J4" s="8"/>
      <c r="K4" s="8"/>
      <c r="L4" s="8"/>
      <c r="M4" s="8"/>
      <c r="N4" s="8"/>
    </row>
    <row r="5" spans="1:17" ht="120">
      <c r="B5" s="576" t="s">
        <v>981</v>
      </c>
      <c r="C5" s="577" t="s">
        <v>982</v>
      </c>
      <c r="D5" s="577" t="s">
        <v>983</v>
      </c>
      <c r="E5" s="577" t="s">
        <v>984</v>
      </c>
      <c r="F5" s="577" t="s">
        <v>985</v>
      </c>
      <c r="G5" s="577" t="s">
        <v>986</v>
      </c>
      <c r="H5" s="577" t="s">
        <v>987</v>
      </c>
      <c r="I5" s="578" t="s">
        <v>988</v>
      </c>
      <c r="J5" s="579">
        <v>0.02</v>
      </c>
      <c r="K5" s="579">
        <v>0.2</v>
      </c>
      <c r="L5" s="579">
        <v>0.35</v>
      </c>
      <c r="M5" s="579">
        <v>0.5</v>
      </c>
      <c r="N5" s="579">
        <v>0.75</v>
      </c>
      <c r="O5" s="579">
        <v>1</v>
      </c>
      <c r="P5" s="579">
        <v>1.5</v>
      </c>
      <c r="Q5" s="580" t="s">
        <v>73</v>
      </c>
    </row>
    <row r="6" spans="1:17" ht="15.75">
      <c r="B6" s="581"/>
      <c r="C6" s="547">
        <f>IF(C7&gt;0,C7,IF(C8&gt;0,C8,IF(C9&gt;0,C9,0)))</f>
        <v>0</v>
      </c>
      <c r="D6" s="547">
        <f t="shared" ref="D6:I6" si="0">IF(D7&gt;0,D7,IF(D8&gt;0,D8,IF(D9&gt;0,D9,0)))</f>
        <v>0</v>
      </c>
      <c r="E6" s="547">
        <f t="shared" si="0"/>
        <v>0</v>
      </c>
      <c r="F6" s="547">
        <f t="shared" si="0"/>
        <v>0</v>
      </c>
      <c r="G6" s="547">
        <f t="shared" si="0"/>
        <v>0</v>
      </c>
      <c r="H6" s="547"/>
      <c r="I6" s="547">
        <f t="shared" si="0"/>
        <v>0</v>
      </c>
      <c r="J6" s="547">
        <f t="shared" ref="J6" si="1">IF(J7&gt;0,J7,IF(J8&gt;0,J8,IF(J9&gt;0,J9,0)))</f>
        <v>0</v>
      </c>
      <c r="K6" s="547">
        <f t="shared" ref="K6" si="2">IF(K7&gt;0,K7,IF(K8&gt;0,K8,IF(K9&gt;0,K9,0)))</f>
        <v>0</v>
      </c>
      <c r="L6" s="547">
        <f t="shared" ref="L6" si="3">IF(L7&gt;0,L7,IF(L8&gt;0,L8,IF(L9&gt;0,L9,0)))</f>
        <v>0</v>
      </c>
      <c r="M6" s="547">
        <f t="shared" ref="M6" si="4">IF(M7&gt;0,M7,IF(M8&gt;0,M8,IF(M9&gt;0,M9,0)))</f>
        <v>0</v>
      </c>
      <c r="N6" s="547">
        <f t="shared" ref="N6" si="5">IF(N7&gt;0,N7,IF(N8&gt;0,N8,IF(N9&gt;0,N9,0)))</f>
        <v>0</v>
      </c>
      <c r="O6" s="547">
        <f t="shared" ref="O6" si="6">IF(O7&gt;0,O7,IF(O8&gt;0,O8,IF(O9&gt;0,O9,0)))</f>
        <v>0</v>
      </c>
      <c r="P6" s="547">
        <f t="shared" ref="P6" si="7">IF(P7&gt;0,P7,IF(P8&gt;0,P8,IF(P9&gt;0,P9,0)))</f>
        <v>0</v>
      </c>
      <c r="Q6" s="547">
        <f t="shared" ref="Q6" si="8">IF(Q7&gt;0,Q7,IF(Q8&gt;0,Q8,IF(Q9&gt;0,Q9,0)))</f>
        <v>0</v>
      </c>
    </row>
    <row r="7" spans="1:17" ht="15.75">
      <c r="B7" s="582" t="s">
        <v>976</v>
      </c>
      <c r="C7" s="547">
        <f>C11+C15+C19+C23+C27+C31</f>
        <v>0</v>
      </c>
      <c r="D7" s="547">
        <f>D11+D15+D19+D23+D27+D31</f>
        <v>0</v>
      </c>
      <c r="E7" s="547">
        <f t="shared" ref="E7" si="9">E11+E15+E19+E23+E27+E31</f>
        <v>0</v>
      </c>
      <c r="F7" s="547">
        <f t="shared" ref="F7:G9" si="10">F11+F15+F19+F23+F27+F31</f>
        <v>0</v>
      </c>
      <c r="G7" s="547">
        <f t="shared" si="10"/>
        <v>0</v>
      </c>
      <c r="H7" s="583">
        <v>1.4</v>
      </c>
      <c r="I7" s="584">
        <f t="shared" ref="I7:I33" si="11">(F7+G7)*H7</f>
        <v>0</v>
      </c>
      <c r="J7" s="547">
        <f>J11+J15+J19+J23+J27+J31</f>
        <v>0</v>
      </c>
      <c r="K7" s="547">
        <f t="shared" ref="J7:Q9" si="12">K11+K15+K19+K23+K27+K31</f>
        <v>0</v>
      </c>
      <c r="L7" s="547">
        <f t="shared" si="12"/>
        <v>0</v>
      </c>
      <c r="M7" s="547">
        <f t="shared" si="12"/>
        <v>0</v>
      </c>
      <c r="N7" s="547">
        <f t="shared" si="12"/>
        <v>0</v>
      </c>
      <c r="O7" s="547">
        <f t="shared" si="12"/>
        <v>0</v>
      </c>
      <c r="P7" s="547">
        <f t="shared" si="12"/>
        <v>0</v>
      </c>
      <c r="Q7" s="547">
        <f>Q11+Q15+Q19+Q23+Q27+Q31</f>
        <v>0</v>
      </c>
    </row>
    <row r="8" spans="1:17" ht="15.75">
      <c r="B8" s="582" t="s">
        <v>977</v>
      </c>
      <c r="C8" s="547">
        <f>C12+C16+C20+C24+C28+C32</f>
        <v>0</v>
      </c>
      <c r="D8" s="547">
        <f>D12+D16+D20+D24+D28+D32</f>
        <v>0</v>
      </c>
      <c r="E8" s="547">
        <f t="shared" ref="E8" si="13">E12+E16+E20+E24+E28+E32</f>
        <v>0</v>
      </c>
      <c r="F8" s="547">
        <f t="shared" si="10"/>
        <v>0</v>
      </c>
      <c r="G8" s="547">
        <f t="shared" si="10"/>
        <v>0</v>
      </c>
      <c r="H8" s="583">
        <v>1.4</v>
      </c>
      <c r="I8" s="584">
        <f t="shared" si="11"/>
        <v>0</v>
      </c>
      <c r="J8" s="547">
        <f t="shared" si="12"/>
        <v>0</v>
      </c>
      <c r="K8" s="547">
        <f t="shared" si="12"/>
        <v>0</v>
      </c>
      <c r="L8" s="547">
        <f t="shared" si="12"/>
        <v>0</v>
      </c>
      <c r="M8" s="547">
        <f t="shared" si="12"/>
        <v>0</v>
      </c>
      <c r="N8" s="547">
        <f t="shared" si="12"/>
        <v>0</v>
      </c>
      <c r="O8" s="547">
        <f t="shared" si="12"/>
        <v>0</v>
      </c>
      <c r="P8" s="547">
        <f t="shared" si="12"/>
        <v>0</v>
      </c>
      <c r="Q8" s="547">
        <f>Q12+Q16+Q20+Q24+Q28+Q32</f>
        <v>0</v>
      </c>
    </row>
    <row r="9" spans="1:17" ht="15.75">
      <c r="B9" s="582" t="s">
        <v>978</v>
      </c>
      <c r="C9" s="547">
        <f>C13+C17+C21+C25+C29+C33</f>
        <v>0</v>
      </c>
      <c r="D9" s="547">
        <f t="shared" ref="D9:E9" si="14">D13+D17+D21+D25+D29+D33</f>
        <v>0</v>
      </c>
      <c r="E9" s="547">
        <f t="shared" si="14"/>
        <v>0</v>
      </c>
      <c r="F9" s="547">
        <f t="shared" si="10"/>
        <v>0</v>
      </c>
      <c r="G9" s="547">
        <f t="shared" si="10"/>
        <v>0</v>
      </c>
      <c r="H9" s="583">
        <v>1.4</v>
      </c>
      <c r="I9" s="584">
        <f t="shared" si="11"/>
        <v>0</v>
      </c>
      <c r="J9" s="547">
        <f t="shared" si="12"/>
        <v>0</v>
      </c>
      <c r="K9" s="547">
        <f t="shared" si="12"/>
        <v>0</v>
      </c>
      <c r="L9" s="547">
        <f t="shared" si="12"/>
        <v>0</v>
      </c>
      <c r="M9" s="547">
        <f t="shared" si="12"/>
        <v>0</v>
      </c>
      <c r="N9" s="547">
        <f t="shared" si="12"/>
        <v>0</v>
      </c>
      <c r="O9" s="547">
        <f t="shared" si="12"/>
        <v>0</v>
      </c>
      <c r="P9" s="547">
        <f t="shared" si="12"/>
        <v>0</v>
      </c>
      <c r="Q9" s="547">
        <f t="shared" si="12"/>
        <v>0</v>
      </c>
    </row>
    <row r="10" spans="1:17" ht="15.75">
      <c r="B10" s="585" t="s">
        <v>989</v>
      </c>
      <c r="C10" s="586"/>
      <c r="D10" s="586"/>
      <c r="E10" s="586"/>
      <c r="F10" s="586"/>
      <c r="G10" s="586"/>
      <c r="H10" s="583">
        <v>1.4</v>
      </c>
      <c r="I10" s="584">
        <f t="shared" si="11"/>
        <v>0</v>
      </c>
      <c r="J10" s="544"/>
      <c r="K10" s="544"/>
      <c r="L10" s="544"/>
      <c r="M10" s="544"/>
      <c r="N10" s="544"/>
      <c r="O10" s="544"/>
      <c r="P10" s="544"/>
      <c r="Q10" s="547">
        <f>IF(Q11&gt;0,Q11,IF(Q12&gt;0,Q12,IF(Q13&gt;0,Q13,0)))</f>
        <v>0</v>
      </c>
    </row>
    <row r="11" spans="1:17" ht="15.75">
      <c r="B11" s="587" t="s">
        <v>976</v>
      </c>
      <c r="C11" s="586"/>
      <c r="D11" s="586"/>
      <c r="E11" s="586"/>
      <c r="F11" s="586"/>
      <c r="G11" s="586"/>
      <c r="H11" s="583">
        <v>1.4</v>
      </c>
      <c r="I11" s="584">
        <f t="shared" si="11"/>
        <v>0</v>
      </c>
      <c r="J11" s="544"/>
      <c r="K11" s="544"/>
      <c r="L11" s="544"/>
      <c r="M11" s="544"/>
      <c r="N11" s="544"/>
      <c r="O11" s="544"/>
      <c r="P11" s="544"/>
      <c r="Q11" s="547">
        <f>SUMPRODUCT($J$5:$P$5,J11:P11)</f>
        <v>0</v>
      </c>
    </row>
    <row r="12" spans="1:17" ht="15.75">
      <c r="B12" s="587" t="s">
        <v>977</v>
      </c>
      <c r="C12" s="586"/>
      <c r="D12" s="586"/>
      <c r="E12" s="586"/>
      <c r="F12" s="586"/>
      <c r="G12" s="586"/>
      <c r="H12" s="583">
        <v>1.4</v>
      </c>
      <c r="I12" s="584">
        <f t="shared" si="11"/>
        <v>0</v>
      </c>
      <c r="J12" s="544"/>
      <c r="K12" s="544"/>
      <c r="L12" s="544"/>
      <c r="M12" s="544"/>
      <c r="N12" s="544"/>
      <c r="O12" s="544"/>
      <c r="P12" s="544"/>
      <c r="Q12" s="547">
        <f>SUMPRODUCT($J$5:$P$5,J12:P12)</f>
        <v>0</v>
      </c>
    </row>
    <row r="13" spans="1:17" ht="15.75">
      <c r="B13" s="587" t="s">
        <v>978</v>
      </c>
      <c r="C13" s="586"/>
      <c r="D13" s="586"/>
      <c r="E13" s="586"/>
      <c r="F13" s="586"/>
      <c r="G13" s="586"/>
      <c r="H13" s="583">
        <v>1.4</v>
      </c>
      <c r="I13" s="584">
        <f t="shared" si="11"/>
        <v>0</v>
      </c>
      <c r="J13" s="544"/>
      <c r="K13" s="544"/>
      <c r="L13" s="544"/>
      <c r="M13" s="544"/>
      <c r="N13" s="544"/>
      <c r="O13" s="544"/>
      <c r="P13" s="544"/>
      <c r="Q13" s="547">
        <f>SUMPRODUCT($J$5:$P$5,J13:P13)</f>
        <v>0</v>
      </c>
    </row>
    <row r="14" spans="1:17" ht="15.75">
      <c r="B14" s="585" t="s">
        <v>990</v>
      </c>
      <c r="C14" s="586"/>
      <c r="D14" s="586"/>
      <c r="E14" s="586"/>
      <c r="F14" s="586"/>
      <c r="G14" s="586"/>
      <c r="H14" s="583">
        <v>1.4</v>
      </c>
      <c r="I14" s="584">
        <f t="shared" si="11"/>
        <v>0</v>
      </c>
      <c r="J14" s="544"/>
      <c r="K14" s="544"/>
      <c r="L14" s="544"/>
      <c r="M14" s="544"/>
      <c r="N14" s="544"/>
      <c r="O14" s="544"/>
      <c r="P14" s="544"/>
      <c r="Q14" s="547">
        <f>IF(Q15&gt;0,Q15,IF(Q16&gt;0,Q16,IF(Q17&gt;0,Q17,0)))</f>
        <v>0</v>
      </c>
    </row>
    <row r="15" spans="1:17" ht="15.75">
      <c r="B15" s="587" t="s">
        <v>976</v>
      </c>
      <c r="C15" s="586"/>
      <c r="D15" s="586"/>
      <c r="E15" s="586"/>
      <c r="F15" s="586"/>
      <c r="G15" s="586"/>
      <c r="H15" s="583">
        <v>1.4</v>
      </c>
      <c r="I15" s="584">
        <f t="shared" si="11"/>
        <v>0</v>
      </c>
      <c r="J15" s="544"/>
      <c r="K15" s="544"/>
      <c r="L15" s="544"/>
      <c r="M15" s="544"/>
      <c r="N15" s="544"/>
      <c r="O15" s="544"/>
      <c r="P15" s="544"/>
      <c r="Q15" s="547">
        <f>SUMPRODUCT($J$5:$P$5,J15:P15)</f>
        <v>0</v>
      </c>
    </row>
    <row r="16" spans="1:17" ht="15.75">
      <c r="B16" s="587" t="s">
        <v>977</v>
      </c>
      <c r="C16" s="586"/>
      <c r="D16" s="586"/>
      <c r="E16" s="586"/>
      <c r="F16" s="586"/>
      <c r="G16" s="586"/>
      <c r="H16" s="583">
        <v>1.4</v>
      </c>
      <c r="I16" s="584">
        <f t="shared" si="11"/>
        <v>0</v>
      </c>
      <c r="J16" s="544"/>
      <c r="K16" s="544"/>
      <c r="L16" s="544"/>
      <c r="M16" s="544"/>
      <c r="N16" s="544"/>
      <c r="O16" s="544"/>
      <c r="P16" s="544"/>
      <c r="Q16" s="547">
        <f t="shared" ref="Q16:Q17" si="15">SUMPRODUCT($J$5:$P$5,J16:P16)</f>
        <v>0</v>
      </c>
    </row>
    <row r="17" spans="2:17" ht="15.75">
      <c r="B17" s="587" t="s">
        <v>978</v>
      </c>
      <c r="C17" s="586"/>
      <c r="D17" s="586"/>
      <c r="E17" s="586"/>
      <c r="F17" s="586"/>
      <c r="G17" s="586"/>
      <c r="H17" s="583">
        <v>1.4</v>
      </c>
      <c r="I17" s="584">
        <f t="shared" si="11"/>
        <v>0</v>
      </c>
      <c r="J17" s="544"/>
      <c r="K17" s="544"/>
      <c r="L17" s="544"/>
      <c r="M17" s="544"/>
      <c r="N17" s="544"/>
      <c r="O17" s="544"/>
      <c r="P17" s="544"/>
      <c r="Q17" s="547">
        <f t="shared" si="15"/>
        <v>0</v>
      </c>
    </row>
    <row r="18" spans="2:17" ht="15.75">
      <c r="B18" s="585" t="s">
        <v>991</v>
      </c>
      <c r="C18" s="586"/>
      <c r="D18" s="586"/>
      <c r="E18" s="586"/>
      <c r="F18" s="586"/>
      <c r="G18" s="586"/>
      <c r="H18" s="583">
        <v>1.4</v>
      </c>
      <c r="I18" s="584">
        <f t="shared" si="11"/>
        <v>0</v>
      </c>
      <c r="J18" s="544"/>
      <c r="K18" s="544"/>
      <c r="L18" s="544"/>
      <c r="M18" s="544"/>
      <c r="N18" s="544"/>
      <c r="O18" s="544"/>
      <c r="P18" s="544"/>
      <c r="Q18" s="547">
        <f t="shared" ref="Q18" si="16">IF(Q19&gt;0,Q19,IF(Q20&gt;0,Q20,IF(Q21&gt;0,Q21,0)))</f>
        <v>0</v>
      </c>
    </row>
    <row r="19" spans="2:17" ht="15.75">
      <c r="B19" s="587" t="s">
        <v>976</v>
      </c>
      <c r="C19" s="586"/>
      <c r="D19" s="586"/>
      <c r="E19" s="586"/>
      <c r="F19" s="586"/>
      <c r="G19" s="586"/>
      <c r="H19" s="583">
        <v>1.4</v>
      </c>
      <c r="I19" s="584">
        <f t="shared" si="11"/>
        <v>0</v>
      </c>
      <c r="J19" s="544"/>
      <c r="K19" s="544"/>
      <c r="L19" s="544"/>
      <c r="M19" s="544"/>
      <c r="N19" s="544"/>
      <c r="O19" s="544"/>
      <c r="P19" s="544"/>
      <c r="Q19" s="547">
        <f>SUMPRODUCT($J$5:$P$5,J19:P19)</f>
        <v>0</v>
      </c>
    </row>
    <row r="20" spans="2:17" ht="15.75">
      <c r="B20" s="587" t="s">
        <v>977</v>
      </c>
      <c r="C20" s="586"/>
      <c r="D20" s="586"/>
      <c r="E20" s="586"/>
      <c r="F20" s="586"/>
      <c r="G20" s="586"/>
      <c r="H20" s="583">
        <v>1.4</v>
      </c>
      <c r="I20" s="584">
        <f t="shared" si="11"/>
        <v>0</v>
      </c>
      <c r="J20" s="544"/>
      <c r="K20" s="544"/>
      <c r="L20" s="544"/>
      <c r="M20" s="544"/>
      <c r="N20" s="544"/>
      <c r="O20" s="544"/>
      <c r="P20" s="544"/>
      <c r="Q20" s="547">
        <f t="shared" ref="Q20:Q21" si="17">SUMPRODUCT($J$5:$P$5,J20:P20)</f>
        <v>0</v>
      </c>
    </row>
    <row r="21" spans="2:17" ht="15.75">
      <c r="B21" s="587" t="s">
        <v>978</v>
      </c>
      <c r="C21" s="586"/>
      <c r="D21" s="586"/>
      <c r="E21" s="586"/>
      <c r="F21" s="586"/>
      <c r="G21" s="586"/>
      <c r="H21" s="583">
        <v>1.4</v>
      </c>
      <c r="I21" s="584">
        <f t="shared" si="11"/>
        <v>0</v>
      </c>
      <c r="J21" s="544"/>
      <c r="K21" s="544"/>
      <c r="L21" s="544"/>
      <c r="M21" s="544"/>
      <c r="N21" s="544"/>
      <c r="O21" s="544"/>
      <c r="P21" s="544"/>
      <c r="Q21" s="547">
        <f t="shared" si="17"/>
        <v>0</v>
      </c>
    </row>
    <row r="22" spans="2:17" ht="15.75">
      <c r="B22" s="585" t="s">
        <v>992</v>
      </c>
      <c r="C22" s="586"/>
      <c r="D22" s="586"/>
      <c r="E22" s="586"/>
      <c r="F22" s="586"/>
      <c r="G22" s="586"/>
      <c r="H22" s="583">
        <v>1.4</v>
      </c>
      <c r="I22" s="584">
        <f t="shared" si="11"/>
        <v>0</v>
      </c>
      <c r="J22" s="544"/>
      <c r="K22" s="544"/>
      <c r="L22" s="544"/>
      <c r="M22" s="544"/>
      <c r="N22" s="544"/>
      <c r="O22" s="544"/>
      <c r="P22" s="544"/>
      <c r="Q22" s="547">
        <f t="shared" ref="Q22" si="18">IF(Q23&gt;0,Q23,IF(Q24&gt;0,Q24,IF(Q25&gt;0,Q25,0)))</f>
        <v>0</v>
      </c>
    </row>
    <row r="23" spans="2:17" ht="15.75">
      <c r="B23" s="587" t="s">
        <v>976</v>
      </c>
      <c r="C23" s="586"/>
      <c r="D23" s="586"/>
      <c r="E23" s="586"/>
      <c r="F23" s="586"/>
      <c r="G23" s="586"/>
      <c r="H23" s="583">
        <v>1.4</v>
      </c>
      <c r="I23" s="584">
        <f t="shared" si="11"/>
        <v>0</v>
      </c>
      <c r="J23" s="544"/>
      <c r="K23" s="544"/>
      <c r="L23" s="544"/>
      <c r="M23" s="544"/>
      <c r="N23" s="544"/>
      <c r="O23" s="544"/>
      <c r="P23" s="544"/>
      <c r="Q23" s="547">
        <f>SUMPRODUCT($J$5:$P$5,J23:P23)</f>
        <v>0</v>
      </c>
    </row>
    <row r="24" spans="2:17" ht="15.75">
      <c r="B24" s="587" t="s">
        <v>977</v>
      </c>
      <c r="C24" s="586"/>
      <c r="D24" s="586"/>
      <c r="E24" s="586"/>
      <c r="F24" s="586"/>
      <c r="G24" s="586"/>
      <c r="H24" s="583">
        <v>1.4</v>
      </c>
      <c r="I24" s="584">
        <f t="shared" si="11"/>
        <v>0</v>
      </c>
      <c r="J24" s="544"/>
      <c r="K24" s="544"/>
      <c r="L24" s="544"/>
      <c r="M24" s="544"/>
      <c r="N24" s="544"/>
      <c r="O24" s="544"/>
      <c r="P24" s="544"/>
      <c r="Q24" s="547">
        <f t="shared" ref="Q24:Q25" si="19">SUMPRODUCT($J$5:$P$5,J24:P24)</f>
        <v>0</v>
      </c>
    </row>
    <row r="25" spans="2:17" ht="15.75">
      <c r="B25" s="587" t="s">
        <v>978</v>
      </c>
      <c r="C25" s="586"/>
      <c r="D25" s="586"/>
      <c r="E25" s="586"/>
      <c r="F25" s="586"/>
      <c r="G25" s="586"/>
      <c r="H25" s="583">
        <v>1.4</v>
      </c>
      <c r="I25" s="584">
        <f t="shared" si="11"/>
        <v>0</v>
      </c>
      <c r="J25" s="544"/>
      <c r="K25" s="544"/>
      <c r="L25" s="544"/>
      <c r="M25" s="544"/>
      <c r="N25" s="544"/>
      <c r="O25" s="544"/>
      <c r="P25" s="544"/>
      <c r="Q25" s="547">
        <f t="shared" si="19"/>
        <v>0</v>
      </c>
    </row>
    <row r="26" spans="2:17" ht="15.75">
      <c r="B26" s="585" t="s">
        <v>993</v>
      </c>
      <c r="C26" s="586"/>
      <c r="D26" s="586"/>
      <c r="E26" s="586"/>
      <c r="F26" s="586"/>
      <c r="G26" s="586"/>
      <c r="H26" s="583">
        <v>1.4</v>
      </c>
      <c r="I26" s="584">
        <f t="shared" si="11"/>
        <v>0</v>
      </c>
      <c r="J26" s="544"/>
      <c r="K26" s="544"/>
      <c r="L26" s="544"/>
      <c r="M26" s="544"/>
      <c r="N26" s="544"/>
      <c r="O26" s="544"/>
      <c r="P26" s="544"/>
      <c r="Q26" s="547">
        <f t="shared" ref="Q26" si="20">IF(Q27&gt;0,Q27,IF(Q28&gt;0,Q28,IF(Q29&gt;0,Q29,0)))</f>
        <v>0</v>
      </c>
    </row>
    <row r="27" spans="2:17" ht="15.75">
      <c r="B27" s="587" t="s">
        <v>976</v>
      </c>
      <c r="C27" s="586"/>
      <c r="D27" s="586"/>
      <c r="E27" s="586"/>
      <c r="F27" s="586"/>
      <c r="G27" s="586"/>
      <c r="H27" s="583">
        <v>1.4</v>
      </c>
      <c r="I27" s="584">
        <f t="shared" si="11"/>
        <v>0</v>
      </c>
      <c r="J27" s="544"/>
      <c r="K27" s="544"/>
      <c r="L27" s="544"/>
      <c r="M27" s="544"/>
      <c r="N27" s="544"/>
      <c r="O27" s="544"/>
      <c r="P27" s="544"/>
      <c r="Q27" s="547">
        <f>SUMPRODUCT($J$5:$P$5,J27:P27)</f>
        <v>0</v>
      </c>
    </row>
    <row r="28" spans="2:17" ht="15.75">
      <c r="B28" s="587" t="s">
        <v>977</v>
      </c>
      <c r="C28" s="586"/>
      <c r="D28" s="586"/>
      <c r="E28" s="586"/>
      <c r="F28" s="586"/>
      <c r="G28" s="586"/>
      <c r="H28" s="583">
        <v>1.4</v>
      </c>
      <c r="I28" s="584">
        <f t="shared" si="11"/>
        <v>0</v>
      </c>
      <c r="J28" s="544"/>
      <c r="K28" s="544"/>
      <c r="L28" s="544"/>
      <c r="M28" s="544"/>
      <c r="N28" s="544"/>
      <c r="O28" s="544"/>
      <c r="P28" s="544"/>
      <c r="Q28" s="547">
        <f t="shared" ref="Q28:Q29" si="21">SUMPRODUCT($J$5:$P$5,J28:P28)</f>
        <v>0</v>
      </c>
    </row>
    <row r="29" spans="2:17" ht="15.75">
      <c r="B29" s="587" t="s">
        <v>978</v>
      </c>
      <c r="C29" s="586"/>
      <c r="D29" s="586"/>
      <c r="E29" s="586"/>
      <c r="F29" s="586"/>
      <c r="G29" s="586"/>
      <c r="H29" s="583">
        <v>1.4</v>
      </c>
      <c r="I29" s="584">
        <f t="shared" si="11"/>
        <v>0</v>
      </c>
      <c r="J29" s="544"/>
      <c r="K29" s="544"/>
      <c r="L29" s="544"/>
      <c r="M29" s="544"/>
      <c r="N29" s="544"/>
      <c r="O29" s="544"/>
      <c r="P29" s="544"/>
      <c r="Q29" s="547">
        <f t="shared" si="21"/>
        <v>0</v>
      </c>
    </row>
    <row r="30" spans="2:17" ht="15.75">
      <c r="B30" s="588" t="s">
        <v>994</v>
      </c>
      <c r="C30" s="586"/>
      <c r="D30" s="586"/>
      <c r="E30" s="586"/>
      <c r="F30" s="586"/>
      <c r="G30" s="586"/>
      <c r="H30" s="583">
        <v>1.4</v>
      </c>
      <c r="I30" s="584">
        <f t="shared" si="11"/>
        <v>0</v>
      </c>
      <c r="J30" s="544"/>
      <c r="K30" s="544"/>
      <c r="L30" s="544"/>
      <c r="M30" s="544"/>
      <c r="N30" s="544"/>
      <c r="O30" s="544"/>
      <c r="P30" s="544"/>
      <c r="Q30" s="547">
        <f t="shared" ref="Q30" si="22">IF(Q31&gt;0,Q31,IF(Q32&gt;0,Q32,IF(Q33&gt;0,Q33,0)))</f>
        <v>0</v>
      </c>
    </row>
    <row r="31" spans="2:17" ht="15.75">
      <c r="B31" s="587" t="s">
        <v>976</v>
      </c>
      <c r="C31" s="586"/>
      <c r="D31" s="586"/>
      <c r="E31" s="586"/>
      <c r="F31" s="586"/>
      <c r="G31" s="586"/>
      <c r="H31" s="583">
        <v>1.4</v>
      </c>
      <c r="I31" s="584">
        <f t="shared" si="11"/>
        <v>0</v>
      </c>
      <c r="J31" s="544"/>
      <c r="K31" s="544"/>
      <c r="L31" s="544"/>
      <c r="M31" s="544"/>
      <c r="N31" s="544"/>
      <c r="O31" s="544"/>
      <c r="P31" s="544"/>
      <c r="Q31" s="547">
        <f>SUMPRODUCT($J$5:$P$5,J31:P31)</f>
        <v>0</v>
      </c>
    </row>
    <row r="32" spans="2:17" ht="15.75">
      <c r="B32" s="587" t="s">
        <v>977</v>
      </c>
      <c r="C32" s="586"/>
      <c r="D32" s="586"/>
      <c r="E32" s="586"/>
      <c r="F32" s="586"/>
      <c r="G32" s="586"/>
      <c r="H32" s="583">
        <v>1.4</v>
      </c>
      <c r="I32" s="584">
        <f t="shared" si="11"/>
        <v>0</v>
      </c>
      <c r="J32" s="544"/>
      <c r="K32" s="544"/>
      <c r="L32" s="544"/>
      <c r="M32" s="544"/>
      <c r="N32" s="544"/>
      <c r="O32" s="544"/>
      <c r="P32" s="544"/>
      <c r="Q32" s="547">
        <f t="shared" ref="Q32:Q33" si="23">SUMPRODUCT($J$5:$P$5,J32:P32)</f>
        <v>0</v>
      </c>
    </row>
    <row r="33" spans="2:17" ht="15.75">
      <c r="B33" s="587" t="s">
        <v>978</v>
      </c>
      <c r="C33" s="586"/>
      <c r="D33" s="586"/>
      <c r="E33" s="586"/>
      <c r="F33" s="586"/>
      <c r="G33" s="586"/>
      <c r="H33" s="583">
        <v>1.4</v>
      </c>
      <c r="I33" s="584">
        <f t="shared" si="11"/>
        <v>0</v>
      </c>
      <c r="J33" s="544"/>
      <c r="K33" s="544"/>
      <c r="L33" s="544"/>
      <c r="M33" s="544"/>
      <c r="N33" s="544"/>
      <c r="O33" s="544"/>
      <c r="P33" s="544"/>
      <c r="Q33" s="547">
        <f t="shared" si="23"/>
        <v>0</v>
      </c>
    </row>
    <row r="34" spans="2:17" ht="15.75">
      <c r="B34" s="589" t="s">
        <v>66</v>
      </c>
      <c r="C34" s="590">
        <f>C6</f>
        <v>0</v>
      </c>
      <c r="D34" s="590">
        <f t="shared" ref="D34:G34" si="24">D6</f>
        <v>0</v>
      </c>
      <c r="E34" s="590">
        <f t="shared" si="24"/>
        <v>0</v>
      </c>
      <c r="F34" s="590">
        <f t="shared" si="24"/>
        <v>0</v>
      </c>
      <c r="G34" s="590">
        <f t="shared" si="24"/>
        <v>0</v>
      </c>
      <c r="H34" s="583">
        <v>1.4</v>
      </c>
      <c r="I34" s="584">
        <f>(F34+G34)*H34</f>
        <v>0</v>
      </c>
      <c r="J34" s="590">
        <f t="shared" ref="J34:Q34" si="25">J6</f>
        <v>0</v>
      </c>
      <c r="K34" s="590">
        <f t="shared" si="25"/>
        <v>0</v>
      </c>
      <c r="L34" s="590">
        <f t="shared" si="25"/>
        <v>0</v>
      </c>
      <c r="M34" s="590">
        <f t="shared" si="25"/>
        <v>0</v>
      </c>
      <c r="N34" s="590">
        <f t="shared" si="25"/>
        <v>0</v>
      </c>
      <c r="O34" s="590">
        <f t="shared" si="25"/>
        <v>0</v>
      </c>
      <c r="P34" s="590">
        <f t="shared" si="25"/>
        <v>0</v>
      </c>
      <c r="Q34" s="590">
        <f t="shared" si="25"/>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P53"/>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5.75"/>
  <cols>
    <col min="1" max="1" width="9.5703125" style="14" bestFit="1" customWidth="1"/>
    <col min="2" max="2" width="88.28515625" style="12" customWidth="1"/>
    <col min="3" max="3" width="13.85546875" style="12" bestFit="1" customWidth="1"/>
    <col min="4" max="7" width="13.85546875" style="1" bestFit="1" customWidth="1"/>
    <col min="8" max="9" width="6.7109375" customWidth="1"/>
  </cols>
  <sheetData>
    <row r="1" spans="1:16">
      <c r="A1" s="13" t="s">
        <v>97</v>
      </c>
      <c r="B1" s="221" t="str">
        <f>Info!C2</f>
        <v>სს "ბანკი ქართუ"</v>
      </c>
    </row>
    <row r="2" spans="1:16">
      <c r="A2" s="13" t="s">
        <v>98</v>
      </c>
      <c r="B2" s="593">
        <v>46112</v>
      </c>
    </row>
    <row r="3" spans="1:16" ht="16.5" thickBot="1">
      <c r="A3" s="13"/>
    </row>
    <row r="4" spans="1:16" ht="15" customHeight="1" thickBot="1">
      <c r="A4" s="32" t="s">
        <v>241</v>
      </c>
      <c r="B4" s="113" t="s">
        <v>128</v>
      </c>
      <c r="C4" s="114"/>
      <c r="D4" s="725" t="s">
        <v>904</v>
      </c>
      <c r="E4" s="726"/>
      <c r="F4" s="726"/>
      <c r="G4" s="727"/>
    </row>
    <row r="5" spans="1:16" ht="15">
      <c r="A5" s="148" t="s">
        <v>25</v>
      </c>
      <c r="B5" s="149"/>
      <c r="C5" s="236" t="str">
        <f>INT((MONTH($B$2))/3)&amp;"Q"&amp;"-"&amp;YEAR($B$2)</f>
        <v>1Q-2026</v>
      </c>
      <c r="D5" s="236" t="str">
        <f>IF(INT(MONTH($B$2))=3, "4"&amp;"Q"&amp;"-"&amp;YEAR($B$2)-1, IF(INT(MONTH($B$2))=6, "1"&amp;"Q"&amp;"-"&amp;YEAR($B$2), IF(INT(MONTH($B$2))=9, "2"&amp;"Q"&amp;"-"&amp;YEAR($B$2),IF(INT(MONTH($B$2))=12, "3"&amp;"Q"&amp;"-"&amp;YEAR($B$2), 0))))</f>
        <v>4Q-2025</v>
      </c>
      <c r="E5" s="236" t="str">
        <f>IF(INT(MONTH($B$2))=3, "3"&amp;"Q"&amp;"-"&amp;YEAR($B$2)-1, IF(INT(MONTH($B$2))=6, "4"&amp;"Q"&amp;"-"&amp;YEAR($B$2)-1, IF(INT(MONTH($B$2))=9, "1"&amp;"Q"&amp;"-"&amp;YEAR($B$2),IF(INT(MONTH($B$2))=12, "2"&amp;"Q"&amp;"-"&amp;YEAR($B$2), 0))))</f>
        <v>3Q-2025</v>
      </c>
      <c r="F5" s="236" t="str">
        <f>IF(INT(MONTH($B$2))=3, "2"&amp;"Q"&amp;"-"&amp;YEAR($B$2)-1, IF(INT(MONTH($B$2))=6, "3"&amp;"Q"&amp;"-"&amp;YEAR($B$2)-1, IF(INT(MONTH($B$2))=9, "4"&amp;"Q"&amp;"-"&amp;YEAR($B$2)-1,IF(INT(MONTH($B$2))=12, "1"&amp;"Q"&amp;"-"&amp;YEAR($B$2), 0))))</f>
        <v>2Q-2025</v>
      </c>
      <c r="G5" s="237" t="str">
        <f>IF(INT(MONTH($B$2))=3, "1"&amp;"Q"&amp;"-"&amp;YEAR($B$2)-1, IF(INT(MONTH($B$2))=6, "2"&amp;"Q"&amp;"-"&amp;YEAR($B$2)-1, IF(INT(MONTH($B$2))=9, "3"&amp;"Q"&amp;"-"&amp;YEAR($B$2)-1,IF(INT(MONTH($B$2))=12, "4"&amp;"Q"&amp;"-"&amp;YEAR($B$2)-1, 0))))</f>
        <v>1Q-2025</v>
      </c>
    </row>
    <row r="6" spans="1:16" ht="15">
      <c r="A6" s="238"/>
      <c r="B6" s="239" t="s">
        <v>95</v>
      </c>
      <c r="C6" s="150"/>
      <c r="D6" s="150"/>
      <c r="E6" s="150"/>
      <c r="F6" s="150"/>
      <c r="G6" s="151"/>
    </row>
    <row r="7" spans="1:16" ht="15">
      <c r="A7" s="238"/>
      <c r="B7" s="240" t="s">
        <v>99</v>
      </c>
      <c r="C7" s="150"/>
      <c r="D7" s="150"/>
      <c r="E7" s="150"/>
      <c r="F7" s="150"/>
      <c r="G7" s="151"/>
    </row>
    <row r="8" spans="1:16" ht="15">
      <c r="A8" s="225">
        <v>1</v>
      </c>
      <c r="B8" s="226" t="s">
        <v>22</v>
      </c>
      <c r="C8" s="241">
        <v>451677693.31191629</v>
      </c>
      <c r="D8" s="242">
        <v>445165612.70619041</v>
      </c>
      <c r="E8" s="242">
        <v>442303812.08834088</v>
      </c>
      <c r="F8" s="242">
        <v>430008701.35207307</v>
      </c>
      <c r="G8" s="243">
        <v>418319570.88888454</v>
      </c>
      <c r="I8" s="599"/>
      <c r="J8" s="599"/>
      <c r="K8" s="599"/>
      <c r="L8" s="599"/>
      <c r="M8" s="599"/>
      <c r="N8" s="599"/>
      <c r="O8" s="599"/>
      <c r="P8" s="599"/>
    </row>
    <row r="9" spans="1:16" ht="15">
      <c r="A9" s="225">
        <v>2</v>
      </c>
      <c r="B9" s="226" t="s">
        <v>75</v>
      </c>
      <c r="C9" s="241">
        <v>524572293.31191629</v>
      </c>
      <c r="D9" s="242">
        <v>517933312.70619041</v>
      </c>
      <c r="E9" s="242">
        <v>515441412.08834088</v>
      </c>
      <c r="F9" s="242">
        <v>503545901.35207307</v>
      </c>
      <c r="G9" s="243">
        <v>493036670.88888454</v>
      </c>
      <c r="I9" s="599"/>
      <c r="J9" s="599"/>
      <c r="K9" s="599"/>
      <c r="L9" s="599"/>
      <c r="M9" s="599"/>
      <c r="N9" s="599"/>
      <c r="O9" s="599"/>
      <c r="P9" s="599"/>
    </row>
    <row r="10" spans="1:16" ht="15">
      <c r="A10" s="225">
        <v>3</v>
      </c>
      <c r="B10" s="226" t="s">
        <v>74</v>
      </c>
      <c r="C10" s="241">
        <v>533751613.31191629</v>
      </c>
      <c r="D10" s="242">
        <v>527096652.70619041</v>
      </c>
      <c r="E10" s="242">
        <v>528443652.08834088</v>
      </c>
      <c r="F10" s="242">
        <v>516619181.35207307</v>
      </c>
      <c r="G10" s="243">
        <v>509087010.88888454</v>
      </c>
      <c r="I10" s="599"/>
      <c r="J10" s="599"/>
      <c r="K10" s="599"/>
      <c r="L10" s="599"/>
      <c r="M10" s="599"/>
      <c r="N10" s="599"/>
      <c r="O10" s="599"/>
      <c r="P10" s="599"/>
    </row>
    <row r="11" spans="1:16" ht="15">
      <c r="A11" s="225">
        <v>4</v>
      </c>
      <c r="B11" s="226" t="s">
        <v>414</v>
      </c>
      <c r="C11" s="241">
        <v>318440508.76473683</v>
      </c>
      <c r="D11" s="242">
        <v>315257121.92996424</v>
      </c>
      <c r="E11" s="242">
        <v>296521731.03021282</v>
      </c>
      <c r="F11" s="242">
        <v>294108144.80107147</v>
      </c>
      <c r="G11" s="243">
        <v>299357890.43035549</v>
      </c>
      <c r="I11" s="599"/>
      <c r="J11" s="599"/>
      <c r="K11" s="599"/>
      <c r="L11" s="599"/>
      <c r="M11" s="599"/>
      <c r="N11" s="599"/>
      <c r="O11" s="599"/>
      <c r="P11" s="599"/>
    </row>
    <row r="12" spans="1:16" ht="15">
      <c r="A12" s="225">
        <v>5</v>
      </c>
      <c r="B12" s="226" t="s">
        <v>415</v>
      </c>
      <c r="C12" s="241">
        <v>380071245.72008598</v>
      </c>
      <c r="D12" s="242">
        <v>378356898.72113729</v>
      </c>
      <c r="E12" s="242">
        <v>355771373.10204285</v>
      </c>
      <c r="F12" s="242">
        <v>352855543.57418174</v>
      </c>
      <c r="G12" s="243">
        <v>359030017.90039587</v>
      </c>
      <c r="I12" s="599"/>
      <c r="J12" s="599"/>
      <c r="K12" s="599"/>
      <c r="L12" s="599"/>
      <c r="M12" s="599"/>
      <c r="N12" s="599"/>
      <c r="O12" s="599"/>
      <c r="P12" s="599"/>
    </row>
    <row r="13" spans="1:16" ht="15">
      <c r="A13" s="225">
        <v>6</v>
      </c>
      <c r="B13" s="226" t="s">
        <v>416</v>
      </c>
      <c r="C13" s="241">
        <v>461652094.61959046</v>
      </c>
      <c r="D13" s="242">
        <v>461881787.03357595</v>
      </c>
      <c r="E13" s="242">
        <v>434193418.10497457</v>
      </c>
      <c r="F13" s="242">
        <v>430605918.08023345</v>
      </c>
      <c r="G13" s="243">
        <v>438002182.08843654</v>
      </c>
      <c r="I13" s="599"/>
      <c r="J13" s="599"/>
      <c r="K13" s="599"/>
      <c r="L13" s="599"/>
      <c r="M13" s="599"/>
      <c r="N13" s="599"/>
      <c r="O13" s="599"/>
      <c r="P13" s="599"/>
    </row>
    <row r="14" spans="1:16" ht="15">
      <c r="A14" s="238"/>
      <c r="B14" s="239" t="s">
        <v>418</v>
      </c>
      <c r="C14" s="150"/>
      <c r="D14" s="150"/>
      <c r="E14" s="150"/>
      <c r="F14" s="150"/>
      <c r="G14" s="151"/>
      <c r="I14" s="599"/>
      <c r="J14" s="599"/>
      <c r="K14" s="599"/>
      <c r="L14" s="599"/>
      <c r="M14" s="599"/>
      <c r="N14" s="599"/>
      <c r="O14" s="599"/>
      <c r="P14" s="599"/>
    </row>
    <row r="15" spans="1:16" ht="22.15" customHeight="1">
      <c r="A15" s="225">
        <v>7</v>
      </c>
      <c r="B15" s="226" t="s">
        <v>417</v>
      </c>
      <c r="C15" s="244">
        <v>1853541041.3713658</v>
      </c>
      <c r="D15" s="242">
        <v>1895691631.4015105</v>
      </c>
      <c r="E15" s="242">
        <v>1755560651.9902401</v>
      </c>
      <c r="F15" s="242">
        <v>1714429257.445097</v>
      </c>
      <c r="G15" s="243">
        <v>1733586564.3527336</v>
      </c>
      <c r="I15" s="599"/>
      <c r="J15" s="599"/>
      <c r="K15" s="599"/>
      <c r="L15" s="599"/>
      <c r="M15" s="599"/>
      <c r="N15" s="599"/>
      <c r="O15" s="599"/>
      <c r="P15" s="599"/>
    </row>
    <row r="16" spans="1:16" ht="15">
      <c r="A16" s="238"/>
      <c r="B16" s="239" t="s">
        <v>421</v>
      </c>
      <c r="C16" s="150"/>
      <c r="D16" s="150"/>
      <c r="E16" s="150"/>
      <c r="F16" s="150"/>
      <c r="G16" s="151"/>
      <c r="I16" s="599"/>
      <c r="J16" s="599"/>
      <c r="K16" s="599"/>
      <c r="L16" s="599"/>
      <c r="M16" s="599"/>
      <c r="N16" s="599"/>
      <c r="O16" s="599"/>
      <c r="P16" s="599"/>
    </row>
    <row r="17" spans="1:16" ht="15">
      <c r="A17" s="225"/>
      <c r="B17" s="240" t="s">
        <v>967</v>
      </c>
      <c r="C17" s="150"/>
      <c r="D17" s="150"/>
      <c r="E17" s="150"/>
      <c r="F17" s="150"/>
      <c r="G17" s="151"/>
      <c r="I17" s="599"/>
      <c r="J17" s="599"/>
      <c r="K17" s="599"/>
      <c r="L17" s="599"/>
      <c r="M17" s="599"/>
      <c r="N17" s="599"/>
      <c r="O17" s="599"/>
      <c r="P17" s="599"/>
    </row>
    <row r="18" spans="1:16" ht="15">
      <c r="A18" s="225">
        <v>8</v>
      </c>
      <c r="B18" s="226" t="s">
        <v>412</v>
      </c>
      <c r="C18" s="253">
        <v>0.24368367531680704</v>
      </c>
      <c r="D18" s="254">
        <v>0.23483018299609912</v>
      </c>
      <c r="E18" s="254">
        <v>0.25194447801442282</v>
      </c>
      <c r="F18" s="254">
        <v>0.25081740730025059</v>
      </c>
      <c r="G18" s="255">
        <v>0.24130296086199299</v>
      </c>
      <c r="I18" s="599"/>
      <c r="J18" s="599"/>
      <c r="K18" s="599"/>
      <c r="L18" s="599"/>
      <c r="M18" s="599"/>
      <c r="N18" s="599"/>
      <c r="O18" s="599"/>
      <c r="P18" s="599"/>
    </row>
    <row r="19" spans="1:16" ht="15" customHeight="1">
      <c r="A19" s="225">
        <v>9</v>
      </c>
      <c r="B19" s="226" t="s">
        <v>411</v>
      </c>
      <c r="C19" s="253">
        <v>0.28301088651579293</v>
      </c>
      <c r="D19" s="254">
        <v>0.27321601473931462</v>
      </c>
      <c r="E19" s="254">
        <v>0.29360501530038075</v>
      </c>
      <c r="F19" s="254">
        <v>0.2937105157097441</v>
      </c>
      <c r="G19" s="255">
        <v>0.28440268344659725</v>
      </c>
      <c r="I19" s="599"/>
      <c r="J19" s="599"/>
      <c r="K19" s="599"/>
      <c r="L19" s="599"/>
      <c r="M19" s="599"/>
      <c r="N19" s="599"/>
      <c r="O19" s="599"/>
      <c r="P19" s="599"/>
    </row>
    <row r="20" spans="1:16" ht="15">
      <c r="A20" s="225">
        <v>10</v>
      </c>
      <c r="B20" s="226" t="s">
        <v>413</v>
      </c>
      <c r="C20" s="253">
        <v>0.28796320200010972</v>
      </c>
      <c r="D20" s="254">
        <v>0.27804978614401582</v>
      </c>
      <c r="E20" s="254">
        <v>0.30101133304010663</v>
      </c>
      <c r="F20" s="254">
        <v>0.30133595720476519</v>
      </c>
      <c r="G20" s="255">
        <v>0.29366114237217888</v>
      </c>
      <c r="I20" s="599"/>
      <c r="J20" s="599"/>
      <c r="K20" s="599"/>
      <c r="L20" s="599"/>
      <c r="M20" s="599"/>
      <c r="N20" s="599"/>
      <c r="O20" s="599"/>
      <c r="P20" s="599"/>
    </row>
    <row r="21" spans="1:16" ht="15">
      <c r="A21" s="225">
        <v>11</v>
      </c>
      <c r="B21" s="226" t="s">
        <v>414</v>
      </c>
      <c r="C21" s="253">
        <v>0.17180116418093153</v>
      </c>
      <c r="D21" s="254">
        <v>0.1663019009567977</v>
      </c>
      <c r="E21" s="254">
        <v>0.16890429316358435</v>
      </c>
      <c r="F21" s="254">
        <v>0.17154872009088423</v>
      </c>
      <c r="G21" s="255">
        <v>0.17268124741271645</v>
      </c>
      <c r="I21" s="599"/>
      <c r="J21" s="599"/>
      <c r="K21" s="599"/>
      <c r="L21" s="599"/>
      <c r="M21" s="599"/>
      <c r="N21" s="599"/>
      <c r="O21" s="599"/>
      <c r="P21" s="599"/>
    </row>
    <row r="22" spans="1:16" ht="15">
      <c r="A22" s="225">
        <v>12</v>
      </c>
      <c r="B22" s="226" t="s">
        <v>415</v>
      </c>
      <c r="C22" s="253">
        <v>0.2050514324942519</v>
      </c>
      <c r="D22" s="254">
        <v>0.19958778761997958</v>
      </c>
      <c r="E22" s="254">
        <v>0.20265399130398187</v>
      </c>
      <c r="F22" s="254">
        <v>0.20581516679202005</v>
      </c>
      <c r="G22" s="255">
        <v>0.20710244604049888</v>
      </c>
      <c r="I22" s="599"/>
      <c r="J22" s="599"/>
      <c r="K22" s="599"/>
      <c r="L22" s="599"/>
      <c r="M22" s="599"/>
      <c r="N22" s="599"/>
      <c r="O22" s="599"/>
      <c r="P22" s="599"/>
    </row>
    <row r="23" spans="1:16" ht="15">
      <c r="A23" s="225">
        <v>13</v>
      </c>
      <c r="B23" s="226" t="s">
        <v>416</v>
      </c>
      <c r="C23" s="253">
        <v>0.24906494343283131</v>
      </c>
      <c r="D23" s="254">
        <v>0.24364816480837681</v>
      </c>
      <c r="E23" s="254">
        <v>0.24732464675187332</v>
      </c>
      <c r="F23" s="254">
        <v>0.25116575455667245</v>
      </c>
      <c r="G23" s="255">
        <v>0.25265665476126525</v>
      </c>
      <c r="I23" s="599"/>
      <c r="J23" s="599"/>
      <c r="K23" s="599"/>
      <c r="L23" s="599"/>
      <c r="M23" s="599"/>
      <c r="N23" s="599"/>
      <c r="O23" s="599"/>
      <c r="P23" s="599"/>
    </row>
    <row r="24" spans="1:16" ht="15">
      <c r="A24" s="238"/>
      <c r="B24" s="239" t="s">
        <v>952</v>
      </c>
      <c r="C24" s="150"/>
      <c r="D24" s="150"/>
      <c r="E24" s="150"/>
      <c r="F24" s="150"/>
      <c r="G24" s="151"/>
      <c r="I24" s="599"/>
      <c r="J24" s="599"/>
      <c r="K24" s="599"/>
      <c r="L24" s="599"/>
      <c r="M24" s="599"/>
      <c r="N24" s="599"/>
      <c r="O24" s="599"/>
      <c r="P24" s="599"/>
    </row>
    <row r="25" spans="1:16" ht="25.5">
      <c r="A25" s="225">
        <v>14</v>
      </c>
      <c r="B25" s="226" t="s">
        <v>953</v>
      </c>
      <c r="C25" s="253"/>
      <c r="D25" s="254"/>
      <c r="E25" s="254"/>
      <c r="F25" s="254"/>
      <c r="G25" s="255"/>
      <c r="I25" s="599"/>
      <c r="J25" s="599"/>
      <c r="K25" s="599"/>
      <c r="L25" s="599"/>
      <c r="M25" s="599"/>
      <c r="N25" s="599"/>
      <c r="O25" s="599"/>
      <c r="P25" s="599"/>
    </row>
    <row r="26" spans="1:16" ht="15">
      <c r="A26" s="238"/>
      <c r="B26" s="239" t="s">
        <v>6</v>
      </c>
      <c r="C26" s="150"/>
      <c r="D26" s="150"/>
      <c r="E26" s="150"/>
      <c r="F26" s="150"/>
      <c r="G26" s="151"/>
      <c r="I26" s="599"/>
      <c r="J26" s="599"/>
      <c r="K26" s="599"/>
      <c r="L26" s="599"/>
      <c r="M26" s="599"/>
      <c r="N26" s="599"/>
      <c r="O26" s="599"/>
      <c r="P26" s="599"/>
    </row>
    <row r="27" spans="1:16" ht="15" customHeight="1">
      <c r="A27" s="245">
        <v>15</v>
      </c>
      <c r="B27" s="246" t="s">
        <v>7</v>
      </c>
      <c r="C27" s="594">
        <v>6.7353062270736064E-2</v>
      </c>
      <c r="D27" s="594">
        <v>6.5782078199002073E-2</v>
      </c>
      <c r="E27" s="594">
        <v>6.3658334750143361E-2</v>
      </c>
      <c r="F27" s="594">
        <v>6.2472314249129093E-2</v>
      </c>
      <c r="G27" s="594">
        <v>5.8456655620980312E-2</v>
      </c>
      <c r="I27" s="599"/>
      <c r="J27" s="599"/>
      <c r="K27" s="599"/>
      <c r="L27" s="599"/>
      <c r="M27" s="599"/>
      <c r="N27" s="599"/>
      <c r="O27" s="599"/>
      <c r="P27" s="599"/>
    </row>
    <row r="28" spans="1:16" ht="15">
      <c r="A28" s="245">
        <v>16</v>
      </c>
      <c r="B28" s="246" t="s">
        <v>8</v>
      </c>
      <c r="C28" s="594">
        <v>2.6544373615667836E-2</v>
      </c>
      <c r="D28" s="594">
        <v>2.1460931448228044E-2</v>
      </c>
      <c r="E28" s="594">
        <v>2.0904559640448215E-2</v>
      </c>
      <c r="F28" s="594">
        <v>2.1222003249915061E-2</v>
      </c>
      <c r="G28" s="594">
        <v>2.0597753611956888E-2</v>
      </c>
      <c r="I28" s="599"/>
      <c r="J28" s="599"/>
      <c r="K28" s="599"/>
      <c r="L28" s="599"/>
      <c r="M28" s="599"/>
      <c r="N28" s="599"/>
      <c r="O28" s="599"/>
      <c r="P28" s="599"/>
    </row>
    <row r="29" spans="1:16" ht="15">
      <c r="A29" s="245">
        <v>17</v>
      </c>
      <c r="B29" s="246" t="s">
        <v>9</v>
      </c>
      <c r="C29" s="594">
        <v>2.2231467436369102E-2</v>
      </c>
      <c r="D29" s="594">
        <v>2.2050190383850664E-2</v>
      </c>
      <c r="E29" s="594">
        <v>2.54403016106215E-2</v>
      </c>
      <c r="F29" s="594">
        <v>2.2490409638170318E-2</v>
      </c>
      <c r="G29" s="594">
        <v>2.1464265038663173E-2</v>
      </c>
      <c r="I29" s="599"/>
      <c r="J29" s="599"/>
      <c r="K29" s="599"/>
      <c r="L29" s="599"/>
      <c r="M29" s="599"/>
      <c r="N29" s="599"/>
      <c r="O29" s="599"/>
      <c r="P29" s="599"/>
    </row>
    <row r="30" spans="1:16" ht="15">
      <c r="A30" s="245">
        <v>18</v>
      </c>
      <c r="B30" s="246" t="s">
        <v>129</v>
      </c>
      <c r="C30" s="594">
        <v>4.0808688655068225E-2</v>
      </c>
      <c r="D30" s="594">
        <v>4.4321146750774032E-2</v>
      </c>
      <c r="E30" s="594">
        <v>4.2753775109695157E-2</v>
      </c>
      <c r="F30" s="594">
        <v>4.1250310999214029E-2</v>
      </c>
      <c r="G30" s="594">
        <v>3.7858902009023435E-2</v>
      </c>
      <c r="I30" s="599"/>
      <c r="J30" s="599"/>
      <c r="K30" s="599"/>
      <c r="L30" s="599"/>
      <c r="M30" s="599"/>
      <c r="N30" s="599"/>
      <c r="O30" s="599"/>
      <c r="P30" s="599"/>
    </row>
    <row r="31" spans="1:16" ht="15">
      <c r="A31" s="245">
        <v>19</v>
      </c>
      <c r="B31" s="246" t="s">
        <v>10</v>
      </c>
      <c r="C31" s="594">
        <v>1.2200693497598499E-2</v>
      </c>
      <c r="D31" s="594">
        <v>2.0475295739700496E-2</v>
      </c>
      <c r="E31" s="594">
        <v>2.287515472600702E-2</v>
      </c>
      <c r="F31" s="594">
        <v>2.0863464450984942E-2</v>
      </c>
      <c r="G31" s="594">
        <v>1.6022672045571729E-2</v>
      </c>
      <c r="I31" s="599"/>
      <c r="J31" s="599"/>
      <c r="K31" s="599"/>
      <c r="L31" s="599"/>
      <c r="M31" s="599"/>
      <c r="N31" s="599"/>
      <c r="O31" s="599"/>
      <c r="P31" s="599"/>
    </row>
    <row r="32" spans="1:16" ht="15">
      <c r="A32" s="245">
        <v>20</v>
      </c>
      <c r="B32" s="246" t="s">
        <v>11</v>
      </c>
      <c r="C32" s="594">
        <v>4.8914853901847632E-2</v>
      </c>
      <c r="D32" s="594">
        <v>8.2103331899549076E-2</v>
      </c>
      <c r="E32" s="594">
        <v>9.2237129158888848E-2</v>
      </c>
      <c r="F32" s="594">
        <v>8.5487369841435554E-2</v>
      </c>
      <c r="G32" s="594">
        <v>6.8261531300982739E-2</v>
      </c>
      <c r="I32" s="599"/>
      <c r="J32" s="599"/>
      <c r="K32" s="599"/>
      <c r="L32" s="599"/>
      <c r="M32" s="599"/>
      <c r="N32" s="599"/>
      <c r="O32" s="599"/>
      <c r="P32" s="599"/>
    </row>
    <row r="33" spans="1:16" ht="15">
      <c r="A33" s="238"/>
      <c r="B33" s="239" t="s">
        <v>12</v>
      </c>
      <c r="C33" s="150"/>
      <c r="D33" s="150"/>
      <c r="E33" s="150"/>
      <c r="F33" s="150"/>
      <c r="G33" s="151"/>
      <c r="I33" s="599"/>
      <c r="J33" s="599"/>
      <c r="K33" s="599"/>
      <c r="L33" s="599"/>
      <c r="M33" s="599"/>
      <c r="N33" s="599"/>
      <c r="O33" s="599"/>
      <c r="P33" s="599"/>
    </row>
    <row r="34" spans="1:16" ht="15">
      <c r="A34" s="245">
        <v>21</v>
      </c>
      <c r="B34" s="246" t="s">
        <v>13</v>
      </c>
      <c r="C34" s="594">
        <v>7.3566123720499463E-2</v>
      </c>
      <c r="D34" s="594">
        <v>7.3036113111843867E-2</v>
      </c>
      <c r="E34" s="594">
        <v>8.5814611751763581E-2</v>
      </c>
      <c r="F34" s="594">
        <v>0.10831865205388158</v>
      </c>
      <c r="G34" s="594">
        <v>0.11454777701974829</v>
      </c>
      <c r="I34" s="599"/>
      <c r="J34" s="599"/>
      <c r="K34" s="599"/>
      <c r="L34" s="599"/>
      <c r="M34" s="599"/>
      <c r="N34" s="599"/>
      <c r="O34" s="599"/>
      <c r="P34" s="599"/>
    </row>
    <row r="35" spans="1:16" ht="15" customHeight="1">
      <c r="A35" s="245">
        <v>22</v>
      </c>
      <c r="B35" s="246" t="s">
        <v>917</v>
      </c>
      <c r="C35" s="594">
        <v>2.9430986447641461E-2</v>
      </c>
      <c r="D35" s="594">
        <v>2.6624963790419894E-2</v>
      </c>
      <c r="E35" s="594">
        <v>3.0228538344414222E-2</v>
      </c>
      <c r="F35" s="594">
        <v>4.8373787618169913E-2</v>
      </c>
      <c r="G35" s="594">
        <v>5.1807931252594669E-2</v>
      </c>
      <c r="I35" s="599"/>
      <c r="J35" s="599"/>
      <c r="K35" s="599"/>
      <c r="L35" s="599"/>
      <c r="M35" s="599"/>
      <c r="N35" s="599"/>
      <c r="O35" s="599"/>
      <c r="P35" s="599"/>
    </row>
    <row r="36" spans="1:16" ht="15">
      <c r="A36" s="245">
        <v>23</v>
      </c>
      <c r="B36" s="246" t="s">
        <v>14</v>
      </c>
      <c r="C36" s="594">
        <v>0.53558817292287386</v>
      </c>
      <c r="D36" s="594">
        <v>0.53956705145195971</v>
      </c>
      <c r="E36" s="594">
        <v>0.57540170767460341</v>
      </c>
      <c r="F36" s="594">
        <v>0.55359527395863561</v>
      </c>
      <c r="G36" s="594">
        <v>0.5825802425809502</v>
      </c>
      <c r="I36" s="599"/>
      <c r="J36" s="599"/>
      <c r="K36" s="599"/>
      <c r="L36" s="599"/>
      <c r="M36" s="599"/>
      <c r="N36" s="599"/>
      <c r="O36" s="599"/>
      <c r="P36" s="599"/>
    </row>
    <row r="37" spans="1:16" ht="15" customHeight="1">
      <c r="A37" s="245">
        <v>24</v>
      </c>
      <c r="B37" s="246" t="s">
        <v>15</v>
      </c>
      <c r="C37" s="594">
        <v>0.5791176440154675</v>
      </c>
      <c r="D37" s="594">
        <v>0.59523897003301507</v>
      </c>
      <c r="E37" s="594">
        <v>0.60934778327759209</v>
      </c>
      <c r="F37" s="594">
        <v>0.62392335707537594</v>
      </c>
      <c r="G37" s="594">
        <v>0.64462332158706992</v>
      </c>
      <c r="I37" s="599"/>
      <c r="J37" s="599"/>
      <c r="K37" s="599"/>
      <c r="L37" s="599"/>
      <c r="M37" s="599"/>
      <c r="N37" s="599"/>
      <c r="O37" s="599"/>
      <c r="P37" s="599"/>
    </row>
    <row r="38" spans="1:16" ht="15">
      <c r="A38" s="245">
        <v>25</v>
      </c>
      <c r="B38" s="246" t="s">
        <v>16</v>
      </c>
      <c r="C38" s="594">
        <v>-5.7356774756949398E-3</v>
      </c>
      <c r="D38" s="594">
        <v>4.839479687995079E-2</v>
      </c>
      <c r="E38" s="594">
        <v>-5.0331017267639014E-2</v>
      </c>
      <c r="F38" s="594">
        <v>-3.1173080585118824E-2</v>
      </c>
      <c r="G38" s="594">
        <v>-2.612298990832233E-2</v>
      </c>
      <c r="I38" s="599"/>
      <c r="J38" s="599"/>
      <c r="K38" s="599"/>
      <c r="L38" s="599"/>
      <c r="M38" s="599"/>
      <c r="N38" s="599"/>
      <c r="O38" s="599"/>
      <c r="P38" s="599"/>
    </row>
    <row r="39" spans="1:16" ht="15" customHeight="1">
      <c r="A39" s="238"/>
      <c r="B39" s="239" t="s">
        <v>17</v>
      </c>
      <c r="C39" s="150"/>
      <c r="D39" s="150"/>
      <c r="E39" s="150"/>
      <c r="F39" s="150"/>
      <c r="G39" s="151"/>
      <c r="I39" s="599"/>
      <c r="J39" s="599"/>
      <c r="K39" s="599"/>
      <c r="L39" s="599"/>
      <c r="M39" s="599"/>
      <c r="N39" s="599"/>
      <c r="O39" s="599"/>
      <c r="P39" s="599"/>
    </row>
    <row r="40" spans="1:16" ht="15" customHeight="1">
      <c r="A40" s="245">
        <v>26</v>
      </c>
      <c r="B40" s="246" t="s">
        <v>18</v>
      </c>
      <c r="C40" s="594">
        <v>0.30071552647511118</v>
      </c>
      <c r="D40" s="594">
        <v>0.32242690994456014</v>
      </c>
      <c r="E40" s="594">
        <v>0.33291076196714459</v>
      </c>
      <c r="F40" s="594">
        <v>0.29927960798125691</v>
      </c>
      <c r="G40" s="594">
        <v>0.30872224623525724</v>
      </c>
      <c r="I40" s="599"/>
      <c r="J40" s="599"/>
      <c r="K40" s="599"/>
      <c r="L40" s="599"/>
      <c r="M40" s="599"/>
      <c r="N40" s="599"/>
      <c r="O40" s="599"/>
      <c r="P40" s="599"/>
    </row>
    <row r="41" spans="1:16" ht="15" customHeight="1">
      <c r="A41" s="245">
        <v>27</v>
      </c>
      <c r="B41" s="246" t="s">
        <v>19</v>
      </c>
      <c r="C41" s="594">
        <v>0.75001919968392472</v>
      </c>
      <c r="D41" s="594">
        <v>0.7662365756961016</v>
      </c>
      <c r="E41" s="594">
        <v>0.78883333659888311</v>
      </c>
      <c r="F41" s="594">
        <v>0.8189972154836489</v>
      </c>
      <c r="G41" s="594">
        <v>0.83192038646247413</v>
      </c>
      <c r="I41" s="599"/>
      <c r="J41" s="599"/>
      <c r="K41" s="599"/>
      <c r="L41" s="599"/>
      <c r="M41" s="599"/>
      <c r="N41" s="599"/>
      <c r="O41" s="599"/>
      <c r="P41" s="599"/>
    </row>
    <row r="42" spans="1:16" ht="15" customHeight="1">
      <c r="A42" s="245">
        <v>28</v>
      </c>
      <c r="B42" s="247" t="s">
        <v>20</v>
      </c>
      <c r="C42" s="594">
        <v>0.29616107296619426</v>
      </c>
      <c r="D42" s="594">
        <v>0.3254309179732075</v>
      </c>
      <c r="E42" s="594">
        <v>0.39031447011919845</v>
      </c>
      <c r="F42" s="594">
        <v>0.33715092299716687</v>
      </c>
      <c r="G42" s="594">
        <v>0.32179844710001582</v>
      </c>
      <c r="I42" s="599"/>
      <c r="J42" s="599"/>
      <c r="K42" s="599"/>
      <c r="L42" s="599"/>
      <c r="M42" s="599"/>
      <c r="N42" s="599"/>
      <c r="O42" s="599"/>
      <c r="P42" s="599"/>
    </row>
    <row r="43" spans="1:16" ht="15" customHeight="1">
      <c r="A43" s="251"/>
      <c r="B43" s="239" t="s">
        <v>344</v>
      </c>
      <c r="C43" s="150"/>
      <c r="D43" s="150"/>
      <c r="E43" s="150"/>
      <c r="F43" s="150"/>
      <c r="G43" s="151"/>
      <c r="I43" s="599"/>
      <c r="J43" s="599"/>
      <c r="K43" s="599"/>
      <c r="L43" s="599"/>
      <c r="M43" s="599"/>
      <c r="N43" s="599"/>
      <c r="O43" s="599"/>
      <c r="P43" s="599"/>
    </row>
    <row r="44" spans="1:16" ht="15" customHeight="1">
      <c r="A44" s="245">
        <v>29</v>
      </c>
      <c r="B44" s="294" t="s">
        <v>328</v>
      </c>
      <c r="C44" s="247">
        <v>673410875.30972874</v>
      </c>
      <c r="D44" s="247">
        <v>707041705.89184391</v>
      </c>
      <c r="E44" s="247">
        <v>679803640.02105772</v>
      </c>
      <c r="F44" s="247">
        <v>642346139.81358421</v>
      </c>
      <c r="G44" s="250">
        <v>741797588.97668672</v>
      </c>
      <c r="I44" s="599"/>
      <c r="J44" s="599"/>
      <c r="K44" s="599"/>
      <c r="L44" s="599"/>
      <c r="M44" s="599"/>
      <c r="N44" s="599"/>
      <c r="O44" s="599"/>
      <c r="P44" s="599"/>
    </row>
    <row r="45" spans="1:16" ht="15">
      <c r="A45" s="245">
        <v>30</v>
      </c>
      <c r="B45" s="246" t="s">
        <v>329</v>
      </c>
      <c r="C45" s="247">
        <v>454726195.95084447</v>
      </c>
      <c r="D45" s="248">
        <v>484922931.3435334</v>
      </c>
      <c r="E45" s="248">
        <v>497930002.1658743</v>
      </c>
      <c r="F45" s="248">
        <v>448139648.8739906</v>
      </c>
      <c r="G45" s="249">
        <v>437577201.62456089</v>
      </c>
      <c r="I45" s="599"/>
      <c r="J45" s="599"/>
      <c r="K45" s="599"/>
      <c r="L45" s="599"/>
      <c r="M45" s="599"/>
      <c r="N45" s="599"/>
      <c r="O45" s="599"/>
      <c r="P45" s="599"/>
    </row>
    <row r="46" spans="1:16" ht="15">
      <c r="A46" s="289">
        <v>31</v>
      </c>
      <c r="B46" s="290" t="s">
        <v>327</v>
      </c>
      <c r="C46" s="594">
        <v>1.4809150678060428</v>
      </c>
      <c r="D46" s="594">
        <v>1.4580496408633543</v>
      </c>
      <c r="E46" s="594">
        <v>1.3652594482438845</v>
      </c>
      <c r="F46" s="594">
        <v>1.4333615457314763</v>
      </c>
      <c r="G46" s="595">
        <v>1.6952382030477571</v>
      </c>
      <c r="I46" s="599"/>
      <c r="J46" s="599"/>
      <c r="K46" s="599"/>
      <c r="L46" s="599"/>
      <c r="M46" s="599"/>
      <c r="N46" s="599"/>
      <c r="O46" s="599"/>
      <c r="P46" s="599"/>
    </row>
    <row r="47" spans="1:16" ht="15">
      <c r="A47" s="289"/>
      <c r="B47" s="239" t="s">
        <v>422</v>
      </c>
      <c r="C47" s="150"/>
      <c r="D47" s="150"/>
      <c r="E47" s="150"/>
      <c r="F47" s="150"/>
      <c r="G47" s="151"/>
      <c r="I47" s="599"/>
      <c r="J47" s="599"/>
      <c r="K47" s="599"/>
      <c r="L47" s="599"/>
      <c r="M47" s="599"/>
      <c r="N47" s="599"/>
      <c r="O47" s="599"/>
      <c r="P47" s="599"/>
    </row>
    <row r="48" spans="1:16" ht="15">
      <c r="A48" s="289">
        <v>32</v>
      </c>
      <c r="B48" s="290" t="s">
        <v>429</v>
      </c>
      <c r="C48" s="291">
        <v>1454770409.6879811</v>
      </c>
      <c r="D48" s="292">
        <v>1492938760.700505</v>
      </c>
      <c r="E48" s="292">
        <v>1407468209.6241207</v>
      </c>
      <c r="F48" s="292">
        <v>1360302676.0992379</v>
      </c>
      <c r="G48" s="293">
        <v>1403571182.4169745</v>
      </c>
      <c r="I48" s="599"/>
      <c r="J48" s="599"/>
      <c r="K48" s="599"/>
      <c r="L48" s="599"/>
      <c r="M48" s="599"/>
      <c r="N48" s="599"/>
      <c r="O48" s="599"/>
      <c r="P48" s="599"/>
    </row>
    <row r="49" spans="1:16" ht="15">
      <c r="A49" s="289">
        <v>33</v>
      </c>
      <c r="B49" s="290" t="s">
        <v>442</v>
      </c>
      <c r="C49" s="291">
        <v>933248784.95449054</v>
      </c>
      <c r="D49" s="292">
        <v>930988387.20986044</v>
      </c>
      <c r="E49" s="292">
        <v>850760014.28684866</v>
      </c>
      <c r="F49" s="292">
        <v>841558441.84490347</v>
      </c>
      <c r="G49" s="293">
        <v>844223118.08681297</v>
      </c>
      <c r="I49" s="599"/>
      <c r="J49" s="599"/>
      <c r="K49" s="599"/>
      <c r="L49" s="599"/>
      <c r="M49" s="599"/>
      <c r="N49" s="599"/>
      <c r="O49" s="599"/>
      <c r="P49" s="599"/>
    </row>
    <row r="50" spans="1:16" thickBot="1">
      <c r="A50" s="61">
        <v>34</v>
      </c>
      <c r="B50" s="136" t="s">
        <v>456</v>
      </c>
      <c r="C50" s="596">
        <v>1.5588237918348025</v>
      </c>
      <c r="D50" s="597">
        <v>1.6036062116465171</v>
      </c>
      <c r="E50" s="597">
        <v>1.6543657271010013</v>
      </c>
      <c r="F50" s="597">
        <v>1.6164090435800504</v>
      </c>
      <c r="G50" s="598">
        <v>1.6625595205184167</v>
      </c>
      <c r="I50" s="599"/>
      <c r="J50" s="599"/>
      <c r="K50" s="599"/>
      <c r="L50" s="599"/>
      <c r="M50" s="599"/>
      <c r="N50" s="599"/>
      <c r="O50" s="599"/>
      <c r="P50" s="599"/>
    </row>
    <row r="51" spans="1:16">
      <c r="A51" s="15"/>
      <c r="J51" s="599"/>
      <c r="K51" s="599"/>
      <c r="L51" s="599"/>
      <c r="M51" s="599"/>
      <c r="N51" s="599"/>
      <c r="O51" s="599"/>
      <c r="P51" s="599"/>
    </row>
    <row r="52" spans="1:16">
      <c r="B52" s="17"/>
    </row>
    <row r="53" spans="1:16" ht="65.25">
      <c r="B53" s="187"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E39"/>
  <sheetViews>
    <sheetView showGridLines="0" zoomScale="80" zoomScaleNormal="80" workbookViewId="0"/>
  </sheetViews>
  <sheetFormatPr defaultRowHeight="15"/>
  <cols>
    <col min="1" max="1" width="11.42578125" customWidth="1"/>
    <col min="2" max="2" width="76.7109375" style="2" customWidth="1"/>
    <col min="3" max="3" width="22.7109375" customWidth="1"/>
  </cols>
  <sheetData>
    <row r="1" spans="1:5">
      <c r="A1" s="1" t="s">
        <v>97</v>
      </c>
      <c r="B1" t="str">
        <f>Info!C2</f>
        <v>სს "ბანკი ქართუ"</v>
      </c>
    </row>
    <row r="2" spans="1:5">
      <c r="A2" s="1" t="s">
        <v>98</v>
      </c>
      <c r="B2" s="593">
        <f>'1. key ratios'!B2</f>
        <v>46112</v>
      </c>
    </row>
    <row r="3" spans="1:5">
      <c r="A3" s="1"/>
      <c r="B3"/>
    </row>
    <row r="4" spans="1:5">
      <c r="A4" s="1" t="s">
        <v>406</v>
      </c>
      <c r="B4" t="s">
        <v>375</v>
      </c>
    </row>
    <row r="5" spans="1:5">
      <c r="A5" s="551"/>
      <c r="B5" s="551" t="s">
        <v>376</v>
      </c>
      <c r="C5" s="552"/>
    </row>
    <row r="6" spans="1:5">
      <c r="A6" s="553">
        <v>1</v>
      </c>
      <c r="B6" s="554" t="s">
        <v>376</v>
      </c>
      <c r="C6" s="555">
        <v>1934345317.4147897</v>
      </c>
      <c r="E6" s="610"/>
    </row>
    <row r="7" spans="1:5">
      <c r="A7" s="553">
        <v>2</v>
      </c>
      <c r="B7" s="554" t="s">
        <v>377</v>
      </c>
      <c r="C7" s="555">
        <v>-15625069.660000002</v>
      </c>
      <c r="E7" s="610"/>
    </row>
    <row r="8" spans="1:5">
      <c r="A8" s="556">
        <v>3</v>
      </c>
      <c r="B8" s="557" t="s">
        <v>378</v>
      </c>
      <c r="C8" s="558">
        <f>C6+C7</f>
        <v>1918720247.7547896</v>
      </c>
      <c r="E8" s="610"/>
    </row>
    <row r="9" spans="1:5">
      <c r="A9" s="559"/>
      <c r="B9" s="559" t="s">
        <v>379</v>
      </c>
      <c r="C9" s="560"/>
      <c r="E9" s="610"/>
    </row>
    <row r="10" spans="1:5">
      <c r="A10" s="561">
        <v>4</v>
      </c>
      <c r="B10" s="562" t="s">
        <v>380</v>
      </c>
      <c r="C10" s="555">
        <f>'15. CCR'!F34</f>
        <v>0</v>
      </c>
      <c r="E10" s="610"/>
    </row>
    <row r="11" spans="1:5">
      <c r="A11" s="561">
        <v>5</v>
      </c>
      <c r="B11" s="563" t="s">
        <v>381</v>
      </c>
      <c r="C11" s="555">
        <f>'15. CCR'!G34</f>
        <v>0</v>
      </c>
      <c r="E11" s="610"/>
    </row>
    <row r="12" spans="1:5">
      <c r="A12" s="561">
        <v>6</v>
      </c>
      <c r="B12" s="564" t="s">
        <v>979</v>
      </c>
      <c r="C12" s="558">
        <f>'15. CCR'!I34</f>
        <v>0</v>
      </c>
      <c r="E12" s="610"/>
    </row>
    <row r="13" spans="1:5">
      <c r="A13" s="565">
        <v>7</v>
      </c>
      <c r="B13" s="566" t="s">
        <v>382</v>
      </c>
      <c r="C13" s="555">
        <f>'15. CCR'!E34</f>
        <v>0</v>
      </c>
      <c r="E13" s="610"/>
    </row>
    <row r="14" spans="1:5">
      <c r="A14" s="567">
        <v>8</v>
      </c>
      <c r="B14" s="568" t="s">
        <v>383</v>
      </c>
      <c r="C14" s="558">
        <f>C12</f>
        <v>0</v>
      </c>
      <c r="E14" s="610"/>
    </row>
    <row r="15" spans="1:5">
      <c r="A15" s="559"/>
      <c r="B15" s="559" t="s">
        <v>384</v>
      </c>
      <c r="C15" s="569"/>
      <c r="E15" s="610"/>
    </row>
    <row r="16" spans="1:5" ht="24">
      <c r="A16" s="565">
        <v>9</v>
      </c>
      <c r="B16" s="570" t="s">
        <v>385</v>
      </c>
      <c r="C16" s="555"/>
      <c r="E16" s="610"/>
    </row>
    <row r="17" spans="1:5">
      <c r="A17" s="561">
        <v>10</v>
      </c>
      <c r="B17" s="554" t="s">
        <v>386</v>
      </c>
      <c r="C17" s="555"/>
      <c r="E17" s="610"/>
    </row>
    <row r="18" spans="1:5">
      <c r="A18" s="561">
        <v>11</v>
      </c>
      <c r="B18" s="554" t="s">
        <v>387</v>
      </c>
      <c r="C18" s="555"/>
      <c r="E18" s="610"/>
    </row>
    <row r="19" spans="1:5" ht="24">
      <c r="A19" s="565">
        <v>12</v>
      </c>
      <c r="B19" s="570" t="s">
        <v>388</v>
      </c>
      <c r="C19" s="555"/>
      <c r="E19" s="610"/>
    </row>
    <row r="20" spans="1:5">
      <c r="A20" s="565">
        <v>13</v>
      </c>
      <c r="B20" s="570" t="s">
        <v>389</v>
      </c>
      <c r="C20" s="555"/>
      <c r="E20" s="610"/>
    </row>
    <row r="21" spans="1:5">
      <c r="A21" s="565">
        <v>14</v>
      </c>
      <c r="B21" s="554" t="s">
        <v>390</v>
      </c>
      <c r="C21" s="555"/>
      <c r="E21" s="610"/>
    </row>
    <row r="22" spans="1:5">
      <c r="A22" s="567">
        <v>15</v>
      </c>
      <c r="B22" s="568" t="s">
        <v>391</v>
      </c>
      <c r="C22" s="558">
        <f>SUM(C16:C21)</f>
        <v>0</v>
      </c>
      <c r="E22" s="610"/>
    </row>
    <row r="23" spans="1:5">
      <c r="A23" s="559"/>
      <c r="B23" s="559" t="s">
        <v>392</v>
      </c>
      <c r="C23" s="560"/>
      <c r="E23" s="610"/>
    </row>
    <row r="24" spans="1:5">
      <c r="A24" s="561">
        <v>16</v>
      </c>
      <c r="B24" s="554" t="s">
        <v>393</v>
      </c>
      <c r="C24" s="555">
        <v>207087530.6714592</v>
      </c>
      <c r="E24" s="610"/>
    </row>
    <row r="25" spans="1:5">
      <c r="A25" s="561">
        <v>17</v>
      </c>
      <c r="B25" s="554" t="s">
        <v>394</v>
      </c>
      <c r="C25" s="555">
        <v>-90622378.889180407</v>
      </c>
      <c r="E25" s="610"/>
    </row>
    <row r="26" spans="1:5">
      <c r="A26" s="567">
        <v>18</v>
      </c>
      <c r="B26" s="568" t="s">
        <v>395</v>
      </c>
      <c r="C26" s="558">
        <f>C24+C25</f>
        <v>116465151.78227879</v>
      </c>
      <c r="E26" s="610"/>
    </row>
    <row r="27" spans="1:5">
      <c r="A27" s="559"/>
      <c r="B27" s="559" t="s">
        <v>396</v>
      </c>
      <c r="C27" s="569"/>
      <c r="E27" s="610"/>
    </row>
    <row r="28" spans="1:5">
      <c r="A28" s="561">
        <v>19</v>
      </c>
      <c r="B28" s="554" t="s">
        <v>397</v>
      </c>
      <c r="C28" s="555"/>
      <c r="E28" s="610"/>
    </row>
    <row r="29" spans="1:5">
      <c r="A29" s="561">
        <v>20</v>
      </c>
      <c r="B29" s="554" t="s">
        <v>398</v>
      </c>
      <c r="C29" s="555"/>
      <c r="E29" s="610"/>
    </row>
    <row r="30" spans="1:5">
      <c r="A30" s="559"/>
      <c r="B30" s="559" t="s">
        <v>399</v>
      </c>
      <c r="C30" s="560"/>
      <c r="E30" s="610"/>
    </row>
    <row r="31" spans="1:5">
      <c r="A31" s="567">
        <v>21</v>
      </c>
      <c r="B31" s="568" t="s">
        <v>75</v>
      </c>
      <c r="C31" s="558">
        <f>'1. key ratios'!C9</f>
        <v>524572293.31191629</v>
      </c>
      <c r="E31" s="610"/>
    </row>
    <row r="32" spans="1:5">
      <c r="A32" s="567">
        <v>22</v>
      </c>
      <c r="B32" s="568" t="s">
        <v>400</v>
      </c>
      <c r="C32" s="558">
        <f>C8+C14+C22+C26</f>
        <v>2035185399.5370684</v>
      </c>
      <c r="E32" s="610"/>
    </row>
    <row r="33" spans="1:5">
      <c r="A33" s="571"/>
      <c r="B33" s="571" t="s">
        <v>375</v>
      </c>
      <c r="C33" s="560"/>
      <c r="E33" s="610"/>
    </row>
    <row r="34" spans="1:5">
      <c r="A34" s="567">
        <v>23</v>
      </c>
      <c r="B34" s="568" t="s">
        <v>375</v>
      </c>
      <c r="C34" s="690">
        <f>IFERROR(C31/C32,0)</f>
        <v>0.25775160013983867</v>
      </c>
      <c r="E34" s="610"/>
    </row>
    <row r="35" spans="1:5">
      <c r="A35" s="571"/>
      <c r="B35" s="571" t="s">
        <v>401</v>
      </c>
      <c r="C35" s="560"/>
      <c r="E35" s="610"/>
    </row>
    <row r="36" spans="1:5">
      <c r="A36" s="565" t="s">
        <v>402</v>
      </c>
      <c r="B36" s="570" t="s">
        <v>403</v>
      </c>
      <c r="C36" s="572"/>
      <c r="E36" s="610"/>
    </row>
    <row r="37" spans="1:5">
      <c r="A37" s="573" t="s">
        <v>404</v>
      </c>
      <c r="B37" s="574" t="s">
        <v>405</v>
      </c>
      <c r="C37" s="572"/>
      <c r="E37" s="610"/>
    </row>
    <row r="39" spans="1:5">
      <c r="B39" s="22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showGridLines="0" zoomScale="80" zoomScaleNormal="80" workbookViewId="0">
      <selection activeCell="B30" sqref="B30"/>
    </sheetView>
  </sheetViews>
  <sheetFormatPr defaultRowHeight="15"/>
  <cols>
    <col min="1" max="1" width="11.42578125" customWidth="1"/>
    <col min="2" max="2" width="76.7109375" style="2" customWidth="1"/>
    <col min="3" max="6" width="24.42578125" customWidth="1"/>
  </cols>
  <sheetData>
    <row r="1" spans="1:6">
      <c r="A1" s="12" t="s">
        <v>97</v>
      </c>
      <c r="B1" t="str">
        <f>Info!C2</f>
        <v>სს "ბანკი ქართუ"</v>
      </c>
    </row>
    <row r="2" spans="1:6">
      <c r="A2" s="1" t="s">
        <v>98</v>
      </c>
      <c r="B2" s="593">
        <f>'1. key ratios'!B2</f>
        <v>46112</v>
      </c>
    </row>
    <row r="3" spans="1:6">
      <c r="A3" s="1"/>
      <c r="B3"/>
    </row>
    <row r="4" spans="1:6">
      <c r="A4" s="550" t="s">
        <v>971</v>
      </c>
    </row>
    <row r="5" spans="1:6" ht="105">
      <c r="B5" s="544"/>
      <c r="C5" s="545" t="s">
        <v>972</v>
      </c>
      <c r="D5" s="545" t="s">
        <v>973</v>
      </c>
      <c r="E5" s="545" t="s">
        <v>974</v>
      </c>
      <c r="F5" s="545" t="s">
        <v>975</v>
      </c>
    </row>
    <row r="6" spans="1:6">
      <c r="B6" s="546" t="s">
        <v>970</v>
      </c>
      <c r="C6" s="547">
        <f>IF(C7&gt;0,C7,IF(C8&gt;0,C8,IF(C9&gt;0,C9,0)))</f>
        <v>0</v>
      </c>
      <c r="D6" s="547">
        <f t="shared" ref="D6:F6" si="0">IF(D7&gt;0,D7,IF(D8&gt;0,D8,IF(D9&gt;0,D9,0)))</f>
        <v>0</v>
      </c>
      <c r="E6" s="547">
        <f t="shared" si="0"/>
        <v>0</v>
      </c>
      <c r="F6" s="547">
        <f t="shared" si="0"/>
        <v>0</v>
      </c>
    </row>
    <row r="7" spans="1:6">
      <c r="B7" s="548" t="s">
        <v>976</v>
      </c>
      <c r="C7" s="549"/>
      <c r="D7" s="549"/>
      <c r="E7" s="549"/>
      <c r="F7" s="549"/>
    </row>
    <row r="8" spans="1:6">
      <c r="B8" s="548" t="s">
        <v>977</v>
      </c>
      <c r="C8" s="549"/>
      <c r="D8" s="549"/>
      <c r="E8" s="549"/>
      <c r="F8" s="549"/>
    </row>
    <row r="9" spans="1:6">
      <c r="B9" s="548" t="s">
        <v>978</v>
      </c>
      <c r="C9" s="549"/>
      <c r="D9" s="549"/>
      <c r="E9" s="549"/>
      <c r="F9" s="549"/>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P42"/>
  <sheetViews>
    <sheetView showGridLines="0" zoomScale="80" zoomScaleNormal="80" workbookViewId="0">
      <pane xSplit="2" ySplit="6" topLeftCell="C7" activePane="bottomRight" state="frozen"/>
      <selection activeCell="B30" sqref="B30"/>
      <selection pane="topRight" activeCell="B30" sqref="B30"/>
      <selection pane="bottomLeft" activeCell="B30" sqref="B30"/>
      <selection pane="bottomRight"/>
    </sheetView>
  </sheetViews>
  <sheetFormatPr defaultRowHeight="15"/>
  <cols>
    <col min="1" max="1" width="9.85546875" style="1" bestFit="1" customWidth="1"/>
    <col min="2" max="2" width="82.7109375" style="17" customWidth="1"/>
    <col min="3" max="7" width="17.5703125" style="1" customWidth="1"/>
    <col min="9" max="9" width="14.28515625" bestFit="1" customWidth="1"/>
  </cols>
  <sheetData>
    <row r="1" spans="1:16">
      <c r="A1" s="1" t="s">
        <v>97</v>
      </c>
      <c r="B1" s="1" t="str">
        <f>Info!C2</f>
        <v>სს "ბანკი ქართუ"</v>
      </c>
    </row>
    <row r="2" spans="1:16">
      <c r="A2" s="1" t="s">
        <v>98</v>
      </c>
      <c r="B2" s="593">
        <f>'1. key ratios'!B2</f>
        <v>46112</v>
      </c>
    </row>
    <row r="3" spans="1:16">
      <c r="B3" s="252"/>
    </row>
    <row r="4" spans="1:16" ht="15.75" thickBot="1">
      <c r="A4" s="1" t="s">
        <v>457</v>
      </c>
      <c r="B4" s="144" t="s">
        <v>422</v>
      </c>
    </row>
    <row r="5" spans="1:16">
      <c r="A5" s="256"/>
      <c r="B5" s="257"/>
      <c r="C5" s="786" t="s">
        <v>423</v>
      </c>
      <c r="D5" s="786"/>
      <c r="E5" s="786"/>
      <c r="F5" s="786"/>
      <c r="G5" s="787" t="s">
        <v>424</v>
      </c>
    </row>
    <row r="6" spans="1:16">
      <c r="A6" s="258"/>
      <c r="B6" s="259"/>
      <c r="C6" s="260" t="s">
        <v>425</v>
      </c>
      <c r="D6" s="260" t="s">
        <v>426</v>
      </c>
      <c r="E6" s="260" t="s">
        <v>427</v>
      </c>
      <c r="F6" s="260" t="s">
        <v>428</v>
      </c>
      <c r="G6" s="788"/>
    </row>
    <row r="7" spans="1:16">
      <c r="A7" s="261"/>
      <c r="B7" s="262" t="s">
        <v>429</v>
      </c>
      <c r="C7" s="263"/>
      <c r="D7" s="263"/>
      <c r="E7" s="263"/>
      <c r="F7" s="263"/>
      <c r="G7" s="264"/>
    </row>
    <row r="8" spans="1:16">
      <c r="A8" s="265">
        <v>1</v>
      </c>
      <c r="B8" s="266" t="s">
        <v>430</v>
      </c>
      <c r="C8" s="267">
        <f>SUM(C9:C10)</f>
        <v>475523041.15191627</v>
      </c>
      <c r="D8" s="267">
        <f>SUM(D9:D10)</f>
        <v>0</v>
      </c>
      <c r="E8" s="267">
        <f>SUM(E9:E10)</f>
        <v>0</v>
      </c>
      <c r="F8" s="267">
        <f>SUM(F9:F10)</f>
        <v>239699402.77140003</v>
      </c>
      <c r="G8" s="268">
        <f>SUM(G9:G10)</f>
        <v>715222443.92331624</v>
      </c>
      <c r="I8" s="610"/>
      <c r="J8" s="610"/>
      <c r="K8" s="610"/>
      <c r="L8" s="610"/>
      <c r="M8" s="610"/>
      <c r="N8" s="610"/>
      <c r="O8" s="610"/>
      <c r="P8" s="610"/>
    </row>
    <row r="9" spans="1:16">
      <c r="A9" s="265">
        <v>2</v>
      </c>
      <c r="B9" s="269" t="s">
        <v>74</v>
      </c>
      <c r="C9" s="267">
        <v>475523041.15191627</v>
      </c>
      <c r="D9" s="267">
        <v>0</v>
      </c>
      <c r="E9" s="267">
        <v>0</v>
      </c>
      <c r="F9" s="267">
        <v>58228572.160000011</v>
      </c>
      <c r="G9" s="268">
        <v>533751613.31191629</v>
      </c>
      <c r="I9" s="610"/>
      <c r="J9" s="610"/>
      <c r="K9" s="610"/>
      <c r="L9" s="610"/>
      <c r="M9" s="610"/>
      <c r="N9" s="610"/>
      <c r="O9" s="610"/>
      <c r="P9" s="610"/>
    </row>
    <row r="10" spans="1:16">
      <c r="A10" s="265">
        <v>3</v>
      </c>
      <c r="B10" s="269" t="s">
        <v>431</v>
      </c>
      <c r="C10" s="270"/>
      <c r="D10" s="270"/>
      <c r="E10" s="270"/>
      <c r="F10" s="267">
        <v>181470830.61140001</v>
      </c>
      <c r="G10" s="268">
        <v>181470830.61140001</v>
      </c>
      <c r="I10" s="610"/>
      <c r="J10" s="610"/>
      <c r="K10" s="610"/>
      <c r="L10" s="610"/>
      <c r="M10" s="610"/>
      <c r="N10" s="610"/>
      <c r="O10" s="610"/>
      <c r="P10" s="610"/>
    </row>
    <row r="11" spans="1:16" ht="26.25">
      <c r="A11" s="265">
        <v>4</v>
      </c>
      <c r="B11" s="266" t="s">
        <v>432</v>
      </c>
      <c r="C11" s="267">
        <f t="shared" ref="C11:F11" si="0">SUM(C12:C13)</f>
        <v>88664006.085399926</v>
      </c>
      <c r="D11" s="267">
        <f t="shared" si="0"/>
        <v>153190390.86389998</v>
      </c>
      <c r="E11" s="267">
        <f t="shared" si="0"/>
        <v>165437469.74729997</v>
      </c>
      <c r="F11" s="267">
        <f t="shared" si="0"/>
        <v>0</v>
      </c>
      <c r="G11" s="268">
        <f>SUM(G12:G13)</f>
        <v>369311627.91396487</v>
      </c>
      <c r="I11" s="610"/>
      <c r="J11" s="610"/>
      <c r="K11" s="610"/>
      <c r="L11" s="610"/>
      <c r="M11" s="610"/>
      <c r="N11" s="610"/>
      <c r="O11" s="610"/>
      <c r="P11" s="610"/>
    </row>
    <row r="12" spans="1:16">
      <c r="A12" s="265">
        <v>5</v>
      </c>
      <c r="B12" s="269" t="s">
        <v>433</v>
      </c>
      <c r="C12" s="267">
        <v>67946749.017799929</v>
      </c>
      <c r="D12" s="271">
        <v>145031036.52859998</v>
      </c>
      <c r="E12" s="267">
        <v>155168202.37729996</v>
      </c>
      <c r="F12" s="267">
        <v>0</v>
      </c>
      <c r="G12" s="268">
        <v>349738688.52751487</v>
      </c>
      <c r="I12" s="610"/>
      <c r="J12" s="610"/>
      <c r="K12" s="610"/>
      <c r="L12" s="610"/>
      <c r="M12" s="610"/>
      <c r="N12" s="610"/>
      <c r="O12" s="610"/>
      <c r="P12" s="610"/>
    </row>
    <row r="13" spans="1:16">
      <c r="A13" s="265">
        <v>6</v>
      </c>
      <c r="B13" s="269" t="s">
        <v>434</v>
      </c>
      <c r="C13" s="267">
        <v>20717257.067600001</v>
      </c>
      <c r="D13" s="271">
        <v>8159354.3352999995</v>
      </c>
      <c r="E13" s="267">
        <v>10269267.369999999</v>
      </c>
      <c r="F13" s="267">
        <v>0</v>
      </c>
      <c r="G13" s="268">
        <v>19572939.38645</v>
      </c>
      <c r="I13" s="610"/>
      <c r="J13" s="610"/>
      <c r="K13" s="610"/>
      <c r="L13" s="610"/>
      <c r="M13" s="610"/>
      <c r="N13" s="610"/>
      <c r="O13" s="610"/>
      <c r="P13" s="610"/>
    </row>
    <row r="14" spans="1:16">
      <c r="A14" s="265">
        <v>7</v>
      </c>
      <c r="B14" s="266" t="s">
        <v>435</v>
      </c>
      <c r="C14" s="267">
        <f t="shared" ref="C14:F14" si="1">SUM(C15:C16)</f>
        <v>298576159.28870004</v>
      </c>
      <c r="D14" s="267">
        <f t="shared" si="1"/>
        <v>356891498.25150007</v>
      </c>
      <c r="E14" s="267">
        <f t="shared" si="1"/>
        <v>103794579.49529999</v>
      </c>
      <c r="F14" s="267">
        <f t="shared" si="1"/>
        <v>0</v>
      </c>
      <c r="G14" s="268">
        <f>SUM(G15:G16)</f>
        <v>370236337.85070002</v>
      </c>
      <c r="I14" s="610"/>
      <c r="J14" s="610"/>
      <c r="K14" s="610"/>
      <c r="L14" s="610"/>
      <c r="M14" s="610"/>
      <c r="N14" s="610"/>
      <c r="O14" s="610"/>
      <c r="P14" s="610"/>
    </row>
    <row r="15" spans="1:16" ht="51.75">
      <c r="A15" s="265">
        <v>8</v>
      </c>
      <c r="B15" s="269" t="s">
        <v>436</v>
      </c>
      <c r="C15" s="267">
        <v>293986208.71460003</v>
      </c>
      <c r="D15" s="271">
        <v>342691887.49150008</v>
      </c>
      <c r="E15" s="267">
        <v>55096681.855300002</v>
      </c>
      <c r="F15" s="267">
        <v>0</v>
      </c>
      <c r="G15" s="268">
        <v>345887389.03070003</v>
      </c>
      <c r="I15" s="610"/>
      <c r="J15" s="610"/>
      <c r="K15" s="610"/>
      <c r="L15" s="610"/>
      <c r="M15" s="610"/>
      <c r="N15" s="610"/>
      <c r="O15" s="610"/>
      <c r="P15" s="610"/>
    </row>
    <row r="16" spans="1:16" ht="26.25">
      <c r="A16" s="265">
        <v>9</v>
      </c>
      <c r="B16" s="269" t="s">
        <v>437</v>
      </c>
      <c r="C16" s="267">
        <v>4589950.5740999999</v>
      </c>
      <c r="D16" s="271">
        <v>14199610.76</v>
      </c>
      <c r="E16" s="267">
        <v>48697897.640000001</v>
      </c>
      <c r="F16" s="267">
        <v>0</v>
      </c>
      <c r="G16" s="268">
        <v>24348948.82</v>
      </c>
      <c r="I16" s="610"/>
      <c r="J16" s="610"/>
      <c r="K16" s="610"/>
      <c r="L16" s="610"/>
      <c r="M16" s="610"/>
      <c r="N16" s="610"/>
      <c r="O16" s="610"/>
      <c r="P16" s="610"/>
    </row>
    <row r="17" spans="1:16">
      <c r="A17" s="265">
        <v>10</v>
      </c>
      <c r="B17" s="266" t="s">
        <v>438</v>
      </c>
      <c r="C17" s="267">
        <v>0</v>
      </c>
      <c r="D17" s="271">
        <v>0</v>
      </c>
      <c r="E17" s="267">
        <v>0</v>
      </c>
      <c r="F17" s="267">
        <v>0</v>
      </c>
      <c r="G17" s="268">
        <v>0</v>
      </c>
      <c r="I17" s="610"/>
      <c r="J17" s="610"/>
      <c r="K17" s="610"/>
      <c r="L17" s="610"/>
      <c r="M17" s="610"/>
      <c r="N17" s="610"/>
      <c r="O17" s="610"/>
      <c r="P17" s="610"/>
    </row>
    <row r="18" spans="1:16">
      <c r="A18" s="265">
        <v>11</v>
      </c>
      <c r="B18" s="266" t="s">
        <v>78</v>
      </c>
      <c r="C18" s="267">
        <f>SUM(C19:C20)</f>
        <v>0</v>
      </c>
      <c r="D18" s="271">
        <f t="shared" ref="D18:G18" si="2">SUM(D19:D20)</f>
        <v>17366010.829523146</v>
      </c>
      <c r="E18" s="267">
        <f t="shared" si="2"/>
        <v>9913097.5319775343</v>
      </c>
      <c r="F18" s="267">
        <f t="shared" si="2"/>
        <v>9664596.4916171432</v>
      </c>
      <c r="G18" s="268">
        <f t="shared" si="2"/>
        <v>0</v>
      </c>
      <c r="I18" s="610"/>
      <c r="J18" s="610"/>
      <c r="K18" s="610"/>
      <c r="L18" s="610"/>
      <c r="M18" s="610"/>
      <c r="N18" s="610"/>
      <c r="O18" s="610"/>
      <c r="P18" s="610"/>
    </row>
    <row r="19" spans="1:16">
      <c r="A19" s="265">
        <v>12</v>
      </c>
      <c r="B19" s="269" t="s">
        <v>439</v>
      </c>
      <c r="C19" s="270"/>
      <c r="D19" s="271">
        <v>0</v>
      </c>
      <c r="E19" s="267">
        <v>0</v>
      </c>
      <c r="F19" s="267">
        <v>0</v>
      </c>
      <c r="G19" s="268">
        <v>0</v>
      </c>
      <c r="I19" s="610"/>
      <c r="J19" s="610"/>
      <c r="K19" s="610"/>
      <c r="L19" s="610"/>
      <c r="M19" s="610"/>
      <c r="N19" s="610"/>
      <c r="O19" s="610"/>
      <c r="P19" s="610"/>
    </row>
    <row r="20" spans="1:16" ht="26.25">
      <c r="A20" s="265">
        <v>13</v>
      </c>
      <c r="B20" s="269" t="s">
        <v>440</v>
      </c>
      <c r="C20" s="267">
        <v>0</v>
      </c>
      <c r="D20" s="267">
        <v>17366010.829523146</v>
      </c>
      <c r="E20" s="267">
        <v>9913097.5319775343</v>
      </c>
      <c r="F20" s="267">
        <v>9664596.4916171432</v>
      </c>
      <c r="G20" s="268">
        <v>0</v>
      </c>
      <c r="I20" s="610"/>
      <c r="J20" s="610"/>
      <c r="K20" s="610"/>
      <c r="L20" s="610"/>
      <c r="M20" s="610"/>
      <c r="N20" s="610"/>
      <c r="O20" s="610"/>
      <c r="P20" s="610"/>
    </row>
    <row r="21" spans="1:16">
      <c r="A21" s="272">
        <v>14</v>
      </c>
      <c r="B21" s="273" t="s">
        <v>441</v>
      </c>
      <c r="C21" s="270"/>
      <c r="D21" s="270"/>
      <c r="E21" s="270"/>
      <c r="F21" s="270"/>
      <c r="G21" s="274">
        <f>SUM(G8,G11,G14,G17,G18)</f>
        <v>1454770409.6879811</v>
      </c>
      <c r="I21" s="610"/>
      <c r="J21" s="610"/>
      <c r="K21" s="610"/>
      <c r="L21" s="610"/>
      <c r="M21" s="610"/>
      <c r="N21" s="610"/>
      <c r="O21" s="610"/>
      <c r="P21" s="610"/>
    </row>
    <row r="22" spans="1:16">
      <c r="A22" s="275"/>
      <c r="B22" s="295" t="s">
        <v>442</v>
      </c>
      <c r="C22" s="276"/>
      <c r="D22" s="277"/>
      <c r="E22" s="276"/>
      <c r="F22" s="276"/>
      <c r="G22" s="278"/>
      <c r="I22" s="610"/>
      <c r="J22" s="610"/>
      <c r="K22" s="610"/>
      <c r="L22" s="610"/>
      <c r="M22" s="610"/>
      <c r="N22" s="610"/>
      <c r="O22" s="610"/>
      <c r="P22" s="610"/>
    </row>
    <row r="23" spans="1:16">
      <c r="A23" s="265">
        <v>15</v>
      </c>
      <c r="B23" s="266" t="s">
        <v>310</v>
      </c>
      <c r="C23" s="279">
        <v>380002970.11863542</v>
      </c>
      <c r="D23" s="280">
        <v>267489856.76207042</v>
      </c>
      <c r="E23" s="279">
        <v>0</v>
      </c>
      <c r="F23" s="279">
        <v>0</v>
      </c>
      <c r="G23" s="268">
        <v>17142504.047606267</v>
      </c>
      <c r="I23" s="610"/>
      <c r="J23" s="610"/>
      <c r="K23" s="610"/>
      <c r="L23" s="610"/>
      <c r="M23" s="610"/>
      <c r="N23" s="610"/>
      <c r="O23" s="610"/>
      <c r="P23" s="610"/>
    </row>
    <row r="24" spans="1:16">
      <c r="A24" s="265">
        <v>16</v>
      </c>
      <c r="B24" s="266" t="s">
        <v>443</v>
      </c>
      <c r="C24" s="267">
        <f>SUM(C25:C27,C29,C31)</f>
        <v>17989699.649245143</v>
      </c>
      <c r="D24" s="271">
        <f t="shared" ref="D24:G24" si="3">SUM(D25:D27,D29,D31)</f>
        <v>350803137.72000152</v>
      </c>
      <c r="E24" s="267">
        <f t="shared" si="3"/>
        <v>119664400.38414049</v>
      </c>
      <c r="F24" s="267">
        <f t="shared" si="3"/>
        <v>508244503.07357967</v>
      </c>
      <c r="G24" s="268">
        <f t="shared" si="3"/>
        <v>669940051.61200047</v>
      </c>
      <c r="I24" s="610"/>
      <c r="J24" s="610"/>
      <c r="K24" s="610"/>
      <c r="L24" s="610"/>
      <c r="M24" s="610"/>
      <c r="N24" s="610"/>
      <c r="O24" s="610"/>
      <c r="P24" s="610"/>
    </row>
    <row r="25" spans="1:16" ht="26.25">
      <c r="A25" s="265">
        <v>17</v>
      </c>
      <c r="B25" s="269" t="s">
        <v>444</v>
      </c>
      <c r="C25" s="267">
        <v>0</v>
      </c>
      <c r="D25" s="271">
        <v>0</v>
      </c>
      <c r="E25" s="267">
        <v>0</v>
      </c>
      <c r="F25" s="267">
        <v>0</v>
      </c>
      <c r="G25" s="268">
        <v>0</v>
      </c>
      <c r="I25" s="610"/>
      <c r="J25" s="610"/>
      <c r="K25" s="610"/>
      <c r="L25" s="610"/>
      <c r="M25" s="610"/>
      <c r="N25" s="610"/>
      <c r="O25" s="610"/>
      <c r="P25" s="610"/>
    </row>
    <row r="26" spans="1:16" ht="26.25">
      <c r="A26" s="265">
        <v>18</v>
      </c>
      <c r="B26" s="269" t="s">
        <v>445</v>
      </c>
      <c r="C26" s="267">
        <v>17989699.649245143</v>
      </c>
      <c r="D26" s="271">
        <v>0</v>
      </c>
      <c r="E26" s="267">
        <v>0</v>
      </c>
      <c r="F26" s="267">
        <v>0</v>
      </c>
      <c r="G26" s="268">
        <v>2698454.9473867714</v>
      </c>
      <c r="I26" s="610"/>
      <c r="J26" s="610"/>
      <c r="K26" s="610"/>
      <c r="L26" s="610"/>
      <c r="M26" s="610"/>
      <c r="N26" s="610"/>
      <c r="O26" s="610"/>
      <c r="P26" s="610"/>
    </row>
    <row r="27" spans="1:16">
      <c r="A27" s="265">
        <v>19</v>
      </c>
      <c r="B27" s="269" t="s">
        <v>446</v>
      </c>
      <c r="C27" s="267">
        <v>0</v>
      </c>
      <c r="D27" s="271">
        <v>347857483.49223709</v>
      </c>
      <c r="E27" s="267">
        <v>108189067.59261619</v>
      </c>
      <c r="F27" s="267">
        <v>480995428.130391</v>
      </c>
      <c r="G27" s="268">
        <v>636869389.45325899</v>
      </c>
      <c r="I27" s="610"/>
      <c r="J27" s="610"/>
      <c r="K27" s="610"/>
      <c r="L27" s="610"/>
      <c r="M27" s="610"/>
      <c r="N27" s="610"/>
      <c r="O27" s="610"/>
      <c r="P27" s="610"/>
    </row>
    <row r="28" spans="1:16">
      <c r="A28" s="265">
        <v>20</v>
      </c>
      <c r="B28" s="281" t="s">
        <v>447</v>
      </c>
      <c r="C28" s="267">
        <v>0</v>
      </c>
      <c r="D28" s="271">
        <v>0</v>
      </c>
      <c r="E28" s="267">
        <v>0</v>
      </c>
      <c r="F28" s="267">
        <v>0</v>
      </c>
      <c r="G28" s="268">
        <v>0</v>
      </c>
      <c r="I28" s="610"/>
      <c r="J28" s="610"/>
      <c r="K28" s="610"/>
      <c r="L28" s="610"/>
      <c r="M28" s="610"/>
      <c r="N28" s="610"/>
      <c r="O28" s="610"/>
      <c r="P28" s="610"/>
    </row>
    <row r="29" spans="1:16">
      <c r="A29" s="265">
        <v>21</v>
      </c>
      <c r="B29" s="269" t="s">
        <v>448</v>
      </c>
      <c r="C29" s="267">
        <v>0</v>
      </c>
      <c r="D29" s="271">
        <v>1817735.9977644</v>
      </c>
      <c r="E29" s="267">
        <v>10801340.54684332</v>
      </c>
      <c r="F29" s="267">
        <v>16563018.042820461</v>
      </c>
      <c r="G29" s="268">
        <v>20388103.608701251</v>
      </c>
      <c r="I29" s="610"/>
      <c r="J29" s="610"/>
      <c r="K29" s="610"/>
      <c r="L29" s="610"/>
      <c r="M29" s="610"/>
      <c r="N29" s="610"/>
      <c r="O29" s="610"/>
      <c r="P29" s="610"/>
    </row>
    <row r="30" spans="1:16">
      <c r="A30" s="265">
        <v>22</v>
      </c>
      <c r="B30" s="281" t="s">
        <v>447</v>
      </c>
      <c r="C30" s="267">
        <v>0</v>
      </c>
      <c r="D30" s="271">
        <v>0</v>
      </c>
      <c r="E30" s="267">
        <v>0</v>
      </c>
      <c r="F30" s="267">
        <v>0</v>
      </c>
      <c r="G30" s="268">
        <v>0</v>
      </c>
      <c r="I30" s="610"/>
      <c r="J30" s="610"/>
      <c r="K30" s="610"/>
      <c r="L30" s="610"/>
      <c r="M30" s="610"/>
      <c r="N30" s="610"/>
      <c r="O30" s="610"/>
      <c r="P30" s="610"/>
    </row>
    <row r="31" spans="1:16" ht="26.25">
      <c r="A31" s="265">
        <v>23</v>
      </c>
      <c r="B31" s="269" t="s">
        <v>449</v>
      </c>
      <c r="C31" s="267">
        <v>0</v>
      </c>
      <c r="D31" s="271">
        <v>1127918.23</v>
      </c>
      <c r="E31" s="267">
        <v>673992.24468097941</v>
      </c>
      <c r="F31" s="267">
        <v>10686056.900368217</v>
      </c>
      <c r="G31" s="268">
        <v>9984103.6026534736</v>
      </c>
      <c r="I31" s="610"/>
      <c r="J31" s="610"/>
      <c r="K31" s="610"/>
      <c r="L31" s="610"/>
      <c r="M31" s="610"/>
      <c r="N31" s="610"/>
      <c r="O31" s="610"/>
      <c r="P31" s="610"/>
    </row>
    <row r="32" spans="1:16">
      <c r="A32" s="265">
        <v>24</v>
      </c>
      <c r="B32" s="266" t="s">
        <v>450</v>
      </c>
      <c r="C32" s="267">
        <v>0</v>
      </c>
      <c r="D32" s="271">
        <v>0</v>
      </c>
      <c r="E32" s="267">
        <v>0</v>
      </c>
      <c r="F32" s="267">
        <v>0</v>
      </c>
      <c r="G32" s="268">
        <v>0</v>
      </c>
      <c r="I32" s="610"/>
      <c r="J32" s="610"/>
      <c r="K32" s="610"/>
      <c r="L32" s="610"/>
      <c r="M32" s="610"/>
      <c r="N32" s="610"/>
      <c r="O32" s="610"/>
      <c r="P32" s="610"/>
    </row>
    <row r="33" spans="1:16">
      <c r="A33" s="265">
        <v>25</v>
      </c>
      <c r="B33" s="266" t="s">
        <v>88</v>
      </c>
      <c r="C33" s="267">
        <f>SUM(C34:C35)</f>
        <v>0</v>
      </c>
      <c r="D33" s="267">
        <f>SUM(D34:D35)</f>
        <v>54663234.466356575</v>
      </c>
      <c r="E33" s="267">
        <f>SUM(E34:E35)</f>
        <v>62831274.721585885</v>
      </c>
      <c r="F33" s="267">
        <f>SUM(F34:F35)</f>
        <v>157031169.91866049</v>
      </c>
      <c r="G33" s="268">
        <f>SUM(G34:G35)</f>
        <v>224728062.35077298</v>
      </c>
      <c r="I33" s="610"/>
      <c r="J33" s="610"/>
      <c r="K33" s="610"/>
      <c r="L33" s="610"/>
      <c r="M33" s="610"/>
      <c r="N33" s="610"/>
      <c r="O33" s="610"/>
      <c r="P33" s="610"/>
    </row>
    <row r="34" spans="1:16">
      <c r="A34" s="265">
        <v>26</v>
      </c>
      <c r="B34" s="269" t="s">
        <v>451</v>
      </c>
      <c r="C34" s="270"/>
      <c r="D34" s="271">
        <v>0</v>
      </c>
      <c r="E34" s="267">
        <v>0</v>
      </c>
      <c r="F34" s="267">
        <v>0</v>
      </c>
      <c r="G34" s="268">
        <v>0</v>
      </c>
      <c r="I34" s="610"/>
      <c r="J34" s="610"/>
      <c r="K34" s="610"/>
      <c r="L34" s="610"/>
      <c r="M34" s="610"/>
      <c r="N34" s="610"/>
      <c r="O34" s="610"/>
      <c r="P34" s="610"/>
    </row>
    <row r="35" spans="1:16">
      <c r="A35" s="265">
        <v>27</v>
      </c>
      <c r="B35" s="269" t="s">
        <v>452</v>
      </c>
      <c r="C35" s="267"/>
      <c r="D35" s="271">
        <v>54663234.466356575</v>
      </c>
      <c r="E35" s="267">
        <v>62831274.721585885</v>
      </c>
      <c r="F35" s="267">
        <v>157031169.91866049</v>
      </c>
      <c r="G35" s="268">
        <v>224728062.35077298</v>
      </c>
      <c r="I35" s="610"/>
      <c r="J35" s="610"/>
      <c r="K35" s="610"/>
      <c r="L35" s="610"/>
      <c r="M35" s="610"/>
      <c r="N35" s="610"/>
      <c r="O35" s="610"/>
      <c r="P35" s="610"/>
    </row>
    <row r="36" spans="1:16">
      <c r="A36" s="265">
        <v>28</v>
      </c>
      <c r="B36" s="266" t="s">
        <v>453</v>
      </c>
      <c r="C36" s="267">
        <v>0</v>
      </c>
      <c r="D36" s="271">
        <v>59720082.042998694</v>
      </c>
      <c r="E36" s="267">
        <v>88187566.888483584</v>
      </c>
      <c r="F36" s="267">
        <v>59179881.829011813</v>
      </c>
      <c r="G36" s="268">
        <v>21438166.944110882</v>
      </c>
      <c r="I36" s="610"/>
      <c r="J36" s="610"/>
      <c r="K36" s="610"/>
      <c r="L36" s="610"/>
      <c r="M36" s="610"/>
      <c r="N36" s="610"/>
      <c r="O36" s="610"/>
      <c r="P36" s="610"/>
    </row>
    <row r="37" spans="1:16">
      <c r="A37" s="272">
        <v>29</v>
      </c>
      <c r="B37" s="273" t="s">
        <v>454</v>
      </c>
      <c r="C37" s="270"/>
      <c r="D37" s="270"/>
      <c r="E37" s="270"/>
      <c r="F37" s="270"/>
      <c r="G37" s="274">
        <f>SUM(G23:G24,G32:G33,G36)</f>
        <v>933248784.95449054</v>
      </c>
      <c r="I37" s="610"/>
      <c r="J37" s="610"/>
      <c r="K37" s="610"/>
      <c r="L37" s="610"/>
      <c r="M37" s="610"/>
      <c r="N37" s="610"/>
      <c r="O37" s="610"/>
      <c r="P37" s="610"/>
    </row>
    <row r="38" spans="1:16">
      <c r="A38" s="261"/>
      <c r="B38" s="282"/>
      <c r="C38" s="283"/>
      <c r="D38" s="283"/>
      <c r="E38" s="283"/>
      <c r="F38" s="283"/>
      <c r="G38" s="284"/>
      <c r="I38" s="610"/>
      <c r="J38" s="610"/>
      <c r="K38" s="610"/>
      <c r="L38" s="610"/>
      <c r="M38" s="610"/>
      <c r="N38" s="610"/>
      <c r="O38" s="610"/>
      <c r="P38" s="610"/>
    </row>
    <row r="39" spans="1:16" ht="15.75" thickBot="1">
      <c r="A39" s="285">
        <v>30</v>
      </c>
      <c r="B39" s="286" t="s">
        <v>422</v>
      </c>
      <c r="C39" s="178"/>
      <c r="D39" s="162"/>
      <c r="E39" s="162"/>
      <c r="F39" s="287"/>
      <c r="G39" s="288">
        <f>IFERROR(G21/G37,0)</f>
        <v>1.5588237918348025</v>
      </c>
      <c r="I39" s="610"/>
      <c r="J39" s="610"/>
      <c r="K39" s="610"/>
      <c r="L39" s="610"/>
      <c r="M39" s="610"/>
      <c r="N39" s="610"/>
      <c r="O39" s="610"/>
      <c r="P39" s="610"/>
    </row>
    <row r="42" spans="1:16" ht="39">
      <c r="B42" s="17"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P26"/>
  <sheetViews>
    <sheetView showGridLines="0" zoomScale="80" zoomScaleNormal="80" workbookViewId="0"/>
  </sheetViews>
  <sheetFormatPr defaultColWidth="9.28515625" defaultRowHeight="12.75"/>
  <cols>
    <col min="1" max="1" width="11.7109375" style="300" bestFit="1" customWidth="1"/>
    <col min="2" max="2" width="105.28515625" style="300" bestFit="1" customWidth="1"/>
    <col min="3" max="3" width="19.28515625" style="300" bestFit="1" customWidth="1"/>
    <col min="4" max="4" width="19.42578125" style="300" bestFit="1" customWidth="1"/>
    <col min="5" max="6" width="18.5703125" style="300" bestFit="1" customWidth="1"/>
    <col min="7" max="7" width="30.42578125" style="300" customWidth="1"/>
    <col min="8" max="8" width="20.5703125" style="300" bestFit="1" customWidth="1"/>
    <col min="9" max="16384" width="9.28515625" style="300"/>
  </cols>
  <sheetData>
    <row r="1" spans="1:16" ht="13.5">
      <c r="A1" s="299" t="s">
        <v>97</v>
      </c>
      <c r="B1" s="221" t="str">
        <f>Info!C2</f>
        <v>სს "ბანკი ქართუ"</v>
      </c>
    </row>
    <row r="2" spans="1:16">
      <c r="A2" s="299" t="s">
        <v>98</v>
      </c>
      <c r="B2" s="634">
        <f>'1. key ratios'!B2</f>
        <v>46112</v>
      </c>
    </row>
    <row r="3" spans="1:16">
      <c r="A3" s="301" t="s">
        <v>462</v>
      </c>
    </row>
    <row r="5" spans="1:16">
      <c r="A5" s="789" t="s">
        <v>463</v>
      </c>
      <c r="B5" s="790"/>
      <c r="C5" s="795" t="s">
        <v>464</v>
      </c>
      <c r="D5" s="796"/>
      <c r="E5" s="796"/>
      <c r="F5" s="796"/>
      <c r="G5" s="796"/>
      <c r="H5" s="797"/>
    </row>
    <row r="6" spans="1:16">
      <c r="A6" s="791"/>
      <c r="B6" s="792"/>
      <c r="C6" s="798"/>
      <c r="D6" s="799"/>
      <c r="E6" s="799"/>
      <c r="F6" s="799"/>
      <c r="G6" s="799"/>
      <c r="H6" s="800"/>
    </row>
    <row r="7" spans="1:16" ht="25.5">
      <c r="A7" s="793"/>
      <c r="B7" s="794"/>
      <c r="C7" s="383" t="s">
        <v>465</v>
      </c>
      <c r="D7" s="383" t="s">
        <v>466</v>
      </c>
      <c r="E7" s="383" t="s">
        <v>467</v>
      </c>
      <c r="F7" s="383" t="s">
        <v>468</v>
      </c>
      <c r="G7" s="383" t="s">
        <v>648</v>
      </c>
      <c r="H7" s="383" t="s">
        <v>66</v>
      </c>
    </row>
    <row r="8" spans="1:16">
      <c r="A8" s="379">
        <v>1</v>
      </c>
      <c r="B8" s="378" t="s">
        <v>123</v>
      </c>
      <c r="C8" s="692">
        <v>267686110</v>
      </c>
      <c r="D8" s="692">
        <v>391513.16004977305</v>
      </c>
      <c r="E8" s="692">
        <v>21002529.643099997</v>
      </c>
      <c r="F8" s="692">
        <v>0</v>
      </c>
      <c r="G8" s="692">
        <v>0</v>
      </c>
      <c r="H8" s="691">
        <f t="shared" ref="H8:H20" si="0">SUM(C8:G8)</f>
        <v>289080152.80314976</v>
      </c>
      <c r="J8" s="693"/>
      <c r="K8" s="693"/>
      <c r="L8" s="693"/>
      <c r="M8" s="693"/>
      <c r="N8" s="693"/>
      <c r="O8" s="693"/>
      <c r="P8" s="693"/>
    </row>
    <row r="9" spans="1:16">
      <c r="A9" s="379">
        <v>2</v>
      </c>
      <c r="B9" s="378" t="s">
        <v>124</v>
      </c>
      <c r="C9" s="692">
        <v>0</v>
      </c>
      <c r="D9" s="692">
        <v>0</v>
      </c>
      <c r="E9" s="692">
        <v>0</v>
      </c>
      <c r="F9" s="692">
        <v>0</v>
      </c>
      <c r="G9" s="692">
        <v>0</v>
      </c>
      <c r="H9" s="691">
        <f t="shared" si="0"/>
        <v>0</v>
      </c>
      <c r="J9" s="693"/>
      <c r="K9" s="693"/>
      <c r="L9" s="693"/>
      <c r="M9" s="693"/>
      <c r="N9" s="693"/>
      <c r="O9" s="693"/>
    </row>
    <row r="10" spans="1:16">
      <c r="A10" s="379">
        <v>3</v>
      </c>
      <c r="B10" s="378" t="s">
        <v>125</v>
      </c>
      <c r="C10" s="692">
        <v>0</v>
      </c>
      <c r="D10" s="692">
        <v>0</v>
      </c>
      <c r="E10" s="692">
        <v>0</v>
      </c>
      <c r="F10" s="692">
        <v>0</v>
      </c>
      <c r="G10" s="692">
        <v>0</v>
      </c>
      <c r="H10" s="691">
        <f t="shared" si="0"/>
        <v>0</v>
      </c>
      <c r="J10" s="693"/>
      <c r="K10" s="693"/>
      <c r="L10" s="693"/>
      <c r="M10" s="693"/>
      <c r="N10" s="693"/>
      <c r="O10" s="693"/>
    </row>
    <row r="11" spans="1:16">
      <c r="A11" s="379">
        <v>4</v>
      </c>
      <c r="B11" s="378" t="s">
        <v>126</v>
      </c>
      <c r="C11" s="692">
        <v>0</v>
      </c>
      <c r="D11" s="692">
        <v>0</v>
      </c>
      <c r="E11" s="692">
        <v>0</v>
      </c>
      <c r="F11" s="692">
        <v>0</v>
      </c>
      <c r="G11" s="692">
        <v>0</v>
      </c>
      <c r="H11" s="691">
        <f t="shared" si="0"/>
        <v>0</v>
      </c>
      <c r="J11" s="693"/>
      <c r="K11" s="693"/>
      <c r="L11" s="693"/>
      <c r="M11" s="693"/>
      <c r="N11" s="693"/>
      <c r="O11" s="693"/>
    </row>
    <row r="12" spans="1:16">
      <c r="A12" s="379">
        <v>5</v>
      </c>
      <c r="B12" s="378" t="s">
        <v>912</v>
      </c>
      <c r="C12" s="692">
        <v>0</v>
      </c>
      <c r="D12" s="692">
        <v>0</v>
      </c>
      <c r="E12" s="692">
        <v>0</v>
      </c>
      <c r="F12" s="692">
        <v>0</v>
      </c>
      <c r="G12" s="692">
        <v>0</v>
      </c>
      <c r="H12" s="691">
        <f t="shared" si="0"/>
        <v>0</v>
      </c>
      <c r="J12" s="693"/>
      <c r="K12" s="693"/>
      <c r="L12" s="693"/>
      <c r="M12" s="693"/>
      <c r="N12" s="693"/>
      <c r="O12" s="693"/>
    </row>
    <row r="13" spans="1:16">
      <c r="A13" s="379">
        <v>6</v>
      </c>
      <c r="B13" s="378" t="s">
        <v>127</v>
      </c>
      <c r="C13" s="692">
        <v>29899573.836400002</v>
      </c>
      <c r="D13" s="692">
        <v>273383302.05372453</v>
      </c>
      <c r="E13" s="692">
        <v>0</v>
      </c>
      <c r="F13" s="692">
        <v>3182838.4013817552</v>
      </c>
      <c r="G13" s="692">
        <v>0</v>
      </c>
      <c r="H13" s="691">
        <f t="shared" si="0"/>
        <v>306465714.29150629</v>
      </c>
      <c r="J13" s="693"/>
      <c r="K13" s="693"/>
      <c r="L13" s="693"/>
      <c r="M13" s="693"/>
      <c r="N13" s="693"/>
      <c r="O13" s="693"/>
    </row>
    <row r="14" spans="1:16">
      <c r="A14" s="379">
        <v>7</v>
      </c>
      <c r="B14" s="378" t="s">
        <v>71</v>
      </c>
      <c r="C14" s="692">
        <v>0</v>
      </c>
      <c r="D14" s="692">
        <v>437053197.61258817</v>
      </c>
      <c r="E14" s="692">
        <v>316841875.68931127</v>
      </c>
      <c r="F14" s="692">
        <v>362011796.8182838</v>
      </c>
      <c r="G14" s="692">
        <v>28950610.099813145</v>
      </c>
      <c r="H14" s="691">
        <f t="shared" si="0"/>
        <v>1144857480.2199965</v>
      </c>
      <c r="J14" s="693"/>
      <c r="K14" s="693"/>
      <c r="L14" s="693"/>
      <c r="M14" s="693"/>
      <c r="N14" s="693"/>
      <c r="O14" s="693"/>
    </row>
    <row r="15" spans="1:16">
      <c r="A15" s="379">
        <v>8</v>
      </c>
      <c r="B15" s="380" t="s">
        <v>72</v>
      </c>
      <c r="C15" s="692">
        <v>0</v>
      </c>
      <c r="D15" s="692">
        <v>0</v>
      </c>
      <c r="E15" s="692">
        <v>0</v>
      </c>
      <c r="F15" s="692">
        <v>0</v>
      </c>
      <c r="G15" s="692">
        <v>0</v>
      </c>
      <c r="H15" s="691">
        <f t="shared" si="0"/>
        <v>0</v>
      </c>
      <c r="J15" s="693"/>
      <c r="K15" s="693"/>
      <c r="L15" s="693"/>
      <c r="M15" s="693"/>
      <c r="N15" s="693"/>
      <c r="O15" s="693"/>
    </row>
    <row r="16" spans="1:16">
      <c r="A16" s="379">
        <v>9</v>
      </c>
      <c r="B16" s="378" t="s">
        <v>913</v>
      </c>
      <c r="C16" s="692">
        <v>0</v>
      </c>
      <c r="D16" s="692">
        <v>0</v>
      </c>
      <c r="E16" s="692">
        <v>0</v>
      </c>
      <c r="F16" s="692">
        <v>0</v>
      </c>
      <c r="G16" s="692">
        <v>0</v>
      </c>
      <c r="H16" s="691">
        <f t="shared" si="0"/>
        <v>0</v>
      </c>
      <c r="J16" s="693"/>
      <c r="K16" s="693"/>
      <c r="L16" s="693"/>
      <c r="M16" s="693"/>
      <c r="N16" s="693"/>
      <c r="O16" s="693"/>
    </row>
    <row r="17" spans="1:15">
      <c r="A17" s="379">
        <v>10</v>
      </c>
      <c r="B17" s="382" t="s">
        <v>483</v>
      </c>
      <c r="C17" s="692">
        <v>0</v>
      </c>
      <c r="D17" s="692">
        <v>10714157.096030382</v>
      </c>
      <c r="E17" s="692">
        <v>3938066.9926102487</v>
      </c>
      <c r="F17" s="692">
        <v>10068169.423907917</v>
      </c>
      <c r="G17" s="692">
        <v>27529024.842256617</v>
      </c>
      <c r="H17" s="691">
        <f t="shared" si="0"/>
        <v>52249418.354805164</v>
      </c>
      <c r="J17" s="693"/>
      <c r="K17" s="693"/>
      <c r="L17" s="693"/>
      <c r="M17" s="693"/>
      <c r="N17" s="693"/>
      <c r="O17" s="693"/>
    </row>
    <row r="18" spans="1:15">
      <c r="A18" s="379">
        <v>11</v>
      </c>
      <c r="B18" s="378" t="s">
        <v>68</v>
      </c>
      <c r="C18" s="692">
        <v>0</v>
      </c>
      <c r="D18" s="692">
        <v>0</v>
      </c>
      <c r="E18" s="692">
        <v>0</v>
      </c>
      <c r="F18" s="692">
        <v>0</v>
      </c>
      <c r="G18" s="692">
        <v>0</v>
      </c>
      <c r="H18" s="691">
        <f t="shared" si="0"/>
        <v>0</v>
      </c>
      <c r="J18" s="693"/>
      <c r="K18" s="693"/>
      <c r="L18" s="693"/>
      <c r="M18" s="693"/>
      <c r="N18" s="693"/>
      <c r="O18" s="693"/>
    </row>
    <row r="19" spans="1:15">
      <c r="A19" s="379">
        <v>12</v>
      </c>
      <c r="B19" s="378" t="s">
        <v>69</v>
      </c>
      <c r="C19" s="692">
        <v>0</v>
      </c>
      <c r="D19" s="692">
        <v>0</v>
      </c>
      <c r="E19" s="692">
        <v>0</v>
      </c>
      <c r="F19" s="692">
        <v>0</v>
      </c>
      <c r="G19" s="692">
        <v>0</v>
      </c>
      <c r="H19" s="691">
        <f t="shared" si="0"/>
        <v>0</v>
      </c>
      <c r="J19" s="693"/>
      <c r="K19" s="693"/>
      <c r="L19" s="693"/>
      <c r="M19" s="693"/>
      <c r="N19" s="693"/>
      <c r="O19" s="693"/>
    </row>
    <row r="20" spans="1:15">
      <c r="A20" s="381">
        <v>13</v>
      </c>
      <c r="B20" s="380" t="s">
        <v>70</v>
      </c>
      <c r="C20" s="692">
        <v>0</v>
      </c>
      <c r="D20" s="692">
        <v>0</v>
      </c>
      <c r="E20" s="692">
        <v>0</v>
      </c>
      <c r="F20" s="692">
        <v>0</v>
      </c>
      <c r="G20" s="692">
        <v>0</v>
      </c>
      <c r="H20" s="691">
        <f t="shared" si="0"/>
        <v>0</v>
      </c>
      <c r="J20" s="693"/>
      <c r="K20" s="693"/>
      <c r="L20" s="693"/>
      <c r="M20" s="693"/>
      <c r="N20" s="693"/>
      <c r="O20" s="693"/>
    </row>
    <row r="21" spans="1:15">
      <c r="A21" s="379">
        <v>14</v>
      </c>
      <c r="B21" s="378" t="s">
        <v>469</v>
      </c>
      <c r="C21" s="692">
        <v>36956636.68</v>
      </c>
      <c r="D21" s="692">
        <v>18525305.782824289</v>
      </c>
      <c r="E21" s="692">
        <v>4516635.4734207923</v>
      </c>
      <c r="F21" s="692">
        <v>25937082.838293888</v>
      </c>
      <c r="G21" s="692">
        <v>92381240.865701169</v>
      </c>
      <c r="H21" s="691">
        <f>SUM(C21:G21)</f>
        <v>178316901.64024013</v>
      </c>
      <c r="J21" s="693"/>
      <c r="K21" s="693"/>
      <c r="L21" s="693"/>
      <c r="M21" s="693"/>
      <c r="N21" s="693"/>
      <c r="O21" s="693"/>
    </row>
    <row r="22" spans="1:15">
      <c r="A22" s="377">
        <v>15</v>
      </c>
      <c r="B22" s="376" t="s">
        <v>66</v>
      </c>
      <c r="C22" s="691">
        <f>SUM(C18:C21)+SUM(C8:C16)</f>
        <v>334542320.51640004</v>
      </c>
      <c r="D22" s="691">
        <f t="shared" ref="D22:H22" si="1">SUM(D18:D21)+SUM(D8:D16)</f>
        <v>729353318.60918677</v>
      </c>
      <c r="E22" s="691">
        <f t="shared" si="1"/>
        <v>342361040.80583209</v>
      </c>
      <c r="F22" s="691">
        <f t="shared" si="1"/>
        <v>391131718.05795944</v>
      </c>
      <c r="G22" s="691">
        <f t="shared" si="1"/>
        <v>121331850.96551432</v>
      </c>
      <c r="H22" s="691">
        <f t="shared" si="1"/>
        <v>1918720248.9548926</v>
      </c>
      <c r="J22" s="693"/>
      <c r="K22" s="693"/>
      <c r="L22" s="693"/>
      <c r="M22" s="693"/>
      <c r="N22" s="693"/>
      <c r="O22" s="693"/>
    </row>
    <row r="26" spans="1:15" ht="38.25">
      <c r="B26" s="316"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P26"/>
  <sheetViews>
    <sheetView showGridLines="0" zoomScale="80" zoomScaleNormal="80" workbookViewId="0"/>
  </sheetViews>
  <sheetFormatPr defaultColWidth="9.28515625" defaultRowHeight="12.75"/>
  <cols>
    <col min="1" max="1" width="11.7109375" style="302" bestFit="1" customWidth="1"/>
    <col min="2" max="2" width="86.7109375" style="300" customWidth="1"/>
    <col min="3" max="4" width="31.5703125" style="300" customWidth="1"/>
    <col min="5" max="5" width="16.42578125" style="300" bestFit="1" customWidth="1"/>
    <col min="6" max="6" width="14.28515625" style="300" bestFit="1" customWidth="1"/>
    <col min="7" max="7" width="20" style="300" bestFit="1" customWidth="1"/>
    <col min="8" max="8" width="25.28515625" style="300" bestFit="1" customWidth="1"/>
    <col min="9" max="16384" width="9.28515625" style="300"/>
  </cols>
  <sheetData>
    <row r="1" spans="1:16" ht="13.5">
      <c r="A1" s="299" t="s">
        <v>97</v>
      </c>
      <c r="B1" s="221" t="str">
        <f>Info!C2</f>
        <v>სს "ბანკი ქართუ"</v>
      </c>
      <c r="C1" s="394"/>
      <c r="D1" s="394"/>
      <c r="E1" s="394"/>
      <c r="F1" s="394"/>
      <c r="G1" s="394"/>
      <c r="H1" s="394"/>
    </row>
    <row r="2" spans="1:16">
      <c r="A2" s="299" t="s">
        <v>98</v>
      </c>
      <c r="B2" s="634">
        <f>'1. key ratios'!B2</f>
        <v>46112</v>
      </c>
      <c r="C2" s="394"/>
      <c r="D2" s="394"/>
      <c r="E2" s="394"/>
      <c r="F2" s="394"/>
      <c r="G2" s="394"/>
      <c r="H2" s="394"/>
    </row>
    <row r="3" spans="1:16">
      <c r="A3" s="301" t="s">
        <v>470</v>
      </c>
      <c r="B3" s="394"/>
      <c r="C3" s="394"/>
      <c r="D3" s="394"/>
      <c r="E3" s="394"/>
      <c r="F3" s="394"/>
      <c r="G3" s="394"/>
      <c r="H3" s="394"/>
    </row>
    <row r="4" spans="1:16">
      <c r="A4" s="395"/>
      <c r="B4" s="394"/>
      <c r="C4" s="393" t="s">
        <v>471</v>
      </c>
      <c r="D4" s="393" t="s">
        <v>472</v>
      </c>
      <c r="E4" s="393" t="s">
        <v>473</v>
      </c>
      <c r="F4" s="393" t="s">
        <v>474</v>
      </c>
      <c r="G4" s="393" t="s">
        <v>475</v>
      </c>
      <c r="H4" s="393" t="s">
        <v>476</v>
      </c>
    </row>
    <row r="5" spans="1:16" ht="34.15" customHeight="1">
      <c r="A5" s="789" t="s">
        <v>835</v>
      </c>
      <c r="B5" s="790"/>
      <c r="C5" s="803" t="s">
        <v>565</v>
      </c>
      <c r="D5" s="803"/>
      <c r="E5" s="803" t="s">
        <v>834</v>
      </c>
      <c r="F5" s="801" t="s">
        <v>833</v>
      </c>
      <c r="G5" s="801" t="s">
        <v>480</v>
      </c>
      <c r="H5" s="391" t="s">
        <v>832</v>
      </c>
    </row>
    <row r="6" spans="1:16" ht="25.5">
      <c r="A6" s="793"/>
      <c r="B6" s="794"/>
      <c r="C6" s="392" t="s">
        <v>481</v>
      </c>
      <c r="D6" s="392" t="s">
        <v>482</v>
      </c>
      <c r="E6" s="803"/>
      <c r="F6" s="802"/>
      <c r="G6" s="802"/>
      <c r="H6" s="391" t="s">
        <v>831</v>
      </c>
    </row>
    <row r="7" spans="1:16">
      <c r="A7" s="389">
        <v>1</v>
      </c>
      <c r="B7" s="378" t="s">
        <v>123</v>
      </c>
      <c r="C7" s="695">
        <v>0</v>
      </c>
      <c r="D7" s="695">
        <v>289182803.96569997</v>
      </c>
      <c r="E7" s="695">
        <v>102651.25834756182</v>
      </c>
      <c r="F7" s="695">
        <v>0</v>
      </c>
      <c r="G7" s="695">
        <v>0</v>
      </c>
      <c r="H7" s="696">
        <f t="shared" ref="H7:H20" si="0">C7+D7-E7-F7</f>
        <v>289080152.7073524</v>
      </c>
      <c r="J7" s="694"/>
      <c r="K7" s="694"/>
      <c r="L7" s="694"/>
      <c r="M7" s="694"/>
      <c r="N7" s="694"/>
      <c r="O7" s="694"/>
      <c r="P7" s="694"/>
    </row>
    <row r="8" spans="1:16" ht="14.65" customHeight="1">
      <c r="A8" s="389">
        <v>2</v>
      </c>
      <c r="B8" s="378" t="s">
        <v>124</v>
      </c>
      <c r="C8" s="695">
        <v>0</v>
      </c>
      <c r="D8" s="695">
        <v>0</v>
      </c>
      <c r="E8" s="695">
        <v>0</v>
      </c>
      <c r="F8" s="695">
        <v>0</v>
      </c>
      <c r="G8" s="695">
        <v>0</v>
      </c>
      <c r="H8" s="696">
        <f t="shared" si="0"/>
        <v>0</v>
      </c>
      <c r="J8" s="694"/>
      <c r="K8" s="694"/>
      <c r="L8" s="694"/>
      <c r="M8" s="694"/>
      <c r="N8" s="694"/>
      <c r="O8" s="694"/>
    </row>
    <row r="9" spans="1:16">
      <c r="A9" s="389">
        <v>3</v>
      </c>
      <c r="B9" s="378" t="s">
        <v>125</v>
      </c>
      <c r="C9" s="695">
        <v>0</v>
      </c>
      <c r="D9" s="695">
        <v>0</v>
      </c>
      <c r="E9" s="695">
        <v>0</v>
      </c>
      <c r="F9" s="695">
        <v>0</v>
      </c>
      <c r="G9" s="695">
        <v>0</v>
      </c>
      <c r="H9" s="696">
        <f t="shared" si="0"/>
        <v>0</v>
      </c>
      <c r="J9" s="694"/>
      <c r="K9" s="694"/>
      <c r="L9" s="694"/>
      <c r="M9" s="694"/>
      <c r="N9" s="694"/>
      <c r="O9" s="694"/>
    </row>
    <row r="10" spans="1:16">
      <c r="A10" s="389">
        <v>4</v>
      </c>
      <c r="B10" s="378" t="s">
        <v>126</v>
      </c>
      <c r="C10" s="695">
        <v>0</v>
      </c>
      <c r="D10" s="695">
        <v>0</v>
      </c>
      <c r="E10" s="695">
        <v>0</v>
      </c>
      <c r="F10" s="695">
        <v>0</v>
      </c>
      <c r="G10" s="695">
        <v>0</v>
      </c>
      <c r="H10" s="696">
        <f t="shared" si="0"/>
        <v>0</v>
      </c>
      <c r="J10" s="694"/>
      <c r="K10" s="694"/>
      <c r="L10" s="694"/>
      <c r="M10" s="694"/>
      <c r="N10" s="694"/>
      <c r="O10" s="694"/>
    </row>
    <row r="11" spans="1:16">
      <c r="A11" s="389">
        <v>5</v>
      </c>
      <c r="B11" s="378" t="s">
        <v>912</v>
      </c>
      <c r="C11" s="695">
        <v>0</v>
      </c>
      <c r="D11" s="695">
        <v>0</v>
      </c>
      <c r="E11" s="695">
        <v>0</v>
      </c>
      <c r="F11" s="695">
        <v>0</v>
      </c>
      <c r="G11" s="695">
        <v>0</v>
      </c>
      <c r="H11" s="696">
        <f t="shared" si="0"/>
        <v>0</v>
      </c>
      <c r="J11" s="694"/>
      <c r="K11" s="694"/>
      <c r="L11" s="694"/>
      <c r="M11" s="694"/>
      <c r="N11" s="694"/>
      <c r="O11" s="694"/>
    </row>
    <row r="12" spans="1:16">
      <c r="A12" s="389">
        <v>6</v>
      </c>
      <c r="B12" s="378" t="s">
        <v>127</v>
      </c>
      <c r="C12" s="695">
        <v>0</v>
      </c>
      <c r="D12" s="695">
        <v>306515383.18395412</v>
      </c>
      <c r="E12" s="695">
        <v>49668.90424782125</v>
      </c>
      <c r="F12" s="695">
        <v>0</v>
      </c>
      <c r="G12" s="695">
        <v>0</v>
      </c>
      <c r="H12" s="696">
        <f t="shared" si="0"/>
        <v>306465714.2797063</v>
      </c>
      <c r="J12" s="694"/>
      <c r="K12" s="694"/>
      <c r="L12" s="694"/>
      <c r="M12" s="694"/>
      <c r="N12" s="694"/>
      <c r="O12" s="694"/>
    </row>
    <row r="13" spans="1:16">
      <c r="A13" s="389">
        <v>7</v>
      </c>
      <c r="B13" s="378" t="s">
        <v>71</v>
      </c>
      <c r="C13" s="695">
        <v>84027114.786411196</v>
      </c>
      <c r="D13" s="695">
        <v>1095510768.7425573</v>
      </c>
      <c r="E13" s="695">
        <v>34680403.30897294</v>
      </c>
      <c r="F13" s="695">
        <v>0</v>
      </c>
      <c r="G13" s="695">
        <v>0</v>
      </c>
      <c r="H13" s="696">
        <f t="shared" si="0"/>
        <v>1144857480.2199957</v>
      </c>
      <c r="J13" s="694"/>
      <c r="K13" s="694"/>
      <c r="L13" s="694"/>
      <c r="M13" s="694"/>
      <c r="N13" s="694"/>
      <c r="O13" s="694"/>
    </row>
    <row r="14" spans="1:16">
      <c r="A14" s="389">
        <v>8</v>
      </c>
      <c r="B14" s="380" t="s">
        <v>72</v>
      </c>
      <c r="C14" s="695">
        <v>0</v>
      </c>
      <c r="D14" s="695">
        <v>0</v>
      </c>
      <c r="E14" s="695">
        <v>0</v>
      </c>
      <c r="F14" s="695">
        <v>0</v>
      </c>
      <c r="G14" s="695">
        <v>0</v>
      </c>
      <c r="H14" s="696">
        <f t="shared" si="0"/>
        <v>0</v>
      </c>
      <c r="J14" s="694"/>
      <c r="K14" s="694"/>
      <c r="L14" s="694"/>
      <c r="M14" s="694"/>
      <c r="N14" s="694"/>
      <c r="O14" s="694"/>
    </row>
    <row r="15" spans="1:16">
      <c r="A15" s="389">
        <v>9</v>
      </c>
      <c r="B15" s="378" t="s">
        <v>913</v>
      </c>
      <c r="C15" s="695">
        <v>0</v>
      </c>
      <c r="D15" s="695">
        <v>0</v>
      </c>
      <c r="E15" s="695">
        <v>0</v>
      </c>
      <c r="F15" s="695">
        <v>0</v>
      </c>
      <c r="G15" s="695">
        <v>0</v>
      </c>
      <c r="H15" s="696">
        <f t="shared" si="0"/>
        <v>0</v>
      </c>
      <c r="J15" s="694"/>
      <c r="K15" s="694"/>
      <c r="L15" s="694"/>
      <c r="M15" s="694"/>
      <c r="N15" s="694"/>
      <c r="O15" s="694"/>
    </row>
    <row r="16" spans="1:16">
      <c r="A16" s="389">
        <v>10</v>
      </c>
      <c r="B16" s="382" t="s">
        <v>483</v>
      </c>
      <c r="C16" s="695">
        <v>69687043.675706849</v>
      </c>
      <c r="D16" s="695">
        <v>0</v>
      </c>
      <c r="E16" s="695">
        <v>17437625.320901684</v>
      </c>
      <c r="F16" s="695">
        <v>0</v>
      </c>
      <c r="G16" s="695">
        <v>0</v>
      </c>
      <c r="H16" s="696">
        <f t="shared" si="0"/>
        <v>52249418.354805164</v>
      </c>
      <c r="J16" s="694"/>
      <c r="K16" s="694"/>
      <c r="L16" s="694"/>
      <c r="M16" s="694"/>
      <c r="N16" s="694"/>
      <c r="O16" s="694"/>
    </row>
    <row r="17" spans="1:15">
      <c r="A17" s="389">
        <v>11</v>
      </c>
      <c r="B17" s="378" t="s">
        <v>68</v>
      </c>
      <c r="C17" s="695">
        <v>0</v>
      </c>
      <c r="D17" s="695">
        <v>0</v>
      </c>
      <c r="E17" s="695">
        <v>0</v>
      </c>
      <c r="F17" s="695">
        <v>0</v>
      </c>
      <c r="G17" s="695">
        <v>0</v>
      </c>
      <c r="H17" s="696">
        <f t="shared" si="0"/>
        <v>0</v>
      </c>
      <c r="J17" s="694"/>
      <c r="K17" s="694"/>
      <c r="L17" s="694"/>
      <c r="M17" s="694"/>
      <c r="N17" s="694"/>
      <c r="O17" s="694"/>
    </row>
    <row r="18" spans="1:15">
      <c r="A18" s="389">
        <v>12</v>
      </c>
      <c r="B18" s="378" t="s">
        <v>69</v>
      </c>
      <c r="C18" s="695">
        <v>0</v>
      </c>
      <c r="D18" s="695">
        <v>0</v>
      </c>
      <c r="E18" s="695">
        <v>0</v>
      </c>
      <c r="F18" s="695">
        <v>0</v>
      </c>
      <c r="G18" s="695">
        <v>0</v>
      </c>
      <c r="H18" s="696">
        <f t="shared" si="0"/>
        <v>0</v>
      </c>
      <c r="J18" s="694"/>
      <c r="K18" s="694"/>
      <c r="L18" s="694"/>
      <c r="M18" s="694"/>
      <c r="N18" s="694"/>
      <c r="O18" s="694"/>
    </row>
    <row r="19" spans="1:15">
      <c r="A19" s="390">
        <v>13</v>
      </c>
      <c r="B19" s="380" t="s">
        <v>70</v>
      </c>
      <c r="C19" s="695">
        <v>0</v>
      </c>
      <c r="D19" s="695">
        <v>0</v>
      </c>
      <c r="E19" s="695">
        <v>0</v>
      </c>
      <c r="F19" s="695">
        <v>0</v>
      </c>
      <c r="G19" s="695">
        <v>0</v>
      </c>
      <c r="H19" s="696">
        <f t="shared" si="0"/>
        <v>0</v>
      </c>
      <c r="J19" s="694"/>
      <c r="K19" s="694"/>
      <c r="L19" s="694"/>
      <c r="M19" s="694"/>
      <c r="N19" s="694"/>
      <c r="O19" s="694"/>
    </row>
    <row r="20" spans="1:15">
      <c r="A20" s="389">
        <v>14</v>
      </c>
      <c r="B20" s="378" t="s">
        <v>469</v>
      </c>
      <c r="C20" s="695">
        <v>2531103.5810628422</v>
      </c>
      <c r="D20" s="695">
        <v>192159734.82928547</v>
      </c>
      <c r="E20" s="695">
        <v>748867.11010819208</v>
      </c>
      <c r="F20" s="695">
        <v>0</v>
      </c>
      <c r="G20" s="695">
        <v>0</v>
      </c>
      <c r="H20" s="696">
        <f t="shared" si="0"/>
        <v>193941971.30024013</v>
      </c>
      <c r="J20" s="694"/>
      <c r="K20" s="694"/>
      <c r="L20" s="694"/>
      <c r="M20" s="694"/>
      <c r="N20" s="694"/>
      <c r="O20" s="694"/>
    </row>
    <row r="21" spans="1:15" s="303" customFormat="1">
      <c r="A21" s="388">
        <v>15</v>
      </c>
      <c r="B21" s="387" t="s">
        <v>66</v>
      </c>
      <c r="C21" s="697">
        <f t="shared" ref="C21:H21" si="1">SUM(C7:C15)+SUM(C17:C20)</f>
        <v>86558218.367474034</v>
      </c>
      <c r="D21" s="697">
        <f t="shared" si="1"/>
        <v>1883368690.7214968</v>
      </c>
      <c r="E21" s="697">
        <f t="shared" si="1"/>
        <v>35581590.581676513</v>
      </c>
      <c r="F21" s="697">
        <f t="shared" si="1"/>
        <v>0</v>
      </c>
      <c r="G21" s="697">
        <f t="shared" si="1"/>
        <v>0</v>
      </c>
      <c r="H21" s="696">
        <f t="shared" si="1"/>
        <v>1934345318.5072944</v>
      </c>
      <c r="J21" s="694"/>
      <c r="K21" s="694"/>
      <c r="L21" s="694"/>
      <c r="M21" s="694"/>
      <c r="N21" s="694"/>
      <c r="O21" s="694"/>
    </row>
    <row r="22" spans="1:15">
      <c r="A22" s="386">
        <v>16</v>
      </c>
      <c r="B22" s="385" t="s">
        <v>484</v>
      </c>
      <c r="C22" s="695">
        <v>86317926.617474169</v>
      </c>
      <c r="D22" s="695">
        <v>1087020050.0724046</v>
      </c>
      <c r="E22" s="695">
        <v>34532494.034186937</v>
      </c>
      <c r="F22" s="695">
        <v>0</v>
      </c>
      <c r="G22" s="695">
        <v>0</v>
      </c>
      <c r="H22" s="696">
        <f>C22+D22-E22-F22</f>
        <v>1138805482.6556919</v>
      </c>
      <c r="J22" s="694"/>
      <c r="K22" s="694"/>
      <c r="L22" s="694"/>
      <c r="M22" s="694"/>
      <c r="N22" s="694"/>
      <c r="O22" s="694"/>
    </row>
    <row r="23" spans="1:15">
      <c r="A23" s="386">
        <v>17</v>
      </c>
      <c r="B23" s="385" t="s">
        <v>485</v>
      </c>
      <c r="C23" s="695">
        <v>0</v>
      </c>
      <c r="D23" s="695">
        <v>76680918.230000004</v>
      </c>
      <c r="E23" s="695">
        <v>791488.52395602886</v>
      </c>
      <c r="F23" s="695">
        <v>0</v>
      </c>
      <c r="G23" s="695">
        <v>0</v>
      </c>
      <c r="H23" s="696">
        <f>C23+D23-E23-F23</f>
        <v>75889429.706043974</v>
      </c>
      <c r="J23" s="694"/>
      <c r="K23" s="694"/>
      <c r="L23" s="694"/>
      <c r="M23" s="694"/>
      <c r="N23" s="694"/>
      <c r="O23" s="694"/>
    </row>
    <row r="26" spans="1:15" ht="42.4" customHeight="1">
      <c r="B26" s="316"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O36"/>
  <sheetViews>
    <sheetView showGridLines="0" zoomScale="80" zoomScaleNormal="80" workbookViewId="0"/>
  </sheetViews>
  <sheetFormatPr defaultColWidth="9.28515625" defaultRowHeight="12.75"/>
  <cols>
    <col min="1" max="1" width="11" style="300" bestFit="1" customWidth="1"/>
    <col min="2" max="2" width="93.42578125" style="300" customWidth="1"/>
    <col min="3" max="4" width="35" style="300" customWidth="1"/>
    <col min="5" max="7" width="22" style="300" customWidth="1"/>
    <col min="8" max="8" width="42.28515625" style="300" bestFit="1" customWidth="1"/>
    <col min="9" max="9" width="9.28515625" style="300"/>
    <col min="10" max="10" width="15.28515625" style="300" bestFit="1" customWidth="1"/>
    <col min="11" max="11" width="17.7109375" style="300" bestFit="1" customWidth="1"/>
    <col min="12" max="12" width="15" style="300" bestFit="1" customWidth="1"/>
    <col min="13" max="14" width="9.42578125" style="300" bestFit="1" customWidth="1"/>
    <col min="15" max="15" width="17" style="300" bestFit="1" customWidth="1"/>
    <col min="16" max="16384" width="9.28515625" style="300"/>
  </cols>
  <sheetData>
    <row r="1" spans="1:15" ht="13.5">
      <c r="A1" s="299" t="s">
        <v>97</v>
      </c>
      <c r="B1" s="221" t="str">
        <f>Info!C2</f>
        <v>სს "ბანკი ქართუ"</v>
      </c>
      <c r="C1" s="394"/>
      <c r="D1" s="394"/>
      <c r="E1" s="394"/>
      <c r="F1" s="394"/>
      <c r="G1" s="394"/>
      <c r="H1" s="394"/>
    </row>
    <row r="2" spans="1:15">
      <c r="A2" s="299" t="s">
        <v>98</v>
      </c>
      <c r="B2" s="634">
        <f>'1. key ratios'!B2</f>
        <v>46112</v>
      </c>
      <c r="C2" s="394"/>
      <c r="D2" s="394"/>
      <c r="E2" s="394"/>
      <c r="F2" s="394"/>
      <c r="G2" s="394"/>
      <c r="H2" s="394"/>
    </row>
    <row r="3" spans="1:15">
      <c r="A3" s="301" t="s">
        <v>486</v>
      </c>
      <c r="B3" s="394"/>
      <c r="C3" s="394"/>
      <c r="D3" s="394"/>
      <c r="E3" s="394"/>
      <c r="F3" s="394"/>
      <c r="G3" s="394"/>
      <c r="H3" s="394"/>
    </row>
    <row r="4" spans="1:15">
      <c r="A4" s="394"/>
      <c r="B4" s="394"/>
      <c r="C4" s="393" t="s">
        <v>471</v>
      </c>
      <c r="D4" s="393" t="s">
        <v>472</v>
      </c>
      <c r="E4" s="393" t="s">
        <v>473</v>
      </c>
      <c r="F4" s="393" t="s">
        <v>474</v>
      </c>
      <c r="G4" s="393" t="s">
        <v>475</v>
      </c>
      <c r="H4" s="393" t="s">
        <v>476</v>
      </c>
    </row>
    <row r="5" spans="1:15" ht="41.65" customHeight="1">
      <c r="A5" s="789" t="s">
        <v>837</v>
      </c>
      <c r="B5" s="790"/>
      <c r="C5" s="804" t="s">
        <v>565</v>
      </c>
      <c r="D5" s="805"/>
      <c r="E5" s="801" t="s">
        <v>834</v>
      </c>
      <c r="F5" s="801" t="s">
        <v>833</v>
      </c>
      <c r="G5" s="801" t="s">
        <v>480</v>
      </c>
      <c r="H5" s="391" t="s">
        <v>832</v>
      </c>
    </row>
    <row r="6" spans="1:15" ht="25.5">
      <c r="A6" s="793"/>
      <c r="B6" s="794"/>
      <c r="C6" s="392" t="s">
        <v>481</v>
      </c>
      <c r="D6" s="392" t="s">
        <v>482</v>
      </c>
      <c r="E6" s="802"/>
      <c r="F6" s="802"/>
      <c r="G6" s="802"/>
      <c r="H6" s="391" t="s">
        <v>831</v>
      </c>
    </row>
    <row r="7" spans="1:15">
      <c r="A7" s="384">
        <v>1</v>
      </c>
      <c r="B7" s="397" t="s">
        <v>487</v>
      </c>
      <c r="C7" s="695">
        <v>464141.73072067485</v>
      </c>
      <c r="D7" s="695">
        <v>296406653.50539762</v>
      </c>
      <c r="E7" s="695">
        <v>295558.42398084328</v>
      </c>
      <c r="F7" s="695">
        <v>0</v>
      </c>
      <c r="G7" s="695">
        <v>0</v>
      </c>
      <c r="H7" s="696">
        <f t="shared" ref="H7:H34" si="0">C7+D7-E7-F7</f>
        <v>296575236.81213748</v>
      </c>
      <c r="J7" s="694"/>
      <c r="K7" s="694"/>
      <c r="L7" s="694"/>
      <c r="M7" s="694"/>
      <c r="N7" s="694"/>
      <c r="O7" s="694"/>
    </row>
    <row r="8" spans="1:15">
      <c r="A8" s="384">
        <v>2</v>
      </c>
      <c r="B8" s="397" t="s">
        <v>488</v>
      </c>
      <c r="C8" s="695">
        <v>157889.80726999999</v>
      </c>
      <c r="D8" s="695">
        <v>350139165.32619822</v>
      </c>
      <c r="E8" s="695">
        <v>377336.13622542517</v>
      </c>
      <c r="F8" s="695">
        <v>0</v>
      </c>
      <c r="G8" s="695">
        <v>0</v>
      </c>
      <c r="H8" s="696">
        <f t="shared" si="0"/>
        <v>349919718.99724281</v>
      </c>
      <c r="J8" s="694"/>
      <c r="K8" s="694"/>
      <c r="L8" s="694"/>
      <c r="M8" s="694"/>
      <c r="N8" s="694"/>
      <c r="O8" s="694"/>
    </row>
    <row r="9" spans="1:15">
      <c r="A9" s="384">
        <v>3</v>
      </c>
      <c r="B9" s="397" t="s">
        <v>836</v>
      </c>
      <c r="C9" s="695">
        <v>0</v>
      </c>
      <c r="D9" s="695">
        <v>0</v>
      </c>
      <c r="E9" s="695">
        <v>0</v>
      </c>
      <c r="F9" s="695">
        <v>0</v>
      </c>
      <c r="G9" s="695">
        <v>0</v>
      </c>
      <c r="H9" s="696">
        <f t="shared" si="0"/>
        <v>0</v>
      </c>
      <c r="J9" s="694"/>
      <c r="K9" s="694"/>
      <c r="L9" s="694"/>
      <c r="M9" s="694"/>
      <c r="N9" s="694"/>
      <c r="O9" s="694"/>
    </row>
    <row r="10" spans="1:15">
      <c r="A10" s="384">
        <v>4</v>
      </c>
      <c r="B10" s="397" t="s">
        <v>489</v>
      </c>
      <c r="C10" s="695">
        <v>14825638.048588419</v>
      </c>
      <c r="D10" s="695">
        <v>88841993.00744614</v>
      </c>
      <c r="E10" s="695">
        <v>709789.10827832785</v>
      </c>
      <c r="F10" s="695">
        <v>0</v>
      </c>
      <c r="G10" s="695">
        <v>0</v>
      </c>
      <c r="H10" s="696">
        <f t="shared" si="0"/>
        <v>102957841.94775623</v>
      </c>
      <c r="J10" s="694"/>
      <c r="K10" s="694"/>
      <c r="L10" s="694"/>
      <c r="M10" s="694"/>
      <c r="N10" s="694"/>
      <c r="O10" s="694"/>
    </row>
    <row r="11" spans="1:15">
      <c r="A11" s="384">
        <v>5</v>
      </c>
      <c r="B11" s="397" t="s">
        <v>490</v>
      </c>
      <c r="C11" s="695">
        <v>1110951.1184120001</v>
      </c>
      <c r="D11" s="695">
        <v>88913517.779347479</v>
      </c>
      <c r="E11" s="695">
        <v>1336868.1201085241</v>
      </c>
      <c r="F11" s="695">
        <v>0</v>
      </c>
      <c r="G11" s="695">
        <v>0</v>
      </c>
      <c r="H11" s="696">
        <f t="shared" si="0"/>
        <v>88687600.777650952</v>
      </c>
      <c r="J11" s="694"/>
      <c r="K11" s="694"/>
      <c r="L11" s="694"/>
      <c r="M11" s="694"/>
      <c r="N11" s="694"/>
      <c r="O11" s="694"/>
    </row>
    <row r="12" spans="1:15">
      <c r="A12" s="384">
        <v>6</v>
      </c>
      <c r="B12" s="397" t="s">
        <v>491</v>
      </c>
      <c r="C12" s="695">
        <v>7.88</v>
      </c>
      <c r="D12" s="695">
        <v>24119903.20297293</v>
      </c>
      <c r="E12" s="695">
        <v>100013.22841482006</v>
      </c>
      <c r="F12" s="695">
        <v>0</v>
      </c>
      <c r="G12" s="695">
        <v>0</v>
      </c>
      <c r="H12" s="696">
        <f t="shared" si="0"/>
        <v>24019897.85455811</v>
      </c>
      <c r="J12" s="694"/>
      <c r="K12" s="694"/>
      <c r="L12" s="694"/>
      <c r="M12" s="694"/>
      <c r="N12" s="694"/>
      <c r="O12" s="694"/>
    </row>
    <row r="13" spans="1:15">
      <c r="A13" s="384">
        <v>7</v>
      </c>
      <c r="B13" s="397" t="s">
        <v>492</v>
      </c>
      <c r="C13" s="695">
        <v>1860614.989109206</v>
      </c>
      <c r="D13" s="695">
        <v>14899002.112411587</v>
      </c>
      <c r="E13" s="695">
        <v>72047.309966618021</v>
      </c>
      <c r="F13" s="695">
        <v>0</v>
      </c>
      <c r="G13" s="695">
        <v>0</v>
      </c>
      <c r="H13" s="696">
        <f t="shared" si="0"/>
        <v>16687569.791554173</v>
      </c>
      <c r="J13" s="694"/>
      <c r="K13" s="694"/>
      <c r="L13" s="694"/>
      <c r="M13" s="694"/>
      <c r="N13" s="694"/>
      <c r="O13" s="694"/>
    </row>
    <row r="14" spans="1:15">
      <c r="A14" s="384">
        <v>8</v>
      </c>
      <c r="B14" s="397" t="s">
        <v>493</v>
      </c>
      <c r="C14" s="695">
        <v>296083.10533000005</v>
      </c>
      <c r="D14" s="695">
        <v>18086050.487485684</v>
      </c>
      <c r="E14" s="695">
        <v>370227.29117976077</v>
      </c>
      <c r="F14" s="695">
        <v>0</v>
      </c>
      <c r="G14" s="695">
        <v>0</v>
      </c>
      <c r="H14" s="696">
        <f t="shared" si="0"/>
        <v>18011906.301635925</v>
      </c>
      <c r="J14" s="694"/>
      <c r="K14" s="694"/>
      <c r="L14" s="694"/>
      <c r="M14" s="694"/>
      <c r="N14" s="694"/>
      <c r="O14" s="694"/>
    </row>
    <row r="15" spans="1:15">
      <c r="A15" s="384">
        <v>9</v>
      </c>
      <c r="B15" s="397" t="s">
        <v>494</v>
      </c>
      <c r="C15" s="695">
        <v>3069625.3152633957</v>
      </c>
      <c r="D15" s="695">
        <v>225254245.74140543</v>
      </c>
      <c r="E15" s="695">
        <v>2243400.4315505675</v>
      </c>
      <c r="F15" s="695">
        <v>0</v>
      </c>
      <c r="G15" s="695">
        <v>0</v>
      </c>
      <c r="H15" s="696">
        <f t="shared" si="0"/>
        <v>226080470.62511826</v>
      </c>
      <c r="J15" s="694"/>
      <c r="K15" s="694"/>
      <c r="L15" s="694"/>
      <c r="M15" s="694"/>
      <c r="N15" s="694"/>
      <c r="O15" s="694"/>
    </row>
    <row r="16" spans="1:15">
      <c r="A16" s="384">
        <v>10</v>
      </c>
      <c r="B16" s="397" t="s">
        <v>495</v>
      </c>
      <c r="C16" s="695">
        <v>0</v>
      </c>
      <c r="D16" s="695">
        <v>6060341.6547799166</v>
      </c>
      <c r="E16" s="695">
        <v>19947.299933803919</v>
      </c>
      <c r="F16" s="695">
        <v>0</v>
      </c>
      <c r="G16" s="695">
        <v>0</v>
      </c>
      <c r="H16" s="696">
        <f t="shared" si="0"/>
        <v>6040394.3548461124</v>
      </c>
      <c r="J16" s="694"/>
      <c r="K16" s="694"/>
      <c r="L16" s="694"/>
      <c r="M16" s="694"/>
      <c r="N16" s="694"/>
      <c r="O16" s="694"/>
    </row>
    <row r="17" spans="1:15">
      <c r="A17" s="384">
        <v>11</v>
      </c>
      <c r="B17" s="397" t="s">
        <v>496</v>
      </c>
      <c r="C17" s="695">
        <v>0</v>
      </c>
      <c r="D17" s="695">
        <v>542419.97</v>
      </c>
      <c r="E17" s="695">
        <v>66.274917900089008</v>
      </c>
      <c r="F17" s="695">
        <v>0</v>
      </c>
      <c r="G17" s="695">
        <v>0</v>
      </c>
      <c r="H17" s="696">
        <f t="shared" si="0"/>
        <v>542353.69508209988</v>
      </c>
      <c r="J17" s="694"/>
      <c r="K17" s="694"/>
      <c r="L17" s="694"/>
      <c r="M17" s="694"/>
      <c r="N17" s="694"/>
      <c r="O17" s="694"/>
    </row>
    <row r="18" spans="1:15">
      <c r="A18" s="384">
        <v>12</v>
      </c>
      <c r="B18" s="397" t="s">
        <v>497</v>
      </c>
      <c r="C18" s="695">
        <v>26375080.257742003</v>
      </c>
      <c r="D18" s="695">
        <v>32500134.294782482</v>
      </c>
      <c r="E18" s="695">
        <v>11630610.204530701</v>
      </c>
      <c r="F18" s="695">
        <v>0</v>
      </c>
      <c r="G18" s="695">
        <v>0</v>
      </c>
      <c r="H18" s="696">
        <f t="shared" si="0"/>
        <v>47244604.347993784</v>
      </c>
      <c r="J18" s="694"/>
      <c r="K18" s="694"/>
      <c r="L18" s="694"/>
      <c r="M18" s="694"/>
      <c r="N18" s="694"/>
      <c r="O18" s="694"/>
    </row>
    <row r="19" spans="1:15">
      <c r="A19" s="384">
        <v>13</v>
      </c>
      <c r="B19" s="397" t="s">
        <v>498</v>
      </c>
      <c r="C19" s="695">
        <v>3168122.2704747887</v>
      </c>
      <c r="D19" s="695">
        <v>14386354.412977595</v>
      </c>
      <c r="E19" s="695">
        <v>1780984.9619527718</v>
      </c>
      <c r="F19" s="695">
        <v>0</v>
      </c>
      <c r="G19" s="695">
        <v>0</v>
      </c>
      <c r="H19" s="696">
        <f t="shared" si="0"/>
        <v>15773491.721499611</v>
      </c>
      <c r="J19" s="694"/>
      <c r="K19" s="694"/>
      <c r="L19" s="694"/>
      <c r="M19" s="694"/>
      <c r="N19" s="694"/>
      <c r="O19" s="694"/>
    </row>
    <row r="20" spans="1:15">
      <c r="A20" s="384">
        <v>14</v>
      </c>
      <c r="B20" s="397" t="s">
        <v>499</v>
      </c>
      <c r="C20" s="695">
        <v>16420964.923669033</v>
      </c>
      <c r="D20" s="695">
        <v>32098018.399138615</v>
      </c>
      <c r="E20" s="695">
        <v>454496.04772870883</v>
      </c>
      <c r="F20" s="695">
        <v>0</v>
      </c>
      <c r="G20" s="695">
        <v>0</v>
      </c>
      <c r="H20" s="696">
        <f t="shared" si="0"/>
        <v>48064487.275078937</v>
      </c>
      <c r="J20" s="694"/>
      <c r="K20" s="694"/>
      <c r="L20" s="694"/>
      <c r="M20" s="694"/>
      <c r="N20" s="694"/>
      <c r="O20" s="694"/>
    </row>
    <row r="21" spans="1:15">
      <c r="A21" s="384">
        <v>15</v>
      </c>
      <c r="B21" s="397" t="s">
        <v>500</v>
      </c>
      <c r="C21" s="695">
        <v>436481.22599800001</v>
      </c>
      <c r="D21" s="695">
        <v>2266741.64</v>
      </c>
      <c r="E21" s="695">
        <v>81390.64988613344</v>
      </c>
      <c r="F21" s="695">
        <v>0</v>
      </c>
      <c r="G21" s="695">
        <v>0</v>
      </c>
      <c r="H21" s="696">
        <f t="shared" si="0"/>
        <v>2621832.2161118663</v>
      </c>
      <c r="J21" s="694"/>
      <c r="K21" s="694"/>
      <c r="L21" s="694"/>
      <c r="M21" s="694"/>
      <c r="N21" s="694"/>
      <c r="O21" s="694"/>
    </row>
    <row r="22" spans="1:15">
      <c r="A22" s="384">
        <v>16</v>
      </c>
      <c r="B22" s="397" t="s">
        <v>501</v>
      </c>
      <c r="C22" s="695">
        <v>0</v>
      </c>
      <c r="D22" s="695">
        <v>75800668.592316389</v>
      </c>
      <c r="E22" s="695">
        <v>7803128.1096099988</v>
      </c>
      <c r="F22" s="695">
        <v>0</v>
      </c>
      <c r="G22" s="695">
        <v>0</v>
      </c>
      <c r="H22" s="696">
        <f t="shared" si="0"/>
        <v>67997540.482706398</v>
      </c>
      <c r="J22" s="694"/>
      <c r="K22" s="694"/>
      <c r="L22" s="694"/>
      <c r="M22" s="694"/>
      <c r="N22" s="694"/>
      <c r="O22" s="694"/>
    </row>
    <row r="23" spans="1:15">
      <c r="A23" s="384">
        <v>17</v>
      </c>
      <c r="B23" s="397" t="s">
        <v>502</v>
      </c>
      <c r="C23" s="695">
        <v>0</v>
      </c>
      <c r="D23" s="695">
        <v>99901486.648403108</v>
      </c>
      <c r="E23" s="695">
        <v>563256.22914156585</v>
      </c>
      <c r="F23" s="695">
        <v>0</v>
      </c>
      <c r="G23" s="695">
        <v>0</v>
      </c>
      <c r="H23" s="696">
        <f t="shared" si="0"/>
        <v>99338230.419261545</v>
      </c>
      <c r="J23" s="694"/>
      <c r="K23" s="694"/>
      <c r="L23" s="694"/>
      <c r="M23" s="694"/>
      <c r="N23" s="694"/>
      <c r="O23" s="694"/>
    </row>
    <row r="24" spans="1:15">
      <c r="A24" s="384">
        <v>18</v>
      </c>
      <c r="B24" s="397" t="s">
        <v>503</v>
      </c>
      <c r="C24" s="695">
        <v>0</v>
      </c>
      <c r="D24" s="695">
        <v>20247039.848008621</v>
      </c>
      <c r="E24" s="695">
        <v>465831.04986638273</v>
      </c>
      <c r="F24" s="695">
        <v>0</v>
      </c>
      <c r="G24" s="695">
        <v>0</v>
      </c>
      <c r="H24" s="696">
        <f t="shared" si="0"/>
        <v>19781208.798142239</v>
      </c>
      <c r="J24" s="694"/>
      <c r="K24" s="694"/>
      <c r="L24" s="694"/>
      <c r="M24" s="694"/>
      <c r="N24" s="694"/>
      <c r="O24" s="694"/>
    </row>
    <row r="25" spans="1:15">
      <c r="A25" s="384">
        <v>19</v>
      </c>
      <c r="B25" s="397" t="s">
        <v>504</v>
      </c>
      <c r="C25" s="695">
        <v>0</v>
      </c>
      <c r="D25" s="695">
        <v>11984654.734898001</v>
      </c>
      <c r="E25" s="695">
        <v>92097.68550183055</v>
      </c>
      <c r="F25" s="695">
        <v>0</v>
      </c>
      <c r="G25" s="695">
        <v>0</v>
      </c>
      <c r="H25" s="696">
        <f t="shared" si="0"/>
        <v>11892557.04939617</v>
      </c>
      <c r="J25" s="694"/>
      <c r="K25" s="694"/>
      <c r="L25" s="694"/>
      <c r="M25" s="694"/>
      <c r="N25" s="694"/>
      <c r="O25" s="694"/>
    </row>
    <row r="26" spans="1:15">
      <c r="A26" s="384">
        <v>20</v>
      </c>
      <c r="B26" s="397" t="s">
        <v>505</v>
      </c>
      <c r="C26" s="695">
        <v>0</v>
      </c>
      <c r="D26" s="695">
        <v>63017798.685850561</v>
      </c>
      <c r="E26" s="695">
        <v>2241647.2605006821</v>
      </c>
      <c r="F26" s="695">
        <v>0</v>
      </c>
      <c r="G26" s="695">
        <v>0</v>
      </c>
      <c r="H26" s="696">
        <f t="shared" si="0"/>
        <v>60776151.425349876</v>
      </c>
      <c r="J26" s="694"/>
      <c r="K26" s="694"/>
      <c r="L26" s="694"/>
      <c r="M26" s="694"/>
      <c r="N26" s="694"/>
      <c r="O26" s="694"/>
    </row>
    <row r="27" spans="1:15">
      <c r="A27" s="384">
        <v>21</v>
      </c>
      <c r="B27" s="397" t="s">
        <v>506</v>
      </c>
      <c r="C27" s="695">
        <v>0</v>
      </c>
      <c r="D27" s="695">
        <v>7623602.0482131224</v>
      </c>
      <c r="E27" s="695">
        <v>15865.22038180755</v>
      </c>
      <c r="F27" s="695">
        <v>0</v>
      </c>
      <c r="G27" s="695">
        <v>0</v>
      </c>
      <c r="H27" s="696">
        <f t="shared" si="0"/>
        <v>7607736.8278313149</v>
      </c>
      <c r="J27" s="694"/>
      <c r="K27" s="694"/>
      <c r="L27" s="694"/>
      <c r="M27" s="694"/>
      <c r="N27" s="694"/>
      <c r="O27" s="694"/>
    </row>
    <row r="28" spans="1:15">
      <c r="A28" s="384">
        <v>22</v>
      </c>
      <c r="B28" s="397" t="s">
        <v>507</v>
      </c>
      <c r="C28" s="695">
        <v>2741109.7514633513</v>
      </c>
      <c r="D28" s="695">
        <v>40837194.039924055</v>
      </c>
      <c r="E28" s="695">
        <v>379531.32792713773</v>
      </c>
      <c r="F28" s="695">
        <v>0</v>
      </c>
      <c r="G28" s="695">
        <v>0</v>
      </c>
      <c r="H28" s="696">
        <f t="shared" si="0"/>
        <v>43198772.463460274</v>
      </c>
      <c r="J28" s="694"/>
      <c r="K28" s="694"/>
      <c r="L28" s="694"/>
      <c r="M28" s="694"/>
      <c r="N28" s="694"/>
      <c r="O28" s="694"/>
    </row>
    <row r="29" spans="1:15">
      <c r="A29" s="384">
        <v>23</v>
      </c>
      <c r="B29" s="397" t="s">
        <v>508</v>
      </c>
      <c r="C29" s="695">
        <v>3309514.7994416226</v>
      </c>
      <c r="D29" s="695">
        <v>77595088.507930905</v>
      </c>
      <c r="E29" s="695">
        <v>404142.78407342132</v>
      </c>
      <c r="F29" s="695">
        <v>0</v>
      </c>
      <c r="G29" s="695">
        <v>0</v>
      </c>
      <c r="H29" s="696">
        <f t="shared" si="0"/>
        <v>80500460.523299098</v>
      </c>
      <c r="J29" s="694"/>
      <c r="K29" s="694"/>
      <c r="L29" s="694"/>
      <c r="M29" s="694"/>
      <c r="N29" s="694"/>
      <c r="O29" s="694"/>
    </row>
    <row r="30" spans="1:15">
      <c r="A30" s="384">
        <v>24</v>
      </c>
      <c r="B30" s="397" t="s">
        <v>509</v>
      </c>
      <c r="C30" s="695">
        <v>5068495.1466555996</v>
      </c>
      <c r="D30" s="695">
        <v>35671137.577322222</v>
      </c>
      <c r="E30" s="695">
        <v>992717.06769990816</v>
      </c>
      <c r="F30" s="695">
        <v>0</v>
      </c>
      <c r="G30" s="695">
        <v>0</v>
      </c>
      <c r="H30" s="696">
        <f t="shared" si="0"/>
        <v>39746915.65627791</v>
      </c>
      <c r="J30" s="694"/>
      <c r="K30" s="694"/>
      <c r="L30" s="694"/>
      <c r="M30" s="694"/>
      <c r="N30" s="694"/>
      <c r="O30" s="694"/>
    </row>
    <row r="31" spans="1:15">
      <c r="A31" s="384">
        <v>25</v>
      </c>
      <c r="B31" s="397" t="s">
        <v>510</v>
      </c>
      <c r="C31" s="695">
        <v>6859732.8984360043</v>
      </c>
      <c r="D31" s="695">
        <v>110633138.8550868</v>
      </c>
      <c r="E31" s="695">
        <v>2837918.9538352224</v>
      </c>
      <c r="F31" s="695">
        <v>0</v>
      </c>
      <c r="G31" s="695">
        <v>0</v>
      </c>
      <c r="H31" s="696">
        <f t="shared" si="0"/>
        <v>114654952.79968759</v>
      </c>
      <c r="J31" s="694"/>
      <c r="K31" s="694"/>
      <c r="L31" s="694"/>
      <c r="M31" s="694"/>
      <c r="N31" s="694"/>
      <c r="O31" s="694"/>
    </row>
    <row r="32" spans="1:15">
      <c r="A32" s="384">
        <v>26</v>
      </c>
      <c r="B32" s="397" t="s">
        <v>511</v>
      </c>
      <c r="C32" s="695">
        <v>153473.34890000022</v>
      </c>
      <c r="D32" s="695">
        <v>127350.38976200001</v>
      </c>
      <c r="E32" s="695">
        <v>156020.35669524019</v>
      </c>
      <c r="F32" s="695">
        <v>0</v>
      </c>
      <c r="G32" s="695">
        <v>0</v>
      </c>
      <c r="H32" s="696">
        <f t="shared" si="0"/>
        <v>124803.38196676003</v>
      </c>
      <c r="J32" s="694"/>
      <c r="K32" s="694"/>
      <c r="L32" s="694"/>
      <c r="M32" s="694"/>
      <c r="N32" s="694"/>
      <c r="O32" s="694"/>
    </row>
    <row r="33" spans="1:15">
      <c r="A33" s="384">
        <v>27</v>
      </c>
      <c r="B33" s="384" t="s">
        <v>88</v>
      </c>
      <c r="C33" s="695">
        <v>240291.75</v>
      </c>
      <c r="D33" s="695">
        <v>145414989.25943807</v>
      </c>
      <c r="E33" s="695">
        <v>156699.04778845172</v>
      </c>
      <c r="F33" s="695">
        <v>0</v>
      </c>
      <c r="G33" s="695">
        <v>0</v>
      </c>
      <c r="H33" s="696">
        <f t="shared" si="0"/>
        <v>145498581.96164963</v>
      </c>
      <c r="J33" s="694"/>
      <c r="K33" s="694"/>
      <c r="L33" s="694"/>
      <c r="M33" s="694"/>
      <c r="N33" s="694"/>
      <c r="O33" s="694"/>
    </row>
    <row r="34" spans="1:15">
      <c r="A34" s="384">
        <v>28</v>
      </c>
      <c r="B34" s="387" t="s">
        <v>66</v>
      </c>
      <c r="C34" s="697">
        <f>SUM(C7:C33)</f>
        <v>86558218.367474109</v>
      </c>
      <c r="D34" s="697">
        <f>SUM(D7:D33)</f>
        <v>1883368690.721498</v>
      </c>
      <c r="E34" s="697">
        <f>SUM(E7:E33)</f>
        <v>35581590.58167655</v>
      </c>
      <c r="F34" s="697">
        <f>SUM(F7:F33)</f>
        <v>0</v>
      </c>
      <c r="G34" s="697">
        <f>SUM(G7:G33)</f>
        <v>0</v>
      </c>
      <c r="H34" s="696">
        <f t="shared" si="0"/>
        <v>1934345318.5072956</v>
      </c>
      <c r="J34" s="694"/>
      <c r="K34" s="694"/>
      <c r="L34" s="694"/>
      <c r="M34" s="694"/>
      <c r="N34" s="694"/>
      <c r="O34" s="694"/>
    </row>
    <row r="36" spans="1:15">
      <c r="B36" s="304"/>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G15"/>
  <sheetViews>
    <sheetView showGridLines="0" zoomScale="80" zoomScaleNormal="80" workbookViewId="0"/>
  </sheetViews>
  <sheetFormatPr defaultColWidth="9.28515625" defaultRowHeight="12.75"/>
  <cols>
    <col min="1" max="1" width="11.7109375" style="300" bestFit="1" customWidth="1"/>
    <col min="2" max="2" width="108" style="300" bestFit="1" customWidth="1"/>
    <col min="3" max="3" width="35.5703125" style="300" customWidth="1"/>
    <col min="4" max="4" width="38.42578125" style="300" customWidth="1"/>
    <col min="5" max="5" width="9.28515625" style="300"/>
    <col min="6" max="6" width="15.28515625" style="300" bestFit="1" customWidth="1"/>
    <col min="7" max="7" width="12.42578125" style="300" bestFit="1" customWidth="1"/>
    <col min="8" max="16384" width="9.28515625" style="300"/>
  </cols>
  <sheetData>
    <row r="1" spans="1:7" ht="13.5">
      <c r="A1" s="299" t="s">
        <v>97</v>
      </c>
      <c r="B1" s="221" t="str">
        <f>Info!C2</f>
        <v>სს "ბანკი ქართუ"</v>
      </c>
    </row>
    <row r="2" spans="1:7">
      <c r="A2" s="299" t="s">
        <v>98</v>
      </c>
      <c r="B2" s="634">
        <f>'1. key ratios'!B2</f>
        <v>46112</v>
      </c>
    </row>
    <row r="3" spans="1:7">
      <c r="A3" s="301" t="s">
        <v>512</v>
      </c>
    </row>
    <row r="5" spans="1:7">
      <c r="A5" s="806" t="s">
        <v>848</v>
      </c>
      <c r="B5" s="806"/>
      <c r="C5" s="405" t="s">
        <v>531</v>
      </c>
      <c r="D5" s="405" t="s">
        <v>847</v>
      </c>
    </row>
    <row r="6" spans="1:7">
      <c r="A6" s="404">
        <v>1</v>
      </c>
      <c r="B6" s="398" t="s">
        <v>846</v>
      </c>
      <c r="C6" s="698">
        <v>31420295.216276675</v>
      </c>
      <c r="D6" s="698">
        <v>675374.02362230979</v>
      </c>
      <c r="F6" s="694"/>
      <c r="G6" s="694"/>
    </row>
    <row r="7" spans="1:7">
      <c r="A7" s="401">
        <v>2</v>
      </c>
      <c r="B7" s="398" t="s">
        <v>845</v>
      </c>
      <c r="C7" s="698">
        <f>SUM(C8:C9)</f>
        <v>4080484.9335386227</v>
      </c>
      <c r="D7" s="698">
        <f>SUM(D8:D9)</f>
        <v>121847.61719793174</v>
      </c>
      <c r="F7" s="694"/>
      <c r="G7" s="694"/>
    </row>
    <row r="8" spans="1:7">
      <c r="A8" s="403">
        <v>2.1</v>
      </c>
      <c r="B8" s="402" t="s">
        <v>844</v>
      </c>
      <c r="C8" s="698">
        <v>895160.07765872357</v>
      </c>
      <c r="D8" s="698">
        <v>121847.61719793174</v>
      </c>
      <c r="F8" s="694"/>
      <c r="G8" s="694"/>
    </row>
    <row r="9" spans="1:7">
      <c r="A9" s="403">
        <v>2.2000000000000002</v>
      </c>
      <c r="B9" s="402" t="s">
        <v>843</v>
      </c>
      <c r="C9" s="698">
        <v>3185324.8558798991</v>
      </c>
      <c r="D9" s="698">
        <v>0</v>
      </c>
      <c r="F9" s="694"/>
      <c r="G9" s="694"/>
    </row>
    <row r="10" spans="1:7">
      <c r="A10" s="404">
        <v>3</v>
      </c>
      <c r="B10" s="398" t="s">
        <v>842</v>
      </c>
      <c r="C10" s="698">
        <f>SUM(C11:C13)</f>
        <v>992417.52535573335</v>
      </c>
      <c r="D10" s="698">
        <f>SUM(D11:D13)</f>
        <v>57144.303714439477</v>
      </c>
      <c r="F10" s="694"/>
      <c r="G10" s="694"/>
    </row>
    <row r="11" spans="1:7">
      <c r="A11" s="403">
        <v>3.1</v>
      </c>
      <c r="B11" s="402" t="s">
        <v>513</v>
      </c>
      <c r="C11" s="698">
        <v>0</v>
      </c>
      <c r="D11" s="698">
        <v>0</v>
      </c>
      <c r="F11" s="694"/>
      <c r="G11" s="694"/>
    </row>
    <row r="12" spans="1:7">
      <c r="A12" s="403">
        <v>3.2</v>
      </c>
      <c r="B12" s="402" t="s">
        <v>841</v>
      </c>
      <c r="C12" s="698">
        <v>364309.44241583103</v>
      </c>
      <c r="D12" s="698">
        <v>32897.727310612674</v>
      </c>
      <c r="F12" s="694"/>
      <c r="G12" s="694"/>
    </row>
    <row r="13" spans="1:7">
      <c r="A13" s="403">
        <v>3.3</v>
      </c>
      <c r="B13" s="402" t="s">
        <v>840</v>
      </c>
      <c r="C13" s="698">
        <v>628108.08293990232</v>
      </c>
      <c r="D13" s="698">
        <v>24246.576403826806</v>
      </c>
      <c r="F13" s="694"/>
      <c r="G13" s="694"/>
    </row>
    <row r="14" spans="1:7">
      <c r="A14" s="401">
        <v>4</v>
      </c>
      <c r="B14" s="400" t="s">
        <v>839</v>
      </c>
      <c r="C14" s="698">
        <v>24131.409727285682</v>
      </c>
      <c r="D14" s="698">
        <v>1.4836132322670892E-11</v>
      </c>
      <c r="F14" s="694"/>
      <c r="G14" s="694"/>
    </row>
    <row r="15" spans="1:7">
      <c r="A15" s="399">
        <v>5</v>
      </c>
      <c r="B15" s="398" t="s">
        <v>838</v>
      </c>
      <c r="C15" s="699">
        <f>C6+C7-C10+C14</f>
        <v>34532494.034186848</v>
      </c>
      <c r="D15" s="699">
        <f>D6+D7-D10+D14</f>
        <v>740077.33710580203</v>
      </c>
      <c r="F15" s="694"/>
      <c r="G15" s="694"/>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G23"/>
  <sheetViews>
    <sheetView showGridLines="0" zoomScale="80" zoomScaleNormal="80" workbookViewId="0"/>
  </sheetViews>
  <sheetFormatPr defaultColWidth="9.28515625" defaultRowHeight="12.75"/>
  <cols>
    <col min="1" max="1" width="11.7109375" style="394" bestFit="1" customWidth="1"/>
    <col min="2" max="2" width="128.85546875" style="394" bestFit="1" customWidth="1"/>
    <col min="3" max="3" width="37" style="394" customWidth="1"/>
    <col min="4" max="4" width="50.5703125" style="394" customWidth="1"/>
    <col min="5" max="5" width="9.28515625" style="394"/>
    <col min="6" max="6" width="15" style="394" bestFit="1" customWidth="1"/>
    <col min="7" max="7" width="14.28515625" style="394" bestFit="1" customWidth="1"/>
    <col min="8" max="16384" width="9.28515625" style="394"/>
  </cols>
  <sheetData>
    <row r="1" spans="1:7" ht="13.5">
      <c r="A1" s="299" t="s">
        <v>97</v>
      </c>
      <c r="B1" s="221" t="str">
        <f>Info!C2</f>
        <v>სს "ბანკი ქართუ"</v>
      </c>
    </row>
    <row r="2" spans="1:7">
      <c r="A2" s="299" t="s">
        <v>98</v>
      </c>
      <c r="B2" s="634">
        <f>'1. key ratios'!B2</f>
        <v>46112</v>
      </c>
    </row>
    <row r="3" spans="1:7">
      <c r="A3" s="301" t="s">
        <v>514</v>
      </c>
    </row>
    <row r="4" spans="1:7">
      <c r="A4" s="301"/>
    </row>
    <row r="5" spans="1:7" ht="15" customHeight="1">
      <c r="A5" s="807" t="s">
        <v>515</v>
      </c>
      <c r="B5" s="808"/>
      <c r="C5" s="811" t="s">
        <v>516</v>
      </c>
      <c r="D5" s="811" t="s">
        <v>517</v>
      </c>
    </row>
    <row r="6" spans="1:7">
      <c r="A6" s="809"/>
      <c r="B6" s="810"/>
      <c r="C6" s="811"/>
      <c r="D6" s="811"/>
    </row>
    <row r="7" spans="1:7">
      <c r="A7" s="387">
        <v>1</v>
      </c>
      <c r="B7" s="387" t="s">
        <v>518</v>
      </c>
      <c r="C7" s="695">
        <v>86190405.411226794</v>
      </c>
      <c r="D7" s="701"/>
      <c r="F7" s="700"/>
      <c r="G7" s="700"/>
    </row>
    <row r="8" spans="1:7">
      <c r="A8" s="384">
        <v>2</v>
      </c>
      <c r="B8" s="384" t="s">
        <v>519</v>
      </c>
      <c r="C8" s="695">
        <v>5435358.9229099844</v>
      </c>
      <c r="D8" s="701"/>
      <c r="F8" s="700"/>
      <c r="G8" s="700"/>
    </row>
    <row r="9" spans="1:7">
      <c r="A9" s="384">
        <v>3</v>
      </c>
      <c r="B9" s="408" t="s">
        <v>520</v>
      </c>
      <c r="C9" s="695">
        <v>117593.17484536649</v>
      </c>
      <c r="D9" s="701"/>
      <c r="F9" s="700"/>
      <c r="G9" s="700"/>
    </row>
    <row r="10" spans="1:7">
      <c r="A10" s="384">
        <v>4</v>
      </c>
      <c r="B10" s="384" t="s">
        <v>521</v>
      </c>
      <c r="C10" s="695">
        <f>SUM(C11:C17)</f>
        <v>5425430.8915079944</v>
      </c>
      <c r="D10" s="701"/>
      <c r="F10" s="700"/>
      <c r="G10" s="700"/>
    </row>
    <row r="11" spans="1:7">
      <c r="A11" s="384">
        <v>5</v>
      </c>
      <c r="B11" s="407" t="s">
        <v>849</v>
      </c>
      <c r="C11" s="695">
        <v>0</v>
      </c>
      <c r="D11" s="701"/>
      <c r="F11" s="700"/>
      <c r="G11" s="700"/>
    </row>
    <row r="12" spans="1:7">
      <c r="A12" s="384">
        <v>6</v>
      </c>
      <c r="B12" s="407" t="s">
        <v>522</v>
      </c>
      <c r="C12" s="695">
        <v>2010499.3333731522</v>
      </c>
      <c r="D12" s="701"/>
      <c r="F12" s="700"/>
      <c r="G12" s="700"/>
    </row>
    <row r="13" spans="1:7">
      <c r="A13" s="384">
        <v>7</v>
      </c>
      <c r="B13" s="407" t="s">
        <v>525</v>
      </c>
      <c r="C13" s="695">
        <v>0</v>
      </c>
      <c r="D13" s="701"/>
      <c r="F13" s="700"/>
      <c r="G13" s="700"/>
    </row>
    <row r="14" spans="1:7">
      <c r="A14" s="384">
        <v>8</v>
      </c>
      <c r="B14" s="407" t="s">
        <v>523</v>
      </c>
      <c r="C14" s="695">
        <v>3414868.4</v>
      </c>
      <c r="D14" s="695">
        <v>3585220.33</v>
      </c>
      <c r="F14" s="700"/>
      <c r="G14" s="700"/>
    </row>
    <row r="15" spans="1:7">
      <c r="A15" s="384">
        <v>9</v>
      </c>
      <c r="B15" s="407" t="s">
        <v>524</v>
      </c>
      <c r="C15" s="695">
        <v>0</v>
      </c>
      <c r="D15" s="695">
        <v>0</v>
      </c>
      <c r="F15" s="700"/>
      <c r="G15" s="700"/>
    </row>
    <row r="16" spans="1:7">
      <c r="A16" s="384">
        <v>10</v>
      </c>
      <c r="B16" s="407" t="s">
        <v>526</v>
      </c>
      <c r="C16" s="695">
        <v>0</v>
      </c>
      <c r="D16" s="695">
        <v>0</v>
      </c>
      <c r="F16" s="700"/>
      <c r="G16" s="700"/>
    </row>
    <row r="17" spans="1:7" ht="25.5">
      <c r="A17" s="384">
        <v>11</v>
      </c>
      <c r="B17" s="407" t="s">
        <v>527</v>
      </c>
      <c r="C17" s="695">
        <v>63.15813484261276</v>
      </c>
      <c r="D17" s="701"/>
      <c r="F17" s="700"/>
      <c r="G17" s="700"/>
    </row>
    <row r="18" spans="1:7">
      <c r="A18" s="387">
        <v>12</v>
      </c>
      <c r="B18" s="406" t="s">
        <v>528</v>
      </c>
      <c r="C18" s="697">
        <f>C7+C8+C9-C10</f>
        <v>86317926.617474154</v>
      </c>
      <c r="D18" s="701"/>
      <c r="F18" s="700"/>
      <c r="G18" s="700"/>
    </row>
    <row r="21" spans="1:7">
      <c r="B21" s="299"/>
    </row>
    <row r="22" spans="1:7">
      <c r="B22" s="299"/>
    </row>
    <row r="23" spans="1:7">
      <c r="B23" s="30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55"/>
  <sheetViews>
    <sheetView showGridLines="0" zoomScale="80" zoomScaleNormal="80" workbookViewId="0"/>
  </sheetViews>
  <sheetFormatPr defaultColWidth="9.28515625" defaultRowHeight="12.75"/>
  <cols>
    <col min="1" max="1" width="11.7109375" style="394" bestFit="1" customWidth="1"/>
    <col min="2" max="2" width="63.85546875" style="394" customWidth="1"/>
    <col min="3" max="3" width="17.140625" style="394" bestFit="1" customWidth="1"/>
    <col min="4" max="18" width="22.28515625" style="394" customWidth="1"/>
    <col min="19" max="19" width="23.28515625" style="394" bestFit="1" customWidth="1"/>
    <col min="20" max="26" width="22.28515625" style="394" customWidth="1"/>
    <col min="27" max="27" width="23.28515625" style="394" bestFit="1" customWidth="1"/>
    <col min="28" max="28" width="20" style="394" customWidth="1"/>
    <col min="29" max="16384" width="9.28515625" style="394"/>
  </cols>
  <sheetData>
    <row r="1" spans="1:28" ht="13.5">
      <c r="A1" s="299" t="s">
        <v>97</v>
      </c>
      <c r="B1" s="221" t="str">
        <f>Info!C2</f>
        <v>სს "ბანკი ქართუ"</v>
      </c>
    </row>
    <row r="2" spans="1:28">
      <c r="A2" s="299" t="s">
        <v>98</v>
      </c>
      <c r="B2" s="634">
        <f>'1. key ratios'!B2</f>
        <v>46112</v>
      </c>
      <c r="C2" s="395"/>
    </row>
    <row r="3" spans="1:28">
      <c r="A3" s="301" t="s">
        <v>529</v>
      </c>
    </row>
    <row r="5" spans="1:28" ht="15" customHeight="1">
      <c r="A5" s="812" t="s">
        <v>862</v>
      </c>
      <c r="B5" s="813"/>
      <c r="C5" s="804" t="s">
        <v>861</v>
      </c>
      <c r="D5" s="818"/>
      <c r="E5" s="818"/>
      <c r="F5" s="818"/>
      <c r="G5" s="818"/>
      <c r="H5" s="818"/>
      <c r="I5" s="818"/>
      <c r="J5" s="818"/>
      <c r="K5" s="818"/>
      <c r="L5" s="818"/>
      <c r="M5" s="818"/>
      <c r="N5" s="818"/>
      <c r="O5" s="818"/>
      <c r="P5" s="818"/>
      <c r="Q5" s="818"/>
      <c r="R5" s="818"/>
      <c r="S5" s="818"/>
      <c r="T5" s="418"/>
      <c r="U5" s="418"/>
      <c r="V5" s="418"/>
      <c r="W5" s="418"/>
      <c r="X5" s="418"/>
      <c r="Y5" s="418"/>
      <c r="Z5" s="418"/>
      <c r="AA5" s="417"/>
      <c r="AB5" s="410"/>
    </row>
    <row r="6" spans="1:28">
      <c r="A6" s="814"/>
      <c r="B6" s="815"/>
      <c r="C6" s="819" t="s">
        <v>66</v>
      </c>
      <c r="D6" s="821" t="s">
        <v>860</v>
      </c>
      <c r="E6" s="821"/>
      <c r="F6" s="821"/>
      <c r="G6" s="821"/>
      <c r="H6" s="822" t="s">
        <v>859</v>
      </c>
      <c r="I6" s="823"/>
      <c r="J6" s="823"/>
      <c r="K6" s="824"/>
      <c r="L6" s="415"/>
      <c r="M6" s="825" t="s">
        <v>858</v>
      </c>
      <c r="N6" s="825"/>
      <c r="O6" s="825"/>
      <c r="P6" s="825"/>
      <c r="Q6" s="825"/>
      <c r="R6" s="825"/>
      <c r="S6" s="802"/>
      <c r="T6" s="416"/>
      <c r="U6" s="805" t="s">
        <v>857</v>
      </c>
      <c r="V6" s="805"/>
      <c r="W6" s="805"/>
      <c r="X6" s="805"/>
      <c r="Y6" s="805"/>
      <c r="Z6" s="805"/>
      <c r="AA6" s="803"/>
      <c r="AB6" s="415"/>
    </row>
    <row r="7" spans="1:28" ht="25.5">
      <c r="A7" s="816"/>
      <c r="B7" s="817"/>
      <c r="C7" s="820"/>
      <c r="D7" s="414"/>
      <c r="E7" s="391" t="s">
        <v>530</v>
      </c>
      <c r="F7" s="391" t="s">
        <v>855</v>
      </c>
      <c r="G7" s="391" t="s">
        <v>856</v>
      </c>
      <c r="H7" s="413"/>
      <c r="I7" s="391" t="s">
        <v>530</v>
      </c>
      <c r="J7" s="391" t="s">
        <v>855</v>
      </c>
      <c r="K7" s="391" t="s">
        <v>856</v>
      </c>
      <c r="L7" s="412"/>
      <c r="M7" s="391" t="s">
        <v>530</v>
      </c>
      <c r="N7" s="391" t="s">
        <v>855</v>
      </c>
      <c r="O7" s="391" t="s">
        <v>854</v>
      </c>
      <c r="P7" s="391" t="s">
        <v>853</v>
      </c>
      <c r="Q7" s="391" t="s">
        <v>852</v>
      </c>
      <c r="R7" s="391" t="s">
        <v>851</v>
      </c>
      <c r="S7" s="391" t="s">
        <v>850</v>
      </c>
      <c r="T7" s="411"/>
      <c r="U7" s="391" t="s">
        <v>530</v>
      </c>
      <c r="V7" s="391" t="s">
        <v>855</v>
      </c>
      <c r="W7" s="391" t="s">
        <v>854</v>
      </c>
      <c r="X7" s="391" t="s">
        <v>853</v>
      </c>
      <c r="Y7" s="391" t="s">
        <v>852</v>
      </c>
      <c r="Z7" s="391" t="s">
        <v>851</v>
      </c>
      <c r="AA7" s="391" t="s">
        <v>850</v>
      </c>
      <c r="AB7" s="410"/>
    </row>
    <row r="8" spans="1:28">
      <c r="A8" s="409">
        <v>1</v>
      </c>
      <c r="B8" s="387" t="s">
        <v>531</v>
      </c>
      <c r="C8" s="697">
        <v>1173337976.6898794</v>
      </c>
      <c r="D8" s="695">
        <v>972003934.9015646</v>
      </c>
      <c r="E8" s="695">
        <v>22873384.366733789</v>
      </c>
      <c r="F8" s="695">
        <v>0</v>
      </c>
      <c r="G8" s="695">
        <v>0</v>
      </c>
      <c r="H8" s="695">
        <v>115016115.17084023</v>
      </c>
      <c r="I8" s="695">
        <v>8280783.9242218928</v>
      </c>
      <c r="J8" s="695">
        <v>7573854.0375147639</v>
      </c>
      <c r="K8" s="695">
        <v>0</v>
      </c>
      <c r="L8" s="695">
        <v>85340543.000688076</v>
      </c>
      <c r="M8" s="695">
        <v>2552222.3078780002</v>
      </c>
      <c r="N8" s="695">
        <v>862433.92762799992</v>
      </c>
      <c r="O8" s="695">
        <v>6969067.7265751641</v>
      </c>
      <c r="P8" s="695">
        <v>13306719.941737864</v>
      </c>
      <c r="Q8" s="695">
        <v>1975664.269755166</v>
      </c>
      <c r="R8" s="695">
        <v>34822788.986622661</v>
      </c>
      <c r="S8" s="695">
        <v>11274203.072673999</v>
      </c>
      <c r="T8" s="695">
        <v>977383.61678599997</v>
      </c>
      <c r="U8" s="695">
        <v>0</v>
      </c>
      <c r="V8" s="695">
        <v>0</v>
      </c>
      <c r="W8" s="695">
        <v>0</v>
      </c>
      <c r="X8" s="695">
        <v>465439.145876</v>
      </c>
      <c r="Y8" s="695">
        <v>0</v>
      </c>
      <c r="Z8" s="695">
        <v>0</v>
      </c>
      <c r="AA8" s="695">
        <v>0</v>
      </c>
    </row>
    <row r="9" spans="1:28">
      <c r="A9" s="384">
        <v>1.1000000000000001</v>
      </c>
      <c r="B9" s="401" t="s">
        <v>532</v>
      </c>
      <c r="C9" s="702">
        <v>0</v>
      </c>
      <c r="D9" s="695">
        <v>0</v>
      </c>
      <c r="E9" s="695">
        <v>0</v>
      </c>
      <c r="F9" s="695">
        <v>0</v>
      </c>
      <c r="G9" s="695">
        <v>0</v>
      </c>
      <c r="H9" s="695">
        <v>0</v>
      </c>
      <c r="I9" s="695">
        <v>0</v>
      </c>
      <c r="J9" s="695">
        <v>0</v>
      </c>
      <c r="K9" s="695">
        <v>0</v>
      </c>
      <c r="L9" s="695">
        <v>0</v>
      </c>
      <c r="M9" s="695">
        <v>0</v>
      </c>
      <c r="N9" s="695">
        <v>0</v>
      </c>
      <c r="O9" s="695">
        <v>0</v>
      </c>
      <c r="P9" s="695">
        <v>0</v>
      </c>
      <c r="Q9" s="695">
        <v>0</v>
      </c>
      <c r="R9" s="695">
        <v>0</v>
      </c>
      <c r="S9" s="695">
        <v>0</v>
      </c>
      <c r="T9" s="695">
        <v>0</v>
      </c>
      <c r="U9" s="695">
        <v>0</v>
      </c>
      <c r="V9" s="695">
        <v>0</v>
      </c>
      <c r="W9" s="695">
        <v>0</v>
      </c>
      <c r="X9" s="695">
        <v>0</v>
      </c>
      <c r="Y9" s="695">
        <v>0</v>
      </c>
      <c r="Z9" s="695">
        <v>0</v>
      </c>
      <c r="AA9" s="695">
        <v>0</v>
      </c>
    </row>
    <row r="10" spans="1:28">
      <c r="A10" s="384">
        <v>1.2</v>
      </c>
      <c r="B10" s="401" t="s">
        <v>533</v>
      </c>
      <c r="C10" s="702">
        <v>0</v>
      </c>
      <c r="D10" s="695">
        <v>0</v>
      </c>
      <c r="E10" s="695">
        <v>0</v>
      </c>
      <c r="F10" s="695">
        <v>0</v>
      </c>
      <c r="G10" s="695">
        <v>0</v>
      </c>
      <c r="H10" s="695">
        <v>0</v>
      </c>
      <c r="I10" s="695">
        <v>0</v>
      </c>
      <c r="J10" s="695">
        <v>0</v>
      </c>
      <c r="K10" s="695">
        <v>0</v>
      </c>
      <c r="L10" s="695">
        <v>0</v>
      </c>
      <c r="M10" s="695">
        <v>0</v>
      </c>
      <c r="N10" s="695">
        <v>0</v>
      </c>
      <c r="O10" s="695">
        <v>0</v>
      </c>
      <c r="P10" s="695">
        <v>0</v>
      </c>
      <c r="Q10" s="695">
        <v>0</v>
      </c>
      <c r="R10" s="695">
        <v>0</v>
      </c>
      <c r="S10" s="695">
        <v>0</v>
      </c>
      <c r="T10" s="695">
        <v>0</v>
      </c>
      <c r="U10" s="695">
        <v>0</v>
      </c>
      <c r="V10" s="695">
        <v>0</v>
      </c>
      <c r="W10" s="695">
        <v>0</v>
      </c>
      <c r="X10" s="695">
        <v>0</v>
      </c>
      <c r="Y10" s="695">
        <v>0</v>
      </c>
      <c r="Z10" s="695">
        <v>0</v>
      </c>
      <c r="AA10" s="695">
        <v>0</v>
      </c>
    </row>
    <row r="11" spans="1:28">
      <c r="A11" s="384">
        <v>1.3</v>
      </c>
      <c r="B11" s="401" t="s">
        <v>534</v>
      </c>
      <c r="C11" s="702">
        <v>0</v>
      </c>
      <c r="D11" s="695">
        <v>0</v>
      </c>
      <c r="E11" s="695">
        <v>0</v>
      </c>
      <c r="F11" s="695">
        <v>0</v>
      </c>
      <c r="G11" s="695">
        <v>0</v>
      </c>
      <c r="H11" s="695">
        <v>0</v>
      </c>
      <c r="I11" s="695">
        <v>0</v>
      </c>
      <c r="J11" s="695">
        <v>0</v>
      </c>
      <c r="K11" s="695">
        <v>0</v>
      </c>
      <c r="L11" s="695">
        <v>0</v>
      </c>
      <c r="M11" s="695">
        <v>0</v>
      </c>
      <c r="N11" s="695">
        <v>0</v>
      </c>
      <c r="O11" s="695">
        <v>0</v>
      </c>
      <c r="P11" s="695">
        <v>0</v>
      </c>
      <c r="Q11" s="695">
        <v>0</v>
      </c>
      <c r="R11" s="695">
        <v>0</v>
      </c>
      <c r="S11" s="695">
        <v>0</v>
      </c>
      <c r="T11" s="695">
        <v>0</v>
      </c>
      <c r="U11" s="695">
        <v>0</v>
      </c>
      <c r="V11" s="695">
        <v>0</v>
      </c>
      <c r="W11" s="695">
        <v>0</v>
      </c>
      <c r="X11" s="695">
        <v>0</v>
      </c>
      <c r="Y11" s="695">
        <v>0</v>
      </c>
      <c r="Z11" s="695">
        <v>0</v>
      </c>
      <c r="AA11" s="695">
        <v>0</v>
      </c>
    </row>
    <row r="12" spans="1:28">
      <c r="A12" s="384">
        <v>1.4</v>
      </c>
      <c r="B12" s="401" t="s">
        <v>535</v>
      </c>
      <c r="C12" s="702">
        <v>12614453.430000002</v>
      </c>
      <c r="D12" s="695">
        <v>12614453.430000002</v>
      </c>
      <c r="E12" s="695">
        <v>0</v>
      </c>
      <c r="F12" s="695">
        <v>0</v>
      </c>
      <c r="G12" s="695">
        <v>0</v>
      </c>
      <c r="H12" s="695">
        <v>0</v>
      </c>
      <c r="I12" s="695">
        <v>0</v>
      </c>
      <c r="J12" s="695">
        <v>0</v>
      </c>
      <c r="K12" s="695">
        <v>0</v>
      </c>
      <c r="L12" s="695">
        <v>0</v>
      </c>
      <c r="M12" s="695">
        <v>0</v>
      </c>
      <c r="N12" s="695">
        <v>0</v>
      </c>
      <c r="O12" s="695">
        <v>0</v>
      </c>
      <c r="P12" s="695">
        <v>0</v>
      </c>
      <c r="Q12" s="695">
        <v>0</v>
      </c>
      <c r="R12" s="695">
        <v>0</v>
      </c>
      <c r="S12" s="695">
        <v>0</v>
      </c>
      <c r="T12" s="695">
        <v>0</v>
      </c>
      <c r="U12" s="695">
        <v>0</v>
      </c>
      <c r="V12" s="695">
        <v>0</v>
      </c>
      <c r="W12" s="695">
        <v>0</v>
      </c>
      <c r="X12" s="695">
        <v>0</v>
      </c>
      <c r="Y12" s="695">
        <v>0</v>
      </c>
      <c r="Z12" s="695">
        <v>0</v>
      </c>
      <c r="AA12" s="695">
        <v>0</v>
      </c>
    </row>
    <row r="13" spans="1:28">
      <c r="A13" s="384">
        <v>1.5</v>
      </c>
      <c r="B13" s="401" t="s">
        <v>536</v>
      </c>
      <c r="C13" s="702">
        <v>1037551494.319886</v>
      </c>
      <c r="D13" s="695">
        <v>845726695.13758373</v>
      </c>
      <c r="E13" s="695">
        <v>18874188.192799788</v>
      </c>
      <c r="F13" s="695">
        <v>0</v>
      </c>
      <c r="G13" s="695">
        <v>0</v>
      </c>
      <c r="H13" s="695">
        <v>112338962.37462337</v>
      </c>
      <c r="I13" s="695">
        <v>8280783.9242218928</v>
      </c>
      <c r="J13" s="695">
        <v>7573854.0375147639</v>
      </c>
      <c r="K13" s="695">
        <v>0</v>
      </c>
      <c r="L13" s="695">
        <v>78508453.190892428</v>
      </c>
      <c r="M13" s="695">
        <v>873160.5324660003</v>
      </c>
      <c r="N13" s="695">
        <v>784953.44415799994</v>
      </c>
      <c r="O13" s="695">
        <v>4486132.2959723584</v>
      </c>
      <c r="P13" s="695">
        <v>13194075.243137864</v>
      </c>
      <c r="Q13" s="695">
        <v>1810457.0852551661</v>
      </c>
      <c r="R13" s="695">
        <v>34194206.375618659</v>
      </c>
      <c r="S13" s="695">
        <v>10992648.142131999</v>
      </c>
      <c r="T13" s="695">
        <v>977383.61678599997</v>
      </c>
      <c r="U13" s="695">
        <v>0</v>
      </c>
      <c r="V13" s="695">
        <v>0</v>
      </c>
      <c r="W13" s="695">
        <v>0</v>
      </c>
      <c r="X13" s="695">
        <v>465439.145876</v>
      </c>
      <c r="Y13" s="695">
        <v>0</v>
      </c>
      <c r="Z13" s="695">
        <v>0</v>
      </c>
      <c r="AA13" s="695">
        <v>0</v>
      </c>
    </row>
    <row r="14" spans="1:28">
      <c r="A14" s="384">
        <v>1.6</v>
      </c>
      <c r="B14" s="401" t="s">
        <v>537</v>
      </c>
      <c r="C14" s="702">
        <v>123172028.93999353</v>
      </c>
      <c r="D14" s="695">
        <v>113662786.33398092</v>
      </c>
      <c r="E14" s="695">
        <v>3999196.1739339996</v>
      </c>
      <c r="F14" s="695">
        <v>0</v>
      </c>
      <c r="G14" s="695">
        <v>0</v>
      </c>
      <c r="H14" s="695">
        <v>2677152.7962168595</v>
      </c>
      <c r="I14" s="695">
        <v>0</v>
      </c>
      <c r="J14" s="695">
        <v>0</v>
      </c>
      <c r="K14" s="695">
        <v>0</v>
      </c>
      <c r="L14" s="695">
        <v>6832089.8097956479</v>
      </c>
      <c r="M14" s="695">
        <v>1679061.775412</v>
      </c>
      <c r="N14" s="695">
        <v>77480.483469999977</v>
      </c>
      <c r="O14" s="695">
        <v>2482935.4306028062</v>
      </c>
      <c r="P14" s="695">
        <v>112644.69859999993</v>
      </c>
      <c r="Q14" s="695">
        <v>165207.18449999997</v>
      </c>
      <c r="R14" s="695">
        <v>628582.61100399983</v>
      </c>
      <c r="S14" s="695">
        <v>281554.93054199993</v>
      </c>
      <c r="T14" s="695">
        <v>0</v>
      </c>
      <c r="U14" s="695">
        <v>0</v>
      </c>
      <c r="V14" s="695">
        <v>0</v>
      </c>
      <c r="W14" s="695">
        <v>0</v>
      </c>
      <c r="X14" s="695">
        <v>0</v>
      </c>
      <c r="Y14" s="695">
        <v>0</v>
      </c>
      <c r="Z14" s="695">
        <v>0</v>
      </c>
      <c r="AA14" s="695">
        <v>0</v>
      </c>
    </row>
    <row r="15" spans="1:28">
      <c r="A15" s="409">
        <v>2</v>
      </c>
      <c r="B15" s="387" t="s">
        <v>538</v>
      </c>
      <c r="C15" s="697">
        <v>76680918.230000004</v>
      </c>
      <c r="D15" s="695">
        <v>76680918.230000004</v>
      </c>
      <c r="E15" s="695">
        <v>0</v>
      </c>
      <c r="F15" s="695">
        <v>0</v>
      </c>
      <c r="G15" s="695">
        <v>0</v>
      </c>
      <c r="H15" s="695">
        <v>0</v>
      </c>
      <c r="I15" s="695">
        <v>0</v>
      </c>
      <c r="J15" s="695">
        <v>0</v>
      </c>
      <c r="K15" s="695">
        <v>0</v>
      </c>
      <c r="L15" s="695">
        <v>0</v>
      </c>
      <c r="M15" s="695">
        <v>0</v>
      </c>
      <c r="N15" s="695">
        <v>0</v>
      </c>
      <c r="O15" s="695">
        <v>0</v>
      </c>
      <c r="P15" s="695">
        <v>0</v>
      </c>
      <c r="Q15" s="695">
        <v>0</v>
      </c>
      <c r="R15" s="695">
        <v>0</v>
      </c>
      <c r="S15" s="695">
        <v>0</v>
      </c>
      <c r="T15" s="695">
        <v>0</v>
      </c>
      <c r="U15" s="695">
        <v>0</v>
      </c>
      <c r="V15" s="695">
        <v>0</v>
      </c>
      <c r="W15" s="695">
        <v>0</v>
      </c>
      <c r="X15" s="695">
        <v>0</v>
      </c>
      <c r="Y15" s="695">
        <v>0</v>
      </c>
      <c r="Z15" s="695">
        <v>0</v>
      </c>
      <c r="AA15" s="695">
        <v>0</v>
      </c>
    </row>
    <row r="16" spans="1:28">
      <c r="A16" s="384">
        <v>2.1</v>
      </c>
      <c r="B16" s="401" t="s">
        <v>532</v>
      </c>
      <c r="C16" s="702">
        <v>0</v>
      </c>
      <c r="D16" s="695">
        <v>0</v>
      </c>
      <c r="E16" s="695">
        <v>0</v>
      </c>
      <c r="F16" s="695">
        <v>0</v>
      </c>
      <c r="G16" s="695">
        <v>0</v>
      </c>
      <c r="H16" s="695">
        <v>0</v>
      </c>
      <c r="I16" s="695">
        <v>0</v>
      </c>
      <c r="J16" s="695">
        <v>0</v>
      </c>
      <c r="K16" s="695">
        <v>0</v>
      </c>
      <c r="L16" s="695">
        <v>0</v>
      </c>
      <c r="M16" s="695">
        <v>0</v>
      </c>
      <c r="N16" s="695">
        <v>0</v>
      </c>
      <c r="O16" s="695">
        <v>0</v>
      </c>
      <c r="P16" s="695">
        <v>0</v>
      </c>
      <c r="Q16" s="695">
        <v>0</v>
      </c>
      <c r="R16" s="695">
        <v>0</v>
      </c>
      <c r="S16" s="695">
        <v>0</v>
      </c>
      <c r="T16" s="695">
        <v>0</v>
      </c>
      <c r="U16" s="695">
        <v>0</v>
      </c>
      <c r="V16" s="695">
        <v>0</v>
      </c>
      <c r="W16" s="695">
        <v>0</v>
      </c>
      <c r="X16" s="695">
        <v>0</v>
      </c>
      <c r="Y16" s="695">
        <v>0</v>
      </c>
      <c r="Z16" s="695">
        <v>0</v>
      </c>
      <c r="AA16" s="695">
        <v>0</v>
      </c>
    </row>
    <row r="17" spans="1:27">
      <c r="A17" s="384">
        <v>2.2000000000000002</v>
      </c>
      <c r="B17" s="401" t="s">
        <v>533</v>
      </c>
      <c r="C17" s="702">
        <v>21445453.989999998</v>
      </c>
      <c r="D17" s="695">
        <v>21445453.989999998</v>
      </c>
      <c r="E17" s="695">
        <v>0</v>
      </c>
      <c r="F17" s="695">
        <v>0</v>
      </c>
      <c r="G17" s="695">
        <v>0</v>
      </c>
      <c r="H17" s="695">
        <v>0</v>
      </c>
      <c r="I17" s="695">
        <v>0</v>
      </c>
      <c r="J17" s="695">
        <v>0</v>
      </c>
      <c r="K17" s="695">
        <v>0</v>
      </c>
      <c r="L17" s="695">
        <v>0</v>
      </c>
      <c r="M17" s="695">
        <v>0</v>
      </c>
      <c r="N17" s="695">
        <v>0</v>
      </c>
      <c r="O17" s="695">
        <v>0</v>
      </c>
      <c r="P17" s="695">
        <v>0</v>
      </c>
      <c r="Q17" s="695">
        <v>0</v>
      </c>
      <c r="R17" s="695">
        <v>0</v>
      </c>
      <c r="S17" s="695">
        <v>0</v>
      </c>
      <c r="T17" s="695">
        <v>0</v>
      </c>
      <c r="U17" s="695">
        <v>0</v>
      </c>
      <c r="V17" s="695">
        <v>0</v>
      </c>
      <c r="W17" s="695">
        <v>0</v>
      </c>
      <c r="X17" s="695">
        <v>0</v>
      </c>
      <c r="Y17" s="695">
        <v>0</v>
      </c>
      <c r="Z17" s="695">
        <v>0</v>
      </c>
      <c r="AA17" s="695">
        <v>0</v>
      </c>
    </row>
    <row r="18" spans="1:27">
      <c r="A18" s="384">
        <v>2.2999999999999998</v>
      </c>
      <c r="B18" s="401" t="s">
        <v>534</v>
      </c>
      <c r="C18" s="702">
        <v>0</v>
      </c>
      <c r="D18" s="695">
        <v>0</v>
      </c>
      <c r="E18" s="695">
        <v>0</v>
      </c>
      <c r="F18" s="695">
        <v>0</v>
      </c>
      <c r="G18" s="695">
        <v>0</v>
      </c>
      <c r="H18" s="695">
        <v>0</v>
      </c>
      <c r="I18" s="695">
        <v>0</v>
      </c>
      <c r="J18" s="695">
        <v>0</v>
      </c>
      <c r="K18" s="695">
        <v>0</v>
      </c>
      <c r="L18" s="695">
        <v>0</v>
      </c>
      <c r="M18" s="695">
        <v>0</v>
      </c>
      <c r="N18" s="695">
        <v>0</v>
      </c>
      <c r="O18" s="695">
        <v>0</v>
      </c>
      <c r="P18" s="695">
        <v>0</v>
      </c>
      <c r="Q18" s="695">
        <v>0</v>
      </c>
      <c r="R18" s="695">
        <v>0</v>
      </c>
      <c r="S18" s="695">
        <v>0</v>
      </c>
      <c r="T18" s="695">
        <v>0</v>
      </c>
      <c r="U18" s="695">
        <v>0</v>
      </c>
      <c r="V18" s="695">
        <v>0</v>
      </c>
      <c r="W18" s="695">
        <v>0</v>
      </c>
      <c r="X18" s="695">
        <v>0</v>
      </c>
      <c r="Y18" s="695">
        <v>0</v>
      </c>
      <c r="Z18" s="695">
        <v>0</v>
      </c>
      <c r="AA18" s="695">
        <v>0</v>
      </c>
    </row>
    <row r="19" spans="1:27">
      <c r="A19" s="384">
        <v>2.4</v>
      </c>
      <c r="B19" s="401" t="s">
        <v>535</v>
      </c>
      <c r="C19" s="702">
        <v>27074888.18</v>
      </c>
      <c r="D19" s="695">
        <v>27074888.18</v>
      </c>
      <c r="E19" s="695">
        <v>0</v>
      </c>
      <c r="F19" s="695">
        <v>0</v>
      </c>
      <c r="G19" s="695">
        <v>0</v>
      </c>
      <c r="H19" s="695">
        <v>0</v>
      </c>
      <c r="I19" s="695">
        <v>0</v>
      </c>
      <c r="J19" s="695">
        <v>0</v>
      </c>
      <c r="K19" s="695">
        <v>0</v>
      </c>
      <c r="L19" s="695">
        <v>0</v>
      </c>
      <c r="M19" s="695">
        <v>0</v>
      </c>
      <c r="N19" s="695">
        <v>0</v>
      </c>
      <c r="O19" s="695">
        <v>0</v>
      </c>
      <c r="P19" s="695">
        <v>0</v>
      </c>
      <c r="Q19" s="695">
        <v>0</v>
      </c>
      <c r="R19" s="695">
        <v>0</v>
      </c>
      <c r="S19" s="695">
        <v>0</v>
      </c>
      <c r="T19" s="695">
        <v>0</v>
      </c>
      <c r="U19" s="695">
        <v>0</v>
      </c>
      <c r="V19" s="695">
        <v>0</v>
      </c>
      <c r="W19" s="695">
        <v>0</v>
      </c>
      <c r="X19" s="695">
        <v>0</v>
      </c>
      <c r="Y19" s="695">
        <v>0</v>
      </c>
      <c r="Z19" s="695">
        <v>0</v>
      </c>
      <c r="AA19" s="695">
        <v>0</v>
      </c>
    </row>
    <row r="20" spans="1:27">
      <c r="A20" s="384">
        <v>2.5</v>
      </c>
      <c r="B20" s="401" t="s">
        <v>536</v>
      </c>
      <c r="C20" s="702">
        <v>28160576.060000002</v>
      </c>
      <c r="D20" s="695">
        <v>28160576.060000002</v>
      </c>
      <c r="E20" s="695">
        <v>0</v>
      </c>
      <c r="F20" s="695">
        <v>0</v>
      </c>
      <c r="G20" s="695">
        <v>0</v>
      </c>
      <c r="H20" s="695">
        <v>0</v>
      </c>
      <c r="I20" s="695">
        <v>0</v>
      </c>
      <c r="J20" s="695">
        <v>0</v>
      </c>
      <c r="K20" s="695">
        <v>0</v>
      </c>
      <c r="L20" s="695">
        <v>0</v>
      </c>
      <c r="M20" s="695">
        <v>0</v>
      </c>
      <c r="N20" s="695">
        <v>0</v>
      </c>
      <c r="O20" s="695">
        <v>0</v>
      </c>
      <c r="P20" s="695">
        <v>0</v>
      </c>
      <c r="Q20" s="695">
        <v>0</v>
      </c>
      <c r="R20" s="695">
        <v>0</v>
      </c>
      <c r="S20" s="695">
        <v>0</v>
      </c>
      <c r="T20" s="695">
        <v>0</v>
      </c>
      <c r="U20" s="695">
        <v>0</v>
      </c>
      <c r="V20" s="695">
        <v>0</v>
      </c>
      <c r="W20" s="695">
        <v>0</v>
      </c>
      <c r="X20" s="695">
        <v>0</v>
      </c>
      <c r="Y20" s="695">
        <v>0</v>
      </c>
      <c r="Z20" s="695">
        <v>0</v>
      </c>
      <c r="AA20" s="695">
        <v>0</v>
      </c>
    </row>
    <row r="21" spans="1:27">
      <c r="A21" s="384">
        <v>2.6</v>
      </c>
      <c r="B21" s="401" t="s">
        <v>537</v>
      </c>
      <c r="C21" s="702">
        <v>0</v>
      </c>
      <c r="D21" s="695">
        <v>0</v>
      </c>
      <c r="E21" s="695">
        <v>0</v>
      </c>
      <c r="F21" s="695">
        <v>0</v>
      </c>
      <c r="G21" s="695">
        <v>0</v>
      </c>
      <c r="H21" s="695">
        <v>0</v>
      </c>
      <c r="I21" s="695">
        <v>0</v>
      </c>
      <c r="J21" s="695">
        <v>0</v>
      </c>
      <c r="K21" s="695">
        <v>0</v>
      </c>
      <c r="L21" s="695">
        <v>0</v>
      </c>
      <c r="M21" s="695">
        <v>0</v>
      </c>
      <c r="N21" s="695">
        <v>0</v>
      </c>
      <c r="O21" s="695">
        <v>0</v>
      </c>
      <c r="P21" s="695">
        <v>0</v>
      </c>
      <c r="Q21" s="695">
        <v>0</v>
      </c>
      <c r="R21" s="695">
        <v>0</v>
      </c>
      <c r="S21" s="695">
        <v>0</v>
      </c>
      <c r="T21" s="695">
        <v>0</v>
      </c>
      <c r="U21" s="695">
        <v>0</v>
      </c>
      <c r="V21" s="695">
        <v>0</v>
      </c>
      <c r="W21" s="695">
        <v>0</v>
      </c>
      <c r="X21" s="695">
        <v>0</v>
      </c>
      <c r="Y21" s="695">
        <v>0</v>
      </c>
      <c r="Z21" s="695">
        <v>0</v>
      </c>
      <c r="AA21" s="695">
        <v>0</v>
      </c>
    </row>
    <row r="22" spans="1:27">
      <c r="A22" s="409">
        <v>3</v>
      </c>
      <c r="B22" s="387" t="s">
        <v>539</v>
      </c>
      <c r="C22" s="697">
        <v>207648084.23930004</v>
      </c>
      <c r="D22" s="697">
        <v>204654387.34360006</v>
      </c>
      <c r="E22" s="703"/>
      <c r="F22" s="703"/>
      <c r="G22" s="703"/>
      <c r="H22" s="697">
        <v>2991357.5243999995</v>
      </c>
      <c r="I22" s="703"/>
      <c r="J22" s="703"/>
      <c r="K22" s="703"/>
      <c r="L22" s="697">
        <v>2339.3713000000034</v>
      </c>
      <c r="M22" s="703"/>
      <c r="N22" s="703"/>
      <c r="O22" s="703"/>
      <c r="P22" s="703"/>
      <c r="Q22" s="703"/>
      <c r="R22" s="703"/>
      <c r="S22" s="703"/>
      <c r="T22" s="697">
        <v>0</v>
      </c>
      <c r="U22" s="703"/>
      <c r="V22" s="703"/>
      <c r="W22" s="703"/>
      <c r="X22" s="703"/>
      <c r="Y22" s="703"/>
      <c r="Z22" s="703"/>
      <c r="AA22" s="703"/>
    </row>
    <row r="23" spans="1:27">
      <c r="A23" s="384">
        <v>3.1</v>
      </c>
      <c r="B23" s="401" t="s">
        <v>532</v>
      </c>
      <c r="C23" s="702">
        <v>0</v>
      </c>
      <c r="D23" s="697">
        <v>0</v>
      </c>
      <c r="E23" s="703"/>
      <c r="F23" s="703"/>
      <c r="G23" s="703"/>
      <c r="H23" s="697">
        <v>0</v>
      </c>
      <c r="I23" s="703"/>
      <c r="J23" s="703"/>
      <c r="K23" s="703"/>
      <c r="L23" s="697">
        <v>0</v>
      </c>
      <c r="M23" s="703"/>
      <c r="N23" s="703"/>
      <c r="O23" s="703"/>
      <c r="P23" s="703"/>
      <c r="Q23" s="703"/>
      <c r="R23" s="703"/>
      <c r="S23" s="703"/>
      <c r="T23" s="697">
        <v>0</v>
      </c>
      <c r="U23" s="703"/>
      <c r="V23" s="703"/>
      <c r="W23" s="703"/>
      <c r="X23" s="703"/>
      <c r="Y23" s="703"/>
      <c r="Z23" s="703"/>
      <c r="AA23" s="703"/>
    </row>
    <row r="24" spans="1:27">
      <c r="A24" s="384">
        <v>3.2</v>
      </c>
      <c r="B24" s="401" t="s">
        <v>533</v>
      </c>
      <c r="C24" s="702">
        <v>0</v>
      </c>
      <c r="D24" s="697">
        <v>0</v>
      </c>
      <c r="E24" s="703"/>
      <c r="F24" s="703"/>
      <c r="G24" s="703"/>
      <c r="H24" s="697">
        <v>0</v>
      </c>
      <c r="I24" s="703"/>
      <c r="J24" s="703"/>
      <c r="K24" s="703"/>
      <c r="L24" s="697">
        <v>0</v>
      </c>
      <c r="M24" s="703"/>
      <c r="N24" s="703"/>
      <c r="O24" s="703"/>
      <c r="P24" s="703"/>
      <c r="Q24" s="703"/>
      <c r="R24" s="703"/>
      <c r="S24" s="703"/>
      <c r="T24" s="697">
        <v>0</v>
      </c>
      <c r="U24" s="703"/>
      <c r="V24" s="703"/>
      <c r="W24" s="703"/>
      <c r="X24" s="703"/>
      <c r="Y24" s="703"/>
      <c r="Z24" s="703"/>
      <c r="AA24" s="703"/>
    </row>
    <row r="25" spans="1:27">
      <c r="A25" s="384">
        <v>3.3</v>
      </c>
      <c r="B25" s="401" t="s">
        <v>534</v>
      </c>
      <c r="C25" s="702">
        <v>0</v>
      </c>
      <c r="D25" s="697">
        <v>0</v>
      </c>
      <c r="E25" s="703"/>
      <c r="F25" s="703"/>
      <c r="G25" s="703"/>
      <c r="H25" s="697">
        <v>0</v>
      </c>
      <c r="I25" s="703"/>
      <c r="J25" s="703"/>
      <c r="K25" s="703"/>
      <c r="L25" s="697">
        <v>0</v>
      </c>
      <c r="M25" s="703"/>
      <c r="N25" s="703"/>
      <c r="O25" s="703"/>
      <c r="P25" s="703"/>
      <c r="Q25" s="703"/>
      <c r="R25" s="703"/>
      <c r="S25" s="703"/>
      <c r="T25" s="697">
        <v>0</v>
      </c>
      <c r="U25" s="703"/>
      <c r="V25" s="703"/>
      <c r="W25" s="703"/>
      <c r="X25" s="703"/>
      <c r="Y25" s="703"/>
      <c r="Z25" s="703"/>
      <c r="AA25" s="703"/>
    </row>
    <row r="26" spans="1:27">
      <c r="A26" s="384">
        <v>3.4</v>
      </c>
      <c r="B26" s="401" t="s">
        <v>535</v>
      </c>
      <c r="C26" s="702">
        <v>2431836.54</v>
      </c>
      <c r="D26" s="697">
        <v>2431836.54</v>
      </c>
      <c r="E26" s="703"/>
      <c r="F26" s="703"/>
      <c r="G26" s="703"/>
      <c r="H26" s="697">
        <v>0</v>
      </c>
      <c r="I26" s="703"/>
      <c r="J26" s="703"/>
      <c r="K26" s="703"/>
      <c r="L26" s="697">
        <v>0</v>
      </c>
      <c r="M26" s="703"/>
      <c r="N26" s="703"/>
      <c r="O26" s="703"/>
      <c r="P26" s="703"/>
      <c r="Q26" s="703"/>
      <c r="R26" s="703"/>
      <c r="S26" s="703"/>
      <c r="T26" s="697">
        <v>0</v>
      </c>
      <c r="U26" s="703"/>
      <c r="V26" s="703"/>
      <c r="W26" s="703"/>
      <c r="X26" s="703"/>
      <c r="Y26" s="703"/>
      <c r="Z26" s="703"/>
      <c r="AA26" s="703"/>
    </row>
    <row r="27" spans="1:27">
      <c r="A27" s="384">
        <v>3.5</v>
      </c>
      <c r="B27" s="401" t="s">
        <v>536</v>
      </c>
      <c r="C27" s="702">
        <v>201394820.24670005</v>
      </c>
      <c r="D27" s="697">
        <v>198403465.54120007</v>
      </c>
      <c r="E27" s="703"/>
      <c r="F27" s="703"/>
      <c r="G27" s="703"/>
      <c r="H27" s="697">
        <v>2991354.7041999996</v>
      </c>
      <c r="I27" s="703"/>
      <c r="J27" s="703"/>
      <c r="K27" s="703"/>
      <c r="L27" s="697">
        <v>1.3000000035390258E-3</v>
      </c>
      <c r="M27" s="703"/>
      <c r="N27" s="703"/>
      <c r="O27" s="703"/>
      <c r="P27" s="703"/>
      <c r="Q27" s="703"/>
      <c r="R27" s="703"/>
      <c r="S27" s="703"/>
      <c r="T27" s="697">
        <v>0</v>
      </c>
      <c r="U27" s="703"/>
      <c r="V27" s="703"/>
      <c r="W27" s="703"/>
      <c r="X27" s="703"/>
      <c r="Y27" s="703"/>
      <c r="Z27" s="703"/>
      <c r="AA27" s="703"/>
    </row>
    <row r="28" spans="1:27">
      <c r="A28" s="384">
        <v>3.6</v>
      </c>
      <c r="B28" s="401" t="s">
        <v>537</v>
      </c>
      <c r="C28" s="702">
        <v>3821427.4525999995</v>
      </c>
      <c r="D28" s="697">
        <v>3819085.2623999994</v>
      </c>
      <c r="E28" s="703"/>
      <c r="F28" s="703"/>
      <c r="G28" s="703"/>
      <c r="H28" s="697">
        <v>2.8201999999895691</v>
      </c>
      <c r="I28" s="703"/>
      <c r="J28" s="703"/>
      <c r="K28" s="703"/>
      <c r="L28" s="697">
        <v>2339.37</v>
      </c>
      <c r="M28" s="703"/>
      <c r="N28" s="703"/>
      <c r="O28" s="703"/>
      <c r="P28" s="703"/>
      <c r="Q28" s="703"/>
      <c r="R28" s="703"/>
      <c r="S28" s="703"/>
      <c r="T28" s="697">
        <v>0</v>
      </c>
      <c r="U28" s="703"/>
      <c r="V28" s="703"/>
      <c r="W28" s="703"/>
      <c r="X28" s="703"/>
      <c r="Y28" s="703"/>
      <c r="Z28" s="703"/>
      <c r="AA28" s="703"/>
    </row>
    <row r="35" spans="3:27">
      <c r="C35" s="700"/>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row>
    <row r="36" spans="3:27">
      <c r="C36" s="700"/>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row>
    <row r="37" spans="3:27">
      <c r="C37" s="700"/>
      <c r="D37" s="700"/>
      <c r="E37" s="700"/>
      <c r="F37" s="700"/>
      <c r="G37" s="700"/>
      <c r="H37" s="700"/>
      <c r="I37" s="700"/>
      <c r="J37" s="700"/>
      <c r="K37" s="700"/>
      <c r="L37" s="700"/>
      <c r="M37" s="700"/>
      <c r="N37" s="700"/>
      <c r="O37" s="700"/>
      <c r="P37" s="700"/>
      <c r="Q37" s="700"/>
      <c r="R37" s="700"/>
      <c r="S37" s="700"/>
      <c r="T37" s="700"/>
      <c r="U37" s="700"/>
      <c r="V37" s="700"/>
      <c r="W37" s="700"/>
      <c r="X37" s="700"/>
      <c r="Y37" s="700"/>
      <c r="Z37" s="700"/>
      <c r="AA37" s="700"/>
    </row>
    <row r="38" spans="3:27">
      <c r="C38" s="700"/>
      <c r="D38" s="700"/>
      <c r="E38" s="700"/>
      <c r="F38" s="700"/>
      <c r="G38" s="700"/>
      <c r="H38" s="700"/>
      <c r="I38" s="700"/>
      <c r="J38" s="700"/>
      <c r="K38" s="700"/>
      <c r="L38" s="700"/>
      <c r="M38" s="700"/>
      <c r="N38" s="700"/>
      <c r="O38" s="700"/>
      <c r="P38" s="700"/>
      <c r="Q38" s="700"/>
      <c r="R38" s="700"/>
      <c r="S38" s="700"/>
      <c r="T38" s="700"/>
      <c r="U38" s="700"/>
      <c r="V38" s="700"/>
      <c r="W38" s="700"/>
      <c r="X38" s="700"/>
      <c r="Y38" s="700"/>
      <c r="Z38" s="700"/>
      <c r="AA38" s="700"/>
    </row>
    <row r="39" spans="3:27">
      <c r="C39" s="700"/>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row>
    <row r="40" spans="3:27">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row>
    <row r="41" spans="3:27">
      <c r="C41" s="700"/>
      <c r="D41" s="700"/>
      <c r="E41" s="700"/>
      <c r="F41" s="700"/>
      <c r="G41" s="700"/>
      <c r="H41" s="700"/>
      <c r="I41" s="700"/>
      <c r="J41" s="700"/>
      <c r="K41" s="700"/>
      <c r="L41" s="700"/>
      <c r="M41" s="700"/>
      <c r="N41" s="700"/>
      <c r="O41" s="700"/>
      <c r="P41" s="700"/>
      <c r="Q41" s="700"/>
      <c r="R41" s="700"/>
      <c r="S41" s="700"/>
      <c r="T41" s="700"/>
      <c r="U41" s="700"/>
      <c r="V41" s="700"/>
      <c r="W41" s="700"/>
      <c r="X41" s="700"/>
      <c r="Y41" s="700"/>
      <c r="Z41" s="700"/>
      <c r="AA41" s="700"/>
    </row>
    <row r="42" spans="3:27">
      <c r="C42" s="700"/>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row>
    <row r="43" spans="3:27">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row>
    <row r="44" spans="3:27">
      <c r="C44" s="700"/>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row>
    <row r="45" spans="3:27">
      <c r="C45" s="700"/>
      <c r="D45" s="700"/>
      <c r="E45" s="700"/>
      <c r="F45" s="700"/>
      <c r="G45" s="700"/>
      <c r="H45" s="700"/>
      <c r="I45" s="700"/>
      <c r="J45" s="700"/>
      <c r="K45" s="700"/>
      <c r="L45" s="700"/>
      <c r="M45" s="700"/>
      <c r="N45" s="700"/>
      <c r="O45" s="700"/>
      <c r="P45" s="700"/>
      <c r="Q45" s="700"/>
      <c r="R45" s="700"/>
      <c r="S45" s="700"/>
      <c r="T45" s="700"/>
      <c r="U45" s="700"/>
      <c r="V45" s="700"/>
      <c r="W45" s="700"/>
      <c r="X45" s="700"/>
      <c r="Y45" s="700"/>
      <c r="Z45" s="700"/>
      <c r="AA45" s="700"/>
    </row>
    <row r="46" spans="3:27">
      <c r="C46" s="700"/>
      <c r="D46" s="700"/>
      <c r="E46" s="700"/>
      <c r="F46" s="700"/>
      <c r="G46" s="700"/>
      <c r="H46" s="700"/>
      <c r="I46" s="700"/>
      <c r="J46" s="700"/>
      <c r="K46" s="700"/>
      <c r="L46" s="700"/>
      <c r="M46" s="700"/>
      <c r="N46" s="700"/>
      <c r="O46" s="700"/>
      <c r="P46" s="700"/>
      <c r="Q46" s="700"/>
      <c r="R46" s="700"/>
      <c r="S46" s="700"/>
      <c r="T46" s="700"/>
      <c r="U46" s="700"/>
      <c r="V46" s="700"/>
      <c r="W46" s="700"/>
      <c r="X46" s="700"/>
      <c r="Y46" s="700"/>
      <c r="Z46" s="700"/>
      <c r="AA46" s="700"/>
    </row>
    <row r="47" spans="3:27">
      <c r="C47" s="700"/>
      <c r="D47" s="700"/>
      <c r="E47" s="700"/>
      <c r="F47" s="700"/>
      <c r="G47" s="700"/>
      <c r="H47" s="700"/>
      <c r="I47" s="700"/>
      <c r="J47" s="700"/>
      <c r="K47" s="700"/>
      <c r="L47" s="700"/>
      <c r="M47" s="700"/>
      <c r="N47" s="700"/>
      <c r="O47" s="700"/>
      <c r="P47" s="700"/>
      <c r="Q47" s="700"/>
      <c r="R47" s="700"/>
      <c r="S47" s="700"/>
      <c r="T47" s="700"/>
      <c r="U47" s="700"/>
      <c r="V47" s="700"/>
      <c r="W47" s="700"/>
      <c r="X47" s="700"/>
      <c r="Y47" s="700"/>
      <c r="Z47" s="700"/>
      <c r="AA47" s="700"/>
    </row>
    <row r="48" spans="3:27">
      <c r="C48" s="700"/>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row>
    <row r="49" spans="3:27">
      <c r="C49" s="700"/>
      <c r="D49" s="700"/>
      <c r="E49" s="700"/>
      <c r="F49" s="700"/>
      <c r="G49" s="700"/>
      <c r="H49" s="700"/>
      <c r="I49" s="700"/>
      <c r="J49" s="700"/>
      <c r="K49" s="700"/>
      <c r="L49" s="700"/>
      <c r="M49" s="700"/>
      <c r="N49" s="700"/>
      <c r="O49" s="700"/>
      <c r="P49" s="700"/>
      <c r="Q49" s="700"/>
      <c r="R49" s="700"/>
      <c r="S49" s="700"/>
      <c r="T49" s="700"/>
      <c r="U49" s="700"/>
      <c r="V49" s="700"/>
      <c r="W49" s="700"/>
      <c r="X49" s="700"/>
      <c r="Y49" s="700"/>
      <c r="Z49" s="700"/>
      <c r="AA49" s="700"/>
    </row>
    <row r="50" spans="3:27">
      <c r="C50" s="700"/>
      <c r="D50" s="700"/>
      <c r="E50" s="700"/>
      <c r="F50" s="700"/>
      <c r="G50" s="700"/>
      <c r="H50" s="700"/>
      <c r="I50" s="700"/>
      <c r="J50" s="700"/>
      <c r="K50" s="700"/>
      <c r="L50" s="700"/>
      <c r="M50" s="700"/>
      <c r="N50" s="700"/>
      <c r="O50" s="700"/>
      <c r="P50" s="700"/>
      <c r="Q50" s="700"/>
      <c r="R50" s="700"/>
      <c r="S50" s="700"/>
      <c r="T50" s="700"/>
      <c r="U50" s="700"/>
      <c r="V50" s="700"/>
      <c r="W50" s="700"/>
      <c r="X50" s="700"/>
      <c r="Y50" s="700"/>
      <c r="Z50" s="700"/>
      <c r="AA50" s="700"/>
    </row>
    <row r="51" spans="3:27">
      <c r="C51" s="700"/>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row>
    <row r="52" spans="3:27">
      <c r="C52" s="700"/>
      <c r="D52" s="700"/>
      <c r="E52" s="700"/>
      <c r="F52" s="700"/>
      <c r="G52" s="700"/>
      <c r="H52" s="700"/>
      <c r="I52" s="700"/>
      <c r="J52" s="700"/>
      <c r="K52" s="700"/>
      <c r="L52" s="700"/>
      <c r="M52" s="700"/>
      <c r="N52" s="700"/>
      <c r="O52" s="700"/>
      <c r="P52" s="700"/>
      <c r="Q52" s="700"/>
      <c r="R52" s="700"/>
      <c r="S52" s="700"/>
      <c r="T52" s="700"/>
      <c r="U52" s="700"/>
      <c r="V52" s="700"/>
      <c r="W52" s="700"/>
      <c r="X52" s="700"/>
      <c r="Y52" s="700"/>
      <c r="Z52" s="700"/>
      <c r="AA52" s="700"/>
    </row>
    <row r="53" spans="3:27">
      <c r="C53" s="700"/>
      <c r="D53" s="700"/>
      <c r="E53" s="700"/>
      <c r="F53" s="700"/>
      <c r="G53" s="700"/>
      <c r="H53" s="700"/>
      <c r="I53" s="700"/>
      <c r="J53" s="700"/>
      <c r="K53" s="700"/>
      <c r="L53" s="700"/>
      <c r="M53" s="700"/>
      <c r="N53" s="700"/>
      <c r="O53" s="700"/>
      <c r="P53" s="700"/>
      <c r="Q53" s="700"/>
      <c r="R53" s="700"/>
      <c r="S53" s="700"/>
      <c r="T53" s="700"/>
      <c r="U53" s="700"/>
      <c r="V53" s="700"/>
      <c r="W53" s="700"/>
      <c r="X53" s="700"/>
      <c r="Y53" s="700"/>
      <c r="Z53" s="700"/>
      <c r="AA53" s="700"/>
    </row>
    <row r="54" spans="3:27">
      <c r="C54" s="700"/>
      <c r="D54" s="700"/>
      <c r="E54" s="700"/>
      <c r="F54" s="700"/>
      <c r="G54" s="700"/>
      <c r="H54" s="700"/>
      <c r="I54" s="700"/>
      <c r="J54" s="700"/>
      <c r="K54" s="700"/>
      <c r="L54" s="700"/>
      <c r="M54" s="700"/>
      <c r="N54" s="700"/>
      <c r="O54" s="700"/>
      <c r="P54" s="700"/>
      <c r="Q54" s="700"/>
      <c r="R54" s="700"/>
      <c r="S54" s="700"/>
      <c r="T54" s="700"/>
      <c r="U54" s="700"/>
      <c r="V54" s="700"/>
      <c r="W54" s="700"/>
      <c r="X54" s="700"/>
      <c r="Y54" s="700"/>
      <c r="Z54" s="700"/>
      <c r="AA54" s="700"/>
    </row>
    <row r="55" spans="3:27">
      <c r="C55" s="700"/>
      <c r="D55" s="700"/>
      <c r="E55" s="700"/>
      <c r="F55" s="700"/>
      <c r="G55" s="700"/>
      <c r="H55" s="700"/>
      <c r="I55" s="700"/>
      <c r="J55" s="700"/>
      <c r="K55" s="700"/>
      <c r="L55" s="700"/>
      <c r="M55" s="700"/>
      <c r="N55" s="700"/>
      <c r="O55" s="700"/>
      <c r="P55" s="700"/>
      <c r="Q55" s="700"/>
      <c r="R55" s="700"/>
      <c r="S55" s="700"/>
      <c r="T55" s="700"/>
      <c r="U55" s="700"/>
      <c r="V55" s="700"/>
      <c r="W55" s="700"/>
      <c r="X55" s="700"/>
      <c r="Y55" s="700"/>
      <c r="Z55" s="700"/>
      <c r="AA55" s="7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42"/>
  <sheetViews>
    <sheetView showGridLines="0" zoomScale="80" zoomScaleNormal="80" workbookViewId="0"/>
  </sheetViews>
  <sheetFormatPr defaultColWidth="9.28515625" defaultRowHeight="12.75"/>
  <cols>
    <col min="1" max="1" width="11.7109375" style="394" bestFit="1" customWidth="1"/>
    <col min="2" max="2" width="90.28515625" style="394" bestFit="1" customWidth="1"/>
    <col min="3" max="3" width="20.28515625" style="394" customWidth="1"/>
    <col min="4" max="4" width="22.28515625" style="394" customWidth="1"/>
    <col min="5" max="7" width="17.140625" style="394" customWidth="1"/>
    <col min="8" max="8" width="22.28515625" style="394" customWidth="1"/>
    <col min="9" max="10" width="17.140625" style="394" customWidth="1"/>
    <col min="11" max="27" width="22.28515625" style="394" customWidth="1"/>
    <col min="28" max="16384" width="9.28515625" style="394"/>
  </cols>
  <sheetData>
    <row r="1" spans="1:27" ht="13.5">
      <c r="A1" s="299" t="s">
        <v>97</v>
      </c>
      <c r="B1" s="221" t="str">
        <f>Info!C2</f>
        <v>სს "ბანკი ქართუ"</v>
      </c>
    </row>
    <row r="2" spans="1:27">
      <c r="A2" s="299" t="s">
        <v>98</v>
      </c>
      <c r="B2" s="634">
        <f>'1. key ratios'!B2</f>
        <v>46112</v>
      </c>
    </row>
    <row r="3" spans="1:27">
      <c r="A3" s="301" t="s">
        <v>540</v>
      </c>
      <c r="C3" s="396"/>
    </row>
    <row r="4" spans="1:27" ht="13.5" thickBot="1">
      <c r="A4" s="301"/>
      <c r="B4" s="396"/>
      <c r="C4" s="396"/>
    </row>
    <row r="5" spans="1:27" ht="13.5" customHeight="1">
      <c r="A5" s="830" t="s">
        <v>869</v>
      </c>
      <c r="B5" s="831"/>
      <c r="C5" s="827" t="s">
        <v>541</v>
      </c>
      <c r="D5" s="828"/>
      <c r="E5" s="828"/>
      <c r="F5" s="828"/>
      <c r="G5" s="828"/>
      <c r="H5" s="828"/>
      <c r="I5" s="828"/>
      <c r="J5" s="828"/>
      <c r="K5" s="828"/>
      <c r="L5" s="828"/>
      <c r="M5" s="828"/>
      <c r="N5" s="828"/>
      <c r="O5" s="828"/>
      <c r="P5" s="828"/>
      <c r="Q5" s="828"/>
      <c r="R5" s="828"/>
      <c r="S5" s="828"/>
      <c r="T5" s="828"/>
      <c r="U5" s="828"/>
      <c r="V5" s="828"/>
      <c r="W5" s="828"/>
      <c r="X5" s="828"/>
      <c r="Y5" s="828"/>
      <c r="Z5" s="828"/>
      <c r="AA5" s="829"/>
    </row>
    <row r="6" spans="1:27" ht="12" customHeight="1">
      <c r="A6" s="832"/>
      <c r="B6" s="833"/>
      <c r="C6" s="836" t="s">
        <v>66</v>
      </c>
      <c r="D6" s="801" t="s">
        <v>860</v>
      </c>
      <c r="E6" s="801"/>
      <c r="F6" s="801"/>
      <c r="G6" s="801"/>
      <c r="H6" s="822" t="s">
        <v>859</v>
      </c>
      <c r="I6" s="823"/>
      <c r="J6" s="823"/>
      <c r="K6" s="823"/>
      <c r="L6" s="416"/>
      <c r="M6" s="805" t="s">
        <v>858</v>
      </c>
      <c r="N6" s="805"/>
      <c r="O6" s="805"/>
      <c r="P6" s="805"/>
      <c r="Q6" s="805"/>
      <c r="R6" s="805"/>
      <c r="S6" s="803"/>
      <c r="T6" s="416"/>
      <c r="U6" s="805" t="s">
        <v>857</v>
      </c>
      <c r="V6" s="805"/>
      <c r="W6" s="805"/>
      <c r="X6" s="805"/>
      <c r="Y6" s="805"/>
      <c r="Z6" s="805"/>
      <c r="AA6" s="826"/>
    </row>
    <row r="7" spans="1:27" ht="38.25">
      <c r="A7" s="834"/>
      <c r="B7" s="835"/>
      <c r="C7" s="837"/>
      <c r="D7" s="414"/>
      <c r="E7" s="391" t="s">
        <v>530</v>
      </c>
      <c r="F7" s="391" t="s">
        <v>855</v>
      </c>
      <c r="G7" s="391" t="s">
        <v>856</v>
      </c>
      <c r="H7" s="395"/>
      <c r="I7" s="391" t="s">
        <v>530</v>
      </c>
      <c r="J7" s="391" t="s">
        <v>855</v>
      </c>
      <c r="K7" s="391" t="s">
        <v>856</v>
      </c>
      <c r="L7" s="411"/>
      <c r="M7" s="391" t="s">
        <v>530</v>
      </c>
      <c r="N7" s="391" t="s">
        <v>868</v>
      </c>
      <c r="O7" s="391" t="s">
        <v>867</v>
      </c>
      <c r="P7" s="391" t="s">
        <v>866</v>
      </c>
      <c r="Q7" s="391" t="s">
        <v>865</v>
      </c>
      <c r="R7" s="391" t="s">
        <v>864</v>
      </c>
      <c r="S7" s="391" t="s">
        <v>850</v>
      </c>
      <c r="T7" s="411"/>
      <c r="U7" s="391" t="s">
        <v>530</v>
      </c>
      <c r="V7" s="391" t="s">
        <v>868</v>
      </c>
      <c r="W7" s="391" t="s">
        <v>867</v>
      </c>
      <c r="X7" s="391" t="s">
        <v>866</v>
      </c>
      <c r="Y7" s="391" t="s">
        <v>865</v>
      </c>
      <c r="Z7" s="391" t="s">
        <v>864</v>
      </c>
      <c r="AA7" s="391" t="s">
        <v>850</v>
      </c>
    </row>
    <row r="8" spans="1:27">
      <c r="A8" s="440">
        <v>1</v>
      </c>
      <c r="B8" s="439" t="s">
        <v>531</v>
      </c>
      <c r="C8" s="704">
        <v>1173337976.6898811</v>
      </c>
      <c r="D8" s="695">
        <v>972003934.90156412</v>
      </c>
      <c r="E8" s="695">
        <v>22873384.366733789</v>
      </c>
      <c r="F8" s="695">
        <v>0</v>
      </c>
      <c r="G8" s="695">
        <v>0</v>
      </c>
      <c r="H8" s="695">
        <v>115016115.17084022</v>
      </c>
      <c r="I8" s="695">
        <v>8280783.9242218928</v>
      </c>
      <c r="J8" s="695">
        <v>7573854.0375147639</v>
      </c>
      <c r="K8" s="695">
        <v>0</v>
      </c>
      <c r="L8" s="695">
        <v>85340543.000688165</v>
      </c>
      <c r="M8" s="695">
        <v>2552222.3078780002</v>
      </c>
      <c r="N8" s="695">
        <v>862433.92762799992</v>
      </c>
      <c r="O8" s="695">
        <v>6969067.7265751585</v>
      </c>
      <c r="P8" s="695">
        <v>13306719.941737847</v>
      </c>
      <c r="Q8" s="695">
        <v>1975664.2697551656</v>
      </c>
      <c r="R8" s="695">
        <v>34822788.986622699</v>
      </c>
      <c r="S8" s="695">
        <v>11274203.072674006</v>
      </c>
      <c r="T8" s="695">
        <v>977383.61678599997</v>
      </c>
      <c r="U8" s="695">
        <v>0</v>
      </c>
      <c r="V8" s="695">
        <v>0</v>
      </c>
      <c r="W8" s="695">
        <v>0</v>
      </c>
      <c r="X8" s="695">
        <v>465439.145876</v>
      </c>
      <c r="Y8" s="695">
        <v>0</v>
      </c>
      <c r="Z8" s="695">
        <v>0</v>
      </c>
      <c r="AA8" s="705">
        <v>0</v>
      </c>
    </row>
    <row r="9" spans="1:27">
      <c r="A9" s="432">
        <v>1.1000000000000001</v>
      </c>
      <c r="B9" s="438" t="s">
        <v>542</v>
      </c>
      <c r="C9" s="706">
        <v>1146288700.0246372</v>
      </c>
      <c r="D9" s="695">
        <v>945659797.26792037</v>
      </c>
      <c r="E9" s="695">
        <v>22873384.366733789</v>
      </c>
      <c r="F9" s="695">
        <v>0</v>
      </c>
      <c r="G9" s="695">
        <v>0</v>
      </c>
      <c r="H9" s="695">
        <v>114731685.24084021</v>
      </c>
      <c r="I9" s="695">
        <v>8280783.9242218928</v>
      </c>
      <c r="J9" s="695">
        <v>7345100.1475147642</v>
      </c>
      <c r="K9" s="695">
        <v>0</v>
      </c>
      <c r="L9" s="695">
        <v>84919833.89908807</v>
      </c>
      <c r="M9" s="695">
        <v>2552222.3078780002</v>
      </c>
      <c r="N9" s="695">
        <v>776371.61692799989</v>
      </c>
      <c r="O9" s="695">
        <v>6968724.3565751631</v>
      </c>
      <c r="P9" s="695">
        <v>13301981.663137864</v>
      </c>
      <c r="Q9" s="695">
        <v>1873698.6452551659</v>
      </c>
      <c r="R9" s="695">
        <v>34715357.073822662</v>
      </c>
      <c r="S9" s="695">
        <v>11190094.717774004</v>
      </c>
      <c r="T9" s="695">
        <v>977383.61678599997</v>
      </c>
      <c r="U9" s="695">
        <v>0</v>
      </c>
      <c r="V9" s="695">
        <v>0</v>
      </c>
      <c r="W9" s="695">
        <v>0</v>
      </c>
      <c r="X9" s="695">
        <v>465439.145876</v>
      </c>
      <c r="Y9" s="695">
        <v>0</v>
      </c>
      <c r="Z9" s="695">
        <v>0</v>
      </c>
      <c r="AA9" s="705">
        <v>0</v>
      </c>
    </row>
    <row r="10" spans="1:27">
      <c r="A10" s="436" t="s">
        <v>146</v>
      </c>
      <c r="B10" s="437" t="s">
        <v>543</v>
      </c>
      <c r="C10" s="707">
        <v>1020387343.1334614</v>
      </c>
      <c r="D10" s="695">
        <v>824693771.3495121</v>
      </c>
      <c r="E10" s="695">
        <v>22873384.366733789</v>
      </c>
      <c r="F10" s="695">
        <v>0</v>
      </c>
      <c r="G10" s="695">
        <v>0</v>
      </c>
      <c r="H10" s="695">
        <v>114731685.24084021</v>
      </c>
      <c r="I10" s="695">
        <v>8280783.9242218928</v>
      </c>
      <c r="J10" s="695">
        <v>7345100.1475147642</v>
      </c>
      <c r="K10" s="695">
        <v>0</v>
      </c>
      <c r="L10" s="695">
        <v>79984502.926322758</v>
      </c>
      <c r="M10" s="695">
        <v>2552222.3078780002</v>
      </c>
      <c r="N10" s="695">
        <v>776371.61692799989</v>
      </c>
      <c r="O10" s="695">
        <v>6968724.3565751631</v>
      </c>
      <c r="P10" s="695">
        <v>13194075.243137864</v>
      </c>
      <c r="Q10" s="695">
        <v>905550.3970211657</v>
      </c>
      <c r="R10" s="695">
        <v>33877770.343822666</v>
      </c>
      <c r="S10" s="695">
        <v>10883907.807774004</v>
      </c>
      <c r="T10" s="695">
        <v>977383.61678599997</v>
      </c>
      <c r="U10" s="695">
        <v>0</v>
      </c>
      <c r="V10" s="695">
        <v>0</v>
      </c>
      <c r="W10" s="695">
        <v>0</v>
      </c>
      <c r="X10" s="695">
        <v>465439.145876</v>
      </c>
      <c r="Y10" s="695">
        <v>0</v>
      </c>
      <c r="Z10" s="695">
        <v>0</v>
      </c>
      <c r="AA10" s="705">
        <v>0</v>
      </c>
    </row>
    <row r="11" spans="1:27">
      <c r="A11" s="434" t="s">
        <v>544</v>
      </c>
      <c r="B11" s="435" t="s">
        <v>545</v>
      </c>
      <c r="C11" s="708">
        <v>333577905.78229547</v>
      </c>
      <c r="D11" s="695">
        <v>271994630.65891278</v>
      </c>
      <c r="E11" s="695">
        <v>19262360.262799788</v>
      </c>
      <c r="F11" s="695">
        <v>0</v>
      </c>
      <c r="G11" s="695">
        <v>0</v>
      </c>
      <c r="H11" s="695">
        <v>18266721.493290562</v>
      </c>
      <c r="I11" s="695">
        <v>0</v>
      </c>
      <c r="J11" s="695">
        <v>6907858.3851927649</v>
      </c>
      <c r="K11" s="695">
        <v>0</v>
      </c>
      <c r="L11" s="695">
        <v>42339170.013306141</v>
      </c>
      <c r="M11" s="695">
        <v>2130371.0524660004</v>
      </c>
      <c r="N11" s="695">
        <v>776371.61692799989</v>
      </c>
      <c r="O11" s="695">
        <v>4532553.8261763584</v>
      </c>
      <c r="P11" s="695">
        <v>13194075.243137864</v>
      </c>
      <c r="Q11" s="695">
        <v>153485.845978</v>
      </c>
      <c r="R11" s="695">
        <v>851098.770104</v>
      </c>
      <c r="S11" s="695">
        <v>9875332.8053300008</v>
      </c>
      <c r="T11" s="695">
        <v>977383.61678599997</v>
      </c>
      <c r="U11" s="695">
        <v>0</v>
      </c>
      <c r="V11" s="695">
        <v>0</v>
      </c>
      <c r="W11" s="695">
        <v>0</v>
      </c>
      <c r="X11" s="695">
        <v>465439.145876</v>
      </c>
      <c r="Y11" s="695">
        <v>0</v>
      </c>
      <c r="Z11" s="695">
        <v>0</v>
      </c>
      <c r="AA11" s="705">
        <v>0</v>
      </c>
    </row>
    <row r="12" spans="1:27">
      <c r="A12" s="434" t="s">
        <v>546</v>
      </c>
      <c r="B12" s="435" t="s">
        <v>547</v>
      </c>
      <c r="C12" s="708">
        <v>159045872.60002807</v>
      </c>
      <c r="D12" s="695">
        <v>154292183.61725691</v>
      </c>
      <c r="E12" s="695">
        <v>0</v>
      </c>
      <c r="F12" s="695">
        <v>0</v>
      </c>
      <c r="G12" s="695">
        <v>0</v>
      </c>
      <c r="H12" s="695">
        <v>697309.55999999994</v>
      </c>
      <c r="I12" s="695">
        <v>0</v>
      </c>
      <c r="J12" s="695">
        <v>0</v>
      </c>
      <c r="K12" s="695">
        <v>0</v>
      </c>
      <c r="L12" s="695">
        <v>4056379.4227711661</v>
      </c>
      <c r="M12" s="695">
        <v>421851.25541200006</v>
      </c>
      <c r="N12" s="695">
        <v>0</v>
      </c>
      <c r="O12" s="695">
        <v>598935.26</v>
      </c>
      <c r="P12" s="695">
        <v>0</v>
      </c>
      <c r="Q12" s="695">
        <v>752064.55104316573</v>
      </c>
      <c r="R12" s="695">
        <v>1768524.7963159999</v>
      </c>
      <c r="S12" s="695">
        <v>515003.56</v>
      </c>
      <c r="T12" s="695">
        <v>0</v>
      </c>
      <c r="U12" s="695">
        <v>0</v>
      </c>
      <c r="V12" s="695">
        <v>0</v>
      </c>
      <c r="W12" s="695">
        <v>0</v>
      </c>
      <c r="X12" s="695">
        <v>0</v>
      </c>
      <c r="Y12" s="695">
        <v>0</v>
      </c>
      <c r="Z12" s="695">
        <v>0</v>
      </c>
      <c r="AA12" s="705">
        <v>0</v>
      </c>
    </row>
    <row r="13" spans="1:27">
      <c r="A13" s="434" t="s">
        <v>548</v>
      </c>
      <c r="B13" s="435" t="s">
        <v>549</v>
      </c>
      <c r="C13" s="708">
        <v>57553859.386157289</v>
      </c>
      <c r="D13" s="695">
        <v>49691845.295758478</v>
      </c>
      <c r="E13" s="695">
        <v>0</v>
      </c>
      <c r="F13" s="695">
        <v>0</v>
      </c>
      <c r="G13" s="695">
        <v>0</v>
      </c>
      <c r="H13" s="695">
        <v>6024778.8200000003</v>
      </c>
      <c r="I13" s="695">
        <v>0</v>
      </c>
      <c r="J13" s="695">
        <v>0</v>
      </c>
      <c r="K13" s="695">
        <v>0</v>
      </c>
      <c r="L13" s="695">
        <v>1837235.2703988054</v>
      </c>
      <c r="M13" s="695">
        <v>0</v>
      </c>
      <c r="N13" s="695">
        <v>0</v>
      </c>
      <c r="O13" s="695">
        <v>1837235.2703988054</v>
      </c>
      <c r="P13" s="695">
        <v>0</v>
      </c>
      <c r="Q13" s="695">
        <v>0</v>
      </c>
      <c r="R13" s="695">
        <v>0</v>
      </c>
      <c r="S13" s="695">
        <v>0</v>
      </c>
      <c r="T13" s="695">
        <v>0</v>
      </c>
      <c r="U13" s="695">
        <v>0</v>
      </c>
      <c r="V13" s="695">
        <v>0</v>
      </c>
      <c r="W13" s="695">
        <v>0</v>
      </c>
      <c r="X13" s="695">
        <v>0</v>
      </c>
      <c r="Y13" s="695">
        <v>0</v>
      </c>
      <c r="Z13" s="695">
        <v>0</v>
      </c>
      <c r="AA13" s="705">
        <v>0</v>
      </c>
    </row>
    <row r="14" spans="1:27">
      <c r="A14" s="434" t="s">
        <v>550</v>
      </c>
      <c r="B14" s="435" t="s">
        <v>551</v>
      </c>
      <c r="C14" s="708">
        <v>470209705.36498076</v>
      </c>
      <c r="D14" s="695">
        <v>348715111.77758467</v>
      </c>
      <c r="E14" s="695">
        <v>3611024.1039339998</v>
      </c>
      <c r="F14" s="695">
        <v>0</v>
      </c>
      <c r="G14" s="695">
        <v>0</v>
      </c>
      <c r="H14" s="695">
        <v>89742875.367549613</v>
      </c>
      <c r="I14" s="695">
        <v>8280783.9242218928</v>
      </c>
      <c r="J14" s="695">
        <v>437241.762322</v>
      </c>
      <c r="K14" s="695">
        <v>0</v>
      </c>
      <c r="L14" s="695">
        <v>31751718.219846662</v>
      </c>
      <c r="M14" s="695">
        <v>0</v>
      </c>
      <c r="N14" s="695">
        <v>0</v>
      </c>
      <c r="O14" s="695">
        <v>0</v>
      </c>
      <c r="P14" s="695">
        <v>0</v>
      </c>
      <c r="Q14" s="695">
        <v>0</v>
      </c>
      <c r="R14" s="695">
        <v>31258146.777402662</v>
      </c>
      <c r="S14" s="695">
        <v>493571.44244399999</v>
      </c>
      <c r="T14" s="695">
        <v>0</v>
      </c>
      <c r="U14" s="695">
        <v>0</v>
      </c>
      <c r="V14" s="695">
        <v>0</v>
      </c>
      <c r="W14" s="695">
        <v>0</v>
      </c>
      <c r="X14" s="695">
        <v>0</v>
      </c>
      <c r="Y14" s="695">
        <v>0</v>
      </c>
      <c r="Z14" s="695">
        <v>0</v>
      </c>
      <c r="AA14" s="705">
        <v>0</v>
      </c>
    </row>
    <row r="15" spans="1:27">
      <c r="A15" s="433">
        <v>1.2</v>
      </c>
      <c r="B15" s="431" t="s">
        <v>863</v>
      </c>
      <c r="C15" s="706">
        <v>33485430.808709152</v>
      </c>
      <c r="D15" s="695">
        <v>4982170.6331926798</v>
      </c>
      <c r="E15" s="695">
        <v>29709.305974430277</v>
      </c>
      <c r="F15" s="695">
        <v>0</v>
      </c>
      <c r="G15" s="695">
        <v>0</v>
      </c>
      <c r="H15" s="695">
        <v>10848375.57632144</v>
      </c>
      <c r="I15" s="695">
        <v>1450897.2318968372</v>
      </c>
      <c r="J15" s="695">
        <v>40213.107984995513</v>
      </c>
      <c r="K15" s="695">
        <v>0</v>
      </c>
      <c r="L15" s="695">
        <v>17651465.086361695</v>
      </c>
      <c r="M15" s="695">
        <v>24037.995804191905</v>
      </c>
      <c r="N15" s="695">
        <v>27105.9486747919</v>
      </c>
      <c r="O15" s="695">
        <v>124571.30582736612</v>
      </c>
      <c r="P15" s="695">
        <v>66509.908318990972</v>
      </c>
      <c r="Q15" s="695">
        <v>1066959.1516574337</v>
      </c>
      <c r="R15" s="695">
        <v>15084716.934889976</v>
      </c>
      <c r="S15" s="695">
        <v>856128.85938227596</v>
      </c>
      <c r="T15" s="695">
        <v>3419.5128333703497</v>
      </c>
      <c r="U15" s="695">
        <v>0</v>
      </c>
      <c r="V15" s="695">
        <v>0</v>
      </c>
      <c r="W15" s="695">
        <v>0</v>
      </c>
      <c r="X15" s="695">
        <v>2327.1957293800001</v>
      </c>
      <c r="Y15" s="695">
        <v>0</v>
      </c>
      <c r="Z15" s="695">
        <v>0</v>
      </c>
      <c r="AA15" s="705">
        <v>0</v>
      </c>
    </row>
    <row r="16" spans="1:27">
      <c r="A16" s="432">
        <v>1.3</v>
      </c>
      <c r="B16" s="431" t="s">
        <v>552</v>
      </c>
      <c r="C16" s="430"/>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8"/>
    </row>
    <row r="17" spans="1:27" ht="25.5">
      <c r="A17" s="425" t="s">
        <v>553</v>
      </c>
      <c r="B17" s="427" t="s">
        <v>554</v>
      </c>
      <c r="C17" s="709">
        <v>1123868915.1554844</v>
      </c>
      <c r="D17" s="695">
        <v>926556932.64714658</v>
      </c>
      <c r="E17" s="695">
        <v>22299406.049983349</v>
      </c>
      <c r="F17" s="695">
        <v>0</v>
      </c>
      <c r="G17" s="695">
        <v>0</v>
      </c>
      <c r="H17" s="695">
        <v>114731685.24084021</v>
      </c>
      <c r="I17" s="695">
        <v>8280783.9242218928</v>
      </c>
      <c r="J17" s="695">
        <v>7345100.1475147642</v>
      </c>
      <c r="K17" s="695">
        <v>0</v>
      </c>
      <c r="L17" s="695">
        <v>81602913.650709376</v>
      </c>
      <c r="M17" s="695">
        <v>2552222.3078780002</v>
      </c>
      <c r="N17" s="695">
        <v>776371.61692799989</v>
      </c>
      <c r="O17" s="695">
        <v>6968724.3565751631</v>
      </c>
      <c r="P17" s="695">
        <v>13301981.663137864</v>
      </c>
      <c r="Q17" s="695">
        <v>1085383.0985073508</v>
      </c>
      <c r="R17" s="695">
        <v>32258899.229018465</v>
      </c>
      <c r="S17" s="695">
        <v>11143610.155330002</v>
      </c>
      <c r="T17" s="695">
        <v>977383.61678599997</v>
      </c>
      <c r="U17" s="695">
        <v>0</v>
      </c>
      <c r="V17" s="695">
        <v>0</v>
      </c>
      <c r="W17" s="695">
        <v>0</v>
      </c>
      <c r="X17" s="695">
        <v>465439.145876</v>
      </c>
      <c r="Y17" s="695">
        <v>0</v>
      </c>
      <c r="Z17" s="695">
        <v>0</v>
      </c>
      <c r="AA17" s="705">
        <v>0</v>
      </c>
    </row>
    <row r="18" spans="1:27" ht="25.5">
      <c r="A18" s="423" t="s">
        <v>555</v>
      </c>
      <c r="B18" s="424" t="s">
        <v>556</v>
      </c>
      <c r="C18" s="710">
        <v>842722861.72127306</v>
      </c>
      <c r="D18" s="695">
        <v>681996786.3578068</v>
      </c>
      <c r="E18" s="695">
        <v>22299406.049983349</v>
      </c>
      <c r="F18" s="695">
        <v>0</v>
      </c>
      <c r="G18" s="695">
        <v>0</v>
      </c>
      <c r="H18" s="695">
        <v>87829362.610816911</v>
      </c>
      <c r="I18" s="695">
        <v>6598661.256370239</v>
      </c>
      <c r="J18" s="695">
        <v>7302460.245922002</v>
      </c>
      <c r="K18" s="695">
        <v>0</v>
      </c>
      <c r="L18" s="695">
        <v>71919329.135862842</v>
      </c>
      <c r="M18" s="695">
        <v>2552222.3078780002</v>
      </c>
      <c r="N18" s="695">
        <v>776371.61692799989</v>
      </c>
      <c r="O18" s="695">
        <v>6968724.3565751631</v>
      </c>
      <c r="P18" s="695">
        <v>13194075.243137864</v>
      </c>
      <c r="Q18" s="695">
        <v>905550.3970211657</v>
      </c>
      <c r="R18" s="695">
        <v>25859081.115806729</v>
      </c>
      <c r="S18" s="695">
        <v>10837423.245330002</v>
      </c>
      <c r="T18" s="695">
        <v>977383.61678599997</v>
      </c>
      <c r="U18" s="695">
        <v>0</v>
      </c>
      <c r="V18" s="695">
        <v>0</v>
      </c>
      <c r="W18" s="695">
        <v>0</v>
      </c>
      <c r="X18" s="695">
        <v>465439.145876</v>
      </c>
      <c r="Y18" s="695">
        <v>0</v>
      </c>
      <c r="Z18" s="695">
        <v>0</v>
      </c>
      <c r="AA18" s="705">
        <v>0</v>
      </c>
    </row>
    <row r="19" spans="1:27">
      <c r="A19" s="425" t="s">
        <v>557</v>
      </c>
      <c r="B19" s="426" t="s">
        <v>558</v>
      </c>
      <c r="C19" s="711">
        <v>1973545817.2082164</v>
      </c>
      <c r="D19" s="695">
        <v>1760328988.4600434</v>
      </c>
      <c r="E19" s="695">
        <v>24827939.006187167</v>
      </c>
      <c r="F19" s="695">
        <v>0</v>
      </c>
      <c r="G19" s="695">
        <v>0</v>
      </c>
      <c r="H19" s="695">
        <v>119564353.58013234</v>
      </c>
      <c r="I19" s="695">
        <v>3291611.2319592214</v>
      </c>
      <c r="J19" s="695">
        <v>7951625.802527871</v>
      </c>
      <c r="K19" s="695">
        <v>0</v>
      </c>
      <c r="L19" s="695">
        <v>80519354.08482638</v>
      </c>
      <c r="M19" s="695">
        <v>3866437.8418549728</v>
      </c>
      <c r="N19" s="695">
        <v>2138194.3479178846</v>
      </c>
      <c r="O19" s="695">
        <v>11562207.426865555</v>
      </c>
      <c r="P19" s="695">
        <v>21111324.516328983</v>
      </c>
      <c r="Q19" s="695">
        <v>4910803.3942532176</v>
      </c>
      <c r="R19" s="695">
        <v>8988433.7879866511</v>
      </c>
      <c r="S19" s="695">
        <v>12520032.894954016</v>
      </c>
      <c r="T19" s="695">
        <v>13133121.083214002</v>
      </c>
      <c r="U19" s="695">
        <v>0</v>
      </c>
      <c r="V19" s="695">
        <v>0</v>
      </c>
      <c r="W19" s="695">
        <v>0</v>
      </c>
      <c r="X19" s="695">
        <v>1635005.2541240004</v>
      </c>
      <c r="Y19" s="695">
        <v>0</v>
      </c>
      <c r="Z19" s="695">
        <v>0</v>
      </c>
      <c r="AA19" s="705">
        <v>0</v>
      </c>
    </row>
    <row r="20" spans="1:27">
      <c r="A20" s="423" t="s">
        <v>559</v>
      </c>
      <c r="B20" s="424" t="s">
        <v>560</v>
      </c>
      <c r="C20" s="710">
        <v>757799667.56749284</v>
      </c>
      <c r="D20" s="695">
        <v>648148546.21069765</v>
      </c>
      <c r="E20" s="695">
        <v>11695508.838425035</v>
      </c>
      <c r="F20" s="695">
        <v>0</v>
      </c>
      <c r="G20" s="695">
        <v>0</v>
      </c>
      <c r="H20" s="695">
        <v>28697869.61690031</v>
      </c>
      <c r="I20" s="695">
        <v>0</v>
      </c>
      <c r="J20" s="695">
        <v>5217675.0606072368</v>
      </c>
      <c r="K20" s="695">
        <v>0</v>
      </c>
      <c r="L20" s="695">
        <v>67820130.656681493</v>
      </c>
      <c r="M20" s="695">
        <v>3856334.5601172098</v>
      </c>
      <c r="N20" s="695">
        <v>2107206.0521634012</v>
      </c>
      <c r="O20" s="695">
        <v>8350028.5818146039</v>
      </c>
      <c r="P20" s="695">
        <v>20838829.116328984</v>
      </c>
      <c r="Q20" s="695">
        <v>4512263.6375063881</v>
      </c>
      <c r="R20" s="695">
        <v>1896519.1329171166</v>
      </c>
      <c r="S20" s="695">
        <v>11072732.984081773</v>
      </c>
      <c r="T20" s="695">
        <v>13133121.083214002</v>
      </c>
      <c r="U20" s="695">
        <v>0</v>
      </c>
      <c r="V20" s="695">
        <v>0</v>
      </c>
      <c r="W20" s="695">
        <v>0</v>
      </c>
      <c r="X20" s="695">
        <v>1635005.2541240004</v>
      </c>
      <c r="Y20" s="695">
        <v>0</v>
      </c>
      <c r="Z20" s="695">
        <v>0</v>
      </c>
      <c r="AA20" s="705">
        <v>0</v>
      </c>
    </row>
    <row r="21" spans="1:27">
      <c r="A21" s="422">
        <v>1.4</v>
      </c>
      <c r="B21" s="421" t="s">
        <v>649</v>
      </c>
      <c r="C21" s="712">
        <v>3991758.6669999999</v>
      </c>
      <c r="D21" s="695">
        <v>1991720.0690000001</v>
      </c>
      <c r="E21" s="695">
        <v>0</v>
      </c>
      <c r="F21" s="695">
        <v>0</v>
      </c>
      <c r="G21" s="695">
        <v>0</v>
      </c>
      <c r="H21" s="695">
        <v>1693851.6880000001</v>
      </c>
      <c r="I21" s="695">
        <v>1693851.6880000001</v>
      </c>
      <c r="J21" s="695">
        <v>0</v>
      </c>
      <c r="K21" s="695">
        <v>0</v>
      </c>
      <c r="L21" s="695">
        <v>306186.90999999997</v>
      </c>
      <c r="M21" s="695">
        <v>0</v>
      </c>
      <c r="N21" s="695">
        <v>0</v>
      </c>
      <c r="O21" s="695">
        <v>0</v>
      </c>
      <c r="P21" s="695">
        <v>0</v>
      </c>
      <c r="Q21" s="695">
        <v>0</v>
      </c>
      <c r="R21" s="695">
        <v>0</v>
      </c>
      <c r="S21" s="695">
        <v>306186.90999999997</v>
      </c>
      <c r="T21" s="695">
        <v>0</v>
      </c>
      <c r="U21" s="695">
        <v>0</v>
      </c>
      <c r="V21" s="695">
        <v>0</v>
      </c>
      <c r="W21" s="695">
        <v>0</v>
      </c>
      <c r="X21" s="695">
        <v>0</v>
      </c>
      <c r="Y21" s="695">
        <v>0</v>
      </c>
      <c r="Z21" s="695">
        <v>0</v>
      </c>
      <c r="AA21" s="705">
        <v>0</v>
      </c>
    </row>
    <row r="22" spans="1:27" ht="13.5" thickBot="1">
      <c r="A22" s="420">
        <v>1.5</v>
      </c>
      <c r="B22" s="419" t="s">
        <v>650</v>
      </c>
      <c r="C22" s="713">
        <v>0</v>
      </c>
      <c r="D22" s="714">
        <v>0</v>
      </c>
      <c r="E22" s="714">
        <v>0</v>
      </c>
      <c r="F22" s="714">
        <v>0</v>
      </c>
      <c r="G22" s="714">
        <v>0</v>
      </c>
      <c r="H22" s="714">
        <v>0</v>
      </c>
      <c r="I22" s="714">
        <v>0</v>
      </c>
      <c r="J22" s="714">
        <v>0</v>
      </c>
      <c r="K22" s="714">
        <v>0</v>
      </c>
      <c r="L22" s="714">
        <v>0</v>
      </c>
      <c r="M22" s="714">
        <v>0</v>
      </c>
      <c r="N22" s="714">
        <v>0</v>
      </c>
      <c r="O22" s="714">
        <v>0</v>
      </c>
      <c r="P22" s="714">
        <v>0</v>
      </c>
      <c r="Q22" s="714">
        <v>0</v>
      </c>
      <c r="R22" s="714">
        <v>0</v>
      </c>
      <c r="S22" s="714">
        <v>0</v>
      </c>
      <c r="T22" s="714">
        <v>0</v>
      </c>
      <c r="U22" s="714">
        <v>0</v>
      </c>
      <c r="V22" s="714">
        <v>0</v>
      </c>
      <c r="W22" s="714">
        <v>0</v>
      </c>
      <c r="X22" s="714">
        <v>0</v>
      </c>
      <c r="Y22" s="714">
        <v>0</v>
      </c>
      <c r="Z22" s="714">
        <v>0</v>
      </c>
      <c r="AA22" s="715">
        <v>0</v>
      </c>
    </row>
    <row r="28" spans="1:27">
      <c r="C28" s="700"/>
      <c r="D28" s="700"/>
      <c r="E28" s="700"/>
      <c r="F28" s="700"/>
      <c r="G28" s="700"/>
      <c r="H28" s="700"/>
      <c r="I28" s="700"/>
      <c r="J28" s="700"/>
      <c r="K28" s="700"/>
      <c r="L28" s="700"/>
      <c r="M28" s="700"/>
      <c r="N28" s="700"/>
      <c r="O28" s="700"/>
      <c r="P28" s="700"/>
      <c r="Q28" s="700"/>
      <c r="R28" s="700"/>
      <c r="S28" s="700"/>
      <c r="T28" s="700"/>
      <c r="U28" s="700"/>
      <c r="V28" s="700"/>
      <c r="W28" s="700"/>
      <c r="X28" s="700"/>
      <c r="Y28" s="700"/>
      <c r="Z28" s="700"/>
      <c r="AA28" s="700"/>
    </row>
    <row r="29" spans="1:27">
      <c r="C29" s="700"/>
      <c r="D29" s="700"/>
      <c r="E29" s="700"/>
      <c r="F29" s="700"/>
      <c r="G29" s="700"/>
      <c r="H29" s="700"/>
      <c r="I29" s="700"/>
      <c r="J29" s="700"/>
      <c r="K29" s="700"/>
      <c r="L29" s="700"/>
      <c r="M29" s="700"/>
      <c r="N29" s="700"/>
      <c r="O29" s="700"/>
      <c r="P29" s="700"/>
      <c r="Q29" s="700"/>
      <c r="R29" s="700"/>
      <c r="S29" s="700"/>
      <c r="T29" s="700"/>
      <c r="U29" s="700"/>
      <c r="V29" s="700"/>
      <c r="W29" s="700"/>
      <c r="X29" s="700"/>
      <c r="Y29" s="700"/>
      <c r="Z29" s="700"/>
      <c r="AA29" s="700"/>
    </row>
    <row r="30" spans="1:27">
      <c r="C30" s="700"/>
      <c r="D30" s="700"/>
      <c r="E30" s="700"/>
      <c r="F30" s="700"/>
      <c r="G30" s="700"/>
      <c r="H30" s="700"/>
      <c r="I30" s="700"/>
      <c r="J30" s="700"/>
      <c r="K30" s="700"/>
      <c r="L30" s="700"/>
      <c r="M30" s="700"/>
      <c r="N30" s="700"/>
      <c r="O30" s="700"/>
      <c r="P30" s="700"/>
      <c r="Q30" s="700"/>
      <c r="R30" s="700"/>
      <c r="S30" s="700"/>
      <c r="T30" s="700"/>
      <c r="U30" s="700"/>
      <c r="V30" s="700"/>
      <c r="W30" s="700"/>
      <c r="X30" s="700"/>
      <c r="Y30" s="700"/>
      <c r="Z30" s="700"/>
      <c r="AA30" s="700"/>
    </row>
    <row r="31" spans="1:27">
      <c r="C31" s="700"/>
      <c r="D31" s="700"/>
      <c r="E31" s="700"/>
      <c r="F31" s="700"/>
      <c r="G31" s="700"/>
      <c r="H31" s="700"/>
      <c r="I31" s="700"/>
      <c r="J31" s="700"/>
      <c r="K31" s="700"/>
      <c r="L31" s="700"/>
      <c r="M31" s="700"/>
      <c r="N31" s="700"/>
      <c r="O31" s="700"/>
      <c r="P31" s="700"/>
      <c r="Q31" s="700"/>
      <c r="R31" s="700"/>
      <c r="S31" s="700"/>
      <c r="T31" s="700"/>
      <c r="U31" s="700"/>
      <c r="V31" s="700"/>
      <c r="W31" s="700"/>
      <c r="X31" s="700"/>
      <c r="Y31" s="700"/>
      <c r="Z31" s="700"/>
      <c r="AA31" s="700"/>
    </row>
    <row r="32" spans="1:27">
      <c r="C32" s="700"/>
      <c r="D32" s="700"/>
      <c r="E32" s="700"/>
      <c r="F32" s="700"/>
      <c r="G32" s="700"/>
      <c r="H32" s="700"/>
      <c r="I32" s="700"/>
      <c r="J32" s="700"/>
      <c r="K32" s="700"/>
      <c r="L32" s="700"/>
      <c r="M32" s="700"/>
      <c r="N32" s="700"/>
      <c r="O32" s="700"/>
      <c r="P32" s="700"/>
      <c r="Q32" s="700"/>
      <c r="R32" s="700"/>
      <c r="S32" s="700"/>
      <c r="T32" s="700"/>
      <c r="U32" s="700"/>
      <c r="V32" s="700"/>
      <c r="W32" s="700"/>
      <c r="X32" s="700"/>
      <c r="Y32" s="700"/>
      <c r="Z32" s="700"/>
      <c r="AA32" s="700"/>
    </row>
    <row r="33" spans="3:27">
      <c r="C33" s="700"/>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row>
    <row r="34" spans="3:27">
      <c r="C34" s="700"/>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row>
    <row r="35" spans="3:27">
      <c r="C35" s="700"/>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row>
    <row r="36" spans="3:27">
      <c r="C36" s="700"/>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row>
    <row r="37" spans="3:27">
      <c r="C37" s="700"/>
      <c r="D37" s="700"/>
      <c r="E37" s="700"/>
      <c r="F37" s="700"/>
      <c r="G37" s="700"/>
      <c r="H37" s="700"/>
      <c r="I37" s="700"/>
      <c r="J37" s="700"/>
      <c r="K37" s="700"/>
      <c r="L37" s="700"/>
      <c r="M37" s="700"/>
      <c r="N37" s="700"/>
      <c r="O37" s="700"/>
      <c r="P37" s="700"/>
      <c r="Q37" s="700"/>
      <c r="R37" s="700"/>
      <c r="S37" s="700"/>
      <c r="T37" s="700"/>
      <c r="U37" s="700"/>
      <c r="V37" s="700"/>
      <c r="W37" s="700"/>
      <c r="X37" s="700"/>
      <c r="Y37" s="700"/>
      <c r="Z37" s="700"/>
      <c r="AA37" s="700"/>
    </row>
    <row r="38" spans="3:27">
      <c r="C38" s="700"/>
      <c r="D38" s="700"/>
      <c r="E38" s="700"/>
      <c r="F38" s="700"/>
      <c r="G38" s="700"/>
      <c r="H38" s="700"/>
      <c r="I38" s="700"/>
      <c r="J38" s="700"/>
      <c r="K38" s="700"/>
      <c r="L38" s="700"/>
      <c r="M38" s="700"/>
      <c r="N38" s="700"/>
      <c r="O38" s="700"/>
      <c r="P38" s="700"/>
      <c r="Q38" s="700"/>
      <c r="R38" s="700"/>
      <c r="S38" s="700"/>
      <c r="T38" s="700"/>
      <c r="U38" s="700"/>
      <c r="V38" s="700"/>
      <c r="W38" s="700"/>
      <c r="X38" s="700"/>
      <c r="Y38" s="700"/>
      <c r="Z38" s="700"/>
      <c r="AA38" s="700"/>
    </row>
    <row r="39" spans="3:27">
      <c r="C39" s="700"/>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row>
    <row r="40" spans="3:27">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row>
    <row r="41" spans="3:27">
      <c r="C41" s="700"/>
      <c r="D41" s="700"/>
      <c r="E41" s="700"/>
      <c r="F41" s="700"/>
      <c r="G41" s="700"/>
      <c r="H41" s="700"/>
      <c r="I41" s="700"/>
      <c r="J41" s="700"/>
      <c r="K41" s="700"/>
      <c r="L41" s="700"/>
      <c r="M41" s="700"/>
      <c r="N41" s="700"/>
      <c r="O41" s="700"/>
      <c r="P41" s="700"/>
      <c r="Q41" s="700"/>
      <c r="R41" s="700"/>
      <c r="S41" s="700"/>
      <c r="T41" s="700"/>
      <c r="U41" s="700"/>
      <c r="V41" s="700"/>
      <c r="W41" s="700"/>
      <c r="X41" s="700"/>
      <c r="Y41" s="700"/>
      <c r="Z41" s="700"/>
      <c r="AA41" s="700"/>
    </row>
    <row r="42" spans="3:27">
      <c r="C42" s="700"/>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O72"/>
  <sheetViews>
    <sheetView showGridLines="0" zoomScale="80" zoomScaleNormal="80" workbookViewId="0"/>
  </sheetViews>
  <sheetFormatPr defaultRowHeight="15"/>
  <cols>
    <col min="1" max="1" width="8.7109375" style="363"/>
    <col min="2" max="2" width="69.28515625" style="342" customWidth="1"/>
    <col min="3" max="3" width="13.42578125" style="602" bestFit="1" customWidth="1"/>
    <col min="4" max="5" width="15.140625" style="602" bestFit="1" customWidth="1"/>
    <col min="6" max="6" width="13.42578125" style="602" bestFit="1" customWidth="1"/>
    <col min="7" max="8" width="15.140625" style="602" bestFit="1" customWidth="1"/>
  </cols>
  <sheetData>
    <row r="1" spans="1:15" ht="15.75">
      <c r="A1" s="13" t="s">
        <v>97</v>
      </c>
      <c r="B1" s="221" t="str">
        <f>Info!C2</f>
        <v>სს "ბანკი ქართუ"</v>
      </c>
      <c r="C1" s="600"/>
      <c r="D1" s="601"/>
      <c r="E1" s="601"/>
      <c r="F1" s="601"/>
      <c r="G1" s="601"/>
    </row>
    <row r="2" spans="1:15" ht="15.75">
      <c r="A2" s="13" t="s">
        <v>98</v>
      </c>
      <c r="B2" s="593">
        <f>'1. key ratios'!B2</f>
        <v>46112</v>
      </c>
      <c r="C2" s="600"/>
      <c r="D2" s="601"/>
      <c r="E2" s="601"/>
      <c r="F2" s="601"/>
      <c r="G2" s="601"/>
    </row>
    <row r="3" spans="1:15" ht="15.75">
      <c r="A3" s="13"/>
      <c r="B3" s="12"/>
      <c r="C3" s="600"/>
      <c r="D3" s="601"/>
      <c r="E3" s="601"/>
      <c r="F3" s="601"/>
      <c r="G3" s="601"/>
    </row>
    <row r="4" spans="1:15" ht="21" customHeight="1">
      <c r="A4" s="736" t="s">
        <v>25</v>
      </c>
      <c r="B4" s="737" t="s">
        <v>697</v>
      </c>
      <c r="C4" s="739" t="s">
        <v>103</v>
      </c>
      <c r="D4" s="739"/>
      <c r="E4" s="739"/>
      <c r="F4" s="739" t="s">
        <v>104</v>
      </c>
      <c r="G4" s="739"/>
      <c r="H4" s="740"/>
    </row>
    <row r="5" spans="1:15" ht="21" customHeight="1">
      <c r="A5" s="736"/>
      <c r="B5" s="738"/>
      <c r="C5" s="603" t="s">
        <v>26</v>
      </c>
      <c r="D5" s="603" t="s">
        <v>77</v>
      </c>
      <c r="E5" s="603" t="s">
        <v>66</v>
      </c>
      <c r="F5" s="603" t="s">
        <v>26</v>
      </c>
      <c r="G5" s="603" t="s">
        <v>77</v>
      </c>
      <c r="H5" s="603" t="s">
        <v>66</v>
      </c>
    </row>
    <row r="6" spans="1:15" ht="26.65" customHeight="1">
      <c r="A6" s="736"/>
      <c r="B6" s="317" t="s">
        <v>84</v>
      </c>
      <c r="C6" s="730"/>
      <c r="D6" s="731"/>
      <c r="E6" s="731"/>
      <c r="F6" s="731"/>
      <c r="G6" s="731"/>
      <c r="H6" s="732"/>
    </row>
    <row r="7" spans="1:15" ht="22.9" customHeight="1">
      <c r="A7" s="355">
        <v>1</v>
      </c>
      <c r="B7" s="318" t="s">
        <v>811</v>
      </c>
      <c r="C7" s="604">
        <f>SUM(C8:C10)</f>
        <v>96099447.29706496</v>
      </c>
      <c r="D7" s="604">
        <f>SUM(D8:D10)</f>
        <v>515009011.92944396</v>
      </c>
      <c r="E7" s="605">
        <f>C7+D7</f>
        <v>611108459.22650886</v>
      </c>
      <c r="F7" s="604">
        <f>SUM(F8:F10)</f>
        <v>51863463.016558528</v>
      </c>
      <c r="G7" s="604">
        <f>SUM(G8:G10)</f>
        <v>563022059.79377699</v>
      </c>
      <c r="H7" s="605">
        <f>F7+G7</f>
        <v>614885522.81033552</v>
      </c>
      <c r="J7" s="610"/>
      <c r="K7" s="610"/>
      <c r="L7" s="610"/>
      <c r="M7" s="610"/>
      <c r="N7" s="610"/>
      <c r="O7" s="610"/>
    </row>
    <row r="8" spans="1:15">
      <c r="A8" s="355">
        <v>1.1000000000000001</v>
      </c>
      <c r="B8" s="319" t="s">
        <v>85</v>
      </c>
      <c r="C8" s="604">
        <v>9384358.3000000007</v>
      </c>
      <c r="D8" s="604">
        <v>27572278.384</v>
      </c>
      <c r="E8" s="605">
        <f t="shared" ref="E8:E36" si="0">C8+D8</f>
        <v>36956636.684</v>
      </c>
      <c r="F8" s="604">
        <v>9187744.8000000007</v>
      </c>
      <c r="G8" s="604">
        <v>37109287.526199996</v>
      </c>
      <c r="H8" s="605">
        <f t="shared" ref="H8:H36" si="1">F8+G8</f>
        <v>46297032.326199993</v>
      </c>
      <c r="J8" s="610"/>
      <c r="K8" s="610"/>
      <c r="L8" s="610"/>
      <c r="M8" s="610"/>
      <c r="N8" s="610"/>
      <c r="O8" s="610"/>
    </row>
    <row r="9" spans="1:15">
      <c r="A9" s="355">
        <v>1.2</v>
      </c>
      <c r="B9" s="319" t="s">
        <v>86</v>
      </c>
      <c r="C9" s="604">
        <v>11142280.380000001</v>
      </c>
      <c r="D9" s="604">
        <v>256543829.52480268</v>
      </c>
      <c r="E9" s="605">
        <f t="shared" si="0"/>
        <v>267686109.90480268</v>
      </c>
      <c r="F9" s="604">
        <v>14712469.630000001</v>
      </c>
      <c r="G9" s="604">
        <v>270092167.60051972</v>
      </c>
      <c r="H9" s="605">
        <f t="shared" si="1"/>
        <v>284804637.23051971</v>
      </c>
      <c r="J9" s="610"/>
      <c r="K9" s="610"/>
      <c r="L9" s="610"/>
      <c r="M9" s="610"/>
      <c r="N9" s="610"/>
      <c r="O9" s="610"/>
    </row>
    <row r="10" spans="1:15">
      <c r="A10" s="355">
        <v>1.3</v>
      </c>
      <c r="B10" s="319" t="s">
        <v>87</v>
      </c>
      <c r="C10" s="604">
        <v>75572808.617064968</v>
      </c>
      <c r="D10" s="604">
        <v>230892904.0206413</v>
      </c>
      <c r="E10" s="605">
        <f t="shared" si="0"/>
        <v>306465712.63770628</v>
      </c>
      <c r="F10" s="604">
        <v>27963248.586558525</v>
      </c>
      <c r="G10" s="604">
        <v>255820604.66705734</v>
      </c>
      <c r="H10" s="605">
        <f t="shared" si="1"/>
        <v>283783853.25361586</v>
      </c>
      <c r="J10" s="610"/>
      <c r="K10" s="610"/>
      <c r="L10" s="610"/>
      <c r="M10" s="610"/>
      <c r="N10" s="610"/>
      <c r="O10" s="610"/>
    </row>
    <row r="11" spans="1:15">
      <c r="A11" s="355">
        <v>2</v>
      </c>
      <c r="B11" s="320" t="s">
        <v>698</v>
      </c>
      <c r="C11" s="604">
        <v>0</v>
      </c>
      <c r="D11" s="604">
        <v>0</v>
      </c>
      <c r="E11" s="605">
        <f t="shared" si="0"/>
        <v>0</v>
      </c>
      <c r="F11" s="604">
        <v>0</v>
      </c>
      <c r="G11" s="604">
        <v>0</v>
      </c>
      <c r="H11" s="605">
        <f t="shared" si="1"/>
        <v>0</v>
      </c>
      <c r="J11" s="610"/>
      <c r="K11" s="610"/>
      <c r="L11" s="610"/>
      <c r="M11" s="610"/>
      <c r="N11" s="610"/>
      <c r="O11" s="610"/>
    </row>
    <row r="12" spans="1:15">
      <c r="A12" s="355">
        <v>2.1</v>
      </c>
      <c r="B12" s="321" t="s">
        <v>699</v>
      </c>
      <c r="C12" s="604">
        <v>0</v>
      </c>
      <c r="D12" s="604">
        <v>0</v>
      </c>
      <c r="E12" s="605">
        <f t="shared" si="0"/>
        <v>0</v>
      </c>
      <c r="F12" s="604">
        <v>0</v>
      </c>
      <c r="G12" s="604">
        <v>0</v>
      </c>
      <c r="H12" s="605">
        <f t="shared" si="1"/>
        <v>0</v>
      </c>
      <c r="J12" s="610"/>
      <c r="K12" s="610"/>
      <c r="L12" s="610"/>
      <c r="M12" s="610"/>
      <c r="N12" s="610"/>
      <c r="O12" s="610"/>
    </row>
    <row r="13" spans="1:15" ht="26.65" customHeight="1">
      <c r="A13" s="355">
        <v>3</v>
      </c>
      <c r="B13" s="322" t="s">
        <v>700</v>
      </c>
      <c r="C13" s="604">
        <v>0</v>
      </c>
      <c r="D13" s="604">
        <v>0</v>
      </c>
      <c r="E13" s="605">
        <f t="shared" si="0"/>
        <v>0</v>
      </c>
      <c r="F13" s="604">
        <v>0</v>
      </c>
      <c r="G13" s="604">
        <v>0</v>
      </c>
      <c r="H13" s="605">
        <f t="shared" si="1"/>
        <v>0</v>
      </c>
      <c r="J13" s="610"/>
      <c r="K13" s="610"/>
      <c r="L13" s="610"/>
      <c r="M13" s="610"/>
      <c r="N13" s="610"/>
      <c r="O13" s="610"/>
    </row>
    <row r="14" spans="1:15" ht="26.65" customHeight="1">
      <c r="A14" s="355">
        <v>4</v>
      </c>
      <c r="B14" s="323" t="s">
        <v>701</v>
      </c>
      <c r="C14" s="604">
        <v>0</v>
      </c>
      <c r="D14" s="604">
        <v>0</v>
      </c>
      <c r="E14" s="605">
        <f t="shared" si="0"/>
        <v>0</v>
      </c>
      <c r="F14" s="604">
        <v>0</v>
      </c>
      <c r="G14" s="604">
        <v>0</v>
      </c>
      <c r="H14" s="605">
        <f t="shared" si="1"/>
        <v>0</v>
      </c>
      <c r="J14" s="610"/>
      <c r="K14" s="610"/>
      <c r="L14" s="610"/>
      <c r="M14" s="610"/>
      <c r="N14" s="610"/>
      <c r="O14" s="610"/>
    </row>
    <row r="15" spans="1:15" ht="24.4" customHeight="1">
      <c r="A15" s="355">
        <v>5</v>
      </c>
      <c r="B15" s="323" t="s">
        <v>702</v>
      </c>
      <c r="C15" s="606">
        <f>SUM(C16:C18)</f>
        <v>175637.53</v>
      </c>
      <c r="D15" s="606">
        <f>SUM(D16:D18)</f>
        <v>0</v>
      </c>
      <c r="E15" s="607">
        <f t="shared" si="0"/>
        <v>175637.53</v>
      </c>
      <c r="F15" s="606">
        <f>SUM(F16:F18)</f>
        <v>7408054.2999999998</v>
      </c>
      <c r="G15" s="606">
        <f>SUM(G16:G18)</f>
        <v>0</v>
      </c>
      <c r="H15" s="607">
        <f t="shared" si="1"/>
        <v>7408054.2999999998</v>
      </c>
      <c r="J15" s="610"/>
      <c r="K15" s="610"/>
      <c r="L15" s="610"/>
      <c r="M15" s="610"/>
      <c r="N15" s="610"/>
      <c r="O15" s="610"/>
    </row>
    <row r="16" spans="1:15">
      <c r="A16" s="355">
        <v>5.0999999999999996</v>
      </c>
      <c r="B16" s="324" t="s">
        <v>703</v>
      </c>
      <c r="C16" s="604">
        <v>175637.53</v>
      </c>
      <c r="D16" s="604">
        <v>0</v>
      </c>
      <c r="E16" s="605">
        <f t="shared" si="0"/>
        <v>175637.53</v>
      </c>
      <c r="F16" s="604">
        <v>175637.53</v>
      </c>
      <c r="G16" s="604">
        <v>0</v>
      </c>
      <c r="H16" s="605">
        <f t="shared" si="1"/>
        <v>175637.53</v>
      </c>
      <c r="J16" s="610"/>
      <c r="K16" s="610"/>
      <c r="L16" s="610"/>
      <c r="M16" s="610"/>
      <c r="N16" s="610"/>
      <c r="O16" s="610"/>
    </row>
    <row r="17" spans="1:15">
      <c r="A17" s="355">
        <v>5.2</v>
      </c>
      <c r="B17" s="324" t="s">
        <v>538</v>
      </c>
      <c r="C17" s="604">
        <v>0</v>
      </c>
      <c r="D17" s="604">
        <v>0</v>
      </c>
      <c r="E17" s="605">
        <f t="shared" si="0"/>
        <v>0</v>
      </c>
      <c r="F17" s="604">
        <v>7232416.7699999996</v>
      </c>
      <c r="G17" s="604">
        <v>0</v>
      </c>
      <c r="H17" s="605">
        <f t="shared" si="1"/>
        <v>7232416.7699999996</v>
      </c>
      <c r="J17" s="610"/>
      <c r="K17" s="610"/>
      <c r="L17" s="610"/>
      <c r="M17" s="610"/>
      <c r="N17" s="610"/>
      <c r="O17" s="610"/>
    </row>
    <row r="18" spans="1:15">
      <c r="A18" s="355">
        <v>5.3</v>
      </c>
      <c r="B18" s="324" t="s">
        <v>704</v>
      </c>
      <c r="C18" s="604">
        <v>0</v>
      </c>
      <c r="D18" s="604">
        <v>0</v>
      </c>
      <c r="E18" s="605">
        <f t="shared" si="0"/>
        <v>0</v>
      </c>
      <c r="F18" s="604">
        <v>0</v>
      </c>
      <c r="G18" s="604">
        <v>0</v>
      </c>
      <c r="H18" s="605">
        <f t="shared" si="1"/>
        <v>0</v>
      </c>
      <c r="J18" s="610"/>
      <c r="K18" s="610"/>
      <c r="L18" s="610"/>
      <c r="M18" s="610"/>
      <c r="N18" s="610"/>
      <c r="O18" s="610"/>
    </row>
    <row r="19" spans="1:15">
      <c r="A19" s="355">
        <v>6</v>
      </c>
      <c r="B19" s="322" t="s">
        <v>705</v>
      </c>
      <c r="C19" s="604">
        <f>SUM(C20:C21)</f>
        <v>613593567.75066447</v>
      </c>
      <c r="D19" s="604">
        <f>SUM(D20:D21)</f>
        <v>603383810.54694951</v>
      </c>
      <c r="E19" s="605">
        <f t="shared" si="0"/>
        <v>1216977378.2976141</v>
      </c>
      <c r="F19" s="604">
        <f>SUM(F20:F21)</f>
        <v>491083040.81970608</v>
      </c>
      <c r="G19" s="604">
        <f>SUM(G20:G21)</f>
        <v>609331053.35363483</v>
      </c>
      <c r="H19" s="605">
        <f t="shared" si="1"/>
        <v>1100414094.1733408</v>
      </c>
      <c r="J19" s="610"/>
      <c r="K19" s="610"/>
      <c r="L19" s="610"/>
      <c r="M19" s="610"/>
      <c r="N19" s="610"/>
      <c r="O19" s="610"/>
    </row>
    <row r="20" spans="1:15">
      <c r="A20" s="355">
        <v>6.1</v>
      </c>
      <c r="B20" s="324" t="s">
        <v>538</v>
      </c>
      <c r="C20" s="604">
        <v>75889429.706043974</v>
      </c>
      <c r="D20" s="604">
        <v>0</v>
      </c>
      <c r="E20" s="605">
        <f t="shared" si="0"/>
        <v>75889429.706043974</v>
      </c>
      <c r="F20" s="604">
        <v>60336411.374246351</v>
      </c>
      <c r="G20" s="604">
        <v>0</v>
      </c>
      <c r="H20" s="605">
        <f t="shared" si="1"/>
        <v>60336411.374246351</v>
      </c>
      <c r="J20" s="610"/>
      <c r="K20" s="610"/>
      <c r="L20" s="610"/>
      <c r="M20" s="610"/>
      <c r="N20" s="610"/>
      <c r="O20" s="610"/>
    </row>
    <row r="21" spans="1:15">
      <c r="A21" s="355">
        <v>6.2</v>
      </c>
      <c r="B21" s="324" t="s">
        <v>704</v>
      </c>
      <c r="C21" s="604">
        <v>537704138.04462051</v>
      </c>
      <c r="D21" s="604">
        <v>603383810.54694951</v>
      </c>
      <c r="E21" s="605">
        <f t="shared" si="0"/>
        <v>1141087948.5915699</v>
      </c>
      <c r="F21" s="604">
        <v>430746629.44545972</v>
      </c>
      <c r="G21" s="604">
        <v>609331053.35363483</v>
      </c>
      <c r="H21" s="605">
        <f t="shared" si="1"/>
        <v>1040077682.7990946</v>
      </c>
      <c r="J21" s="610"/>
      <c r="K21" s="610"/>
      <c r="L21" s="610"/>
      <c r="M21" s="610"/>
      <c r="N21" s="610"/>
      <c r="O21" s="610"/>
    </row>
    <row r="22" spans="1:15">
      <c r="A22" s="355">
        <v>7</v>
      </c>
      <c r="B22" s="325" t="s">
        <v>706</v>
      </c>
      <c r="C22" s="604">
        <v>9772300</v>
      </c>
      <c r="D22" s="604">
        <v>0</v>
      </c>
      <c r="E22" s="605">
        <f t="shared" si="0"/>
        <v>9772300</v>
      </c>
      <c r="F22" s="604">
        <v>9522300</v>
      </c>
      <c r="G22" s="604">
        <v>0</v>
      </c>
      <c r="H22" s="605">
        <f t="shared" si="1"/>
        <v>9522300</v>
      </c>
      <c r="J22" s="610"/>
      <c r="K22" s="610"/>
      <c r="L22" s="610"/>
      <c r="M22" s="610"/>
      <c r="N22" s="610"/>
      <c r="O22" s="610"/>
    </row>
    <row r="23" spans="1:15" ht="21">
      <c r="A23" s="355">
        <v>8</v>
      </c>
      <c r="B23" s="326" t="s">
        <v>707</v>
      </c>
      <c r="C23" s="604">
        <v>0</v>
      </c>
      <c r="D23" s="604">
        <v>0</v>
      </c>
      <c r="E23" s="605">
        <f t="shared" si="0"/>
        <v>0</v>
      </c>
      <c r="F23" s="604">
        <v>0</v>
      </c>
      <c r="G23" s="604">
        <v>0</v>
      </c>
      <c r="H23" s="605">
        <f t="shared" si="1"/>
        <v>0</v>
      </c>
      <c r="J23" s="610"/>
      <c r="K23" s="610"/>
      <c r="L23" s="610"/>
      <c r="M23" s="610"/>
      <c r="N23" s="610"/>
      <c r="O23" s="610"/>
    </row>
    <row r="24" spans="1:15">
      <c r="A24" s="355">
        <v>9</v>
      </c>
      <c r="B24" s="323" t="s">
        <v>708</v>
      </c>
      <c r="C24" s="604">
        <f>SUM(C25:C26)</f>
        <v>24285653.962592997</v>
      </c>
      <c r="D24" s="604">
        <f>SUM(D25:D26)</f>
        <v>0</v>
      </c>
      <c r="E24" s="605">
        <f t="shared" si="0"/>
        <v>24285653.962592997</v>
      </c>
      <c r="F24" s="604">
        <f>SUM(F25:F26)</f>
        <v>22057337.192990594</v>
      </c>
      <c r="G24" s="604">
        <f>SUM(G25:G26)</f>
        <v>0</v>
      </c>
      <c r="H24" s="605">
        <f t="shared" si="1"/>
        <v>22057337.192990594</v>
      </c>
      <c r="J24" s="610"/>
      <c r="K24" s="610"/>
      <c r="L24" s="610"/>
      <c r="M24" s="610"/>
      <c r="N24" s="610"/>
      <c r="O24" s="610"/>
    </row>
    <row r="25" spans="1:15">
      <c r="A25" s="355">
        <v>9.1</v>
      </c>
      <c r="B25" s="327" t="s">
        <v>709</v>
      </c>
      <c r="C25" s="604">
        <v>24285653.962592997</v>
      </c>
      <c r="D25" s="604">
        <v>0</v>
      </c>
      <c r="E25" s="605">
        <f t="shared" si="0"/>
        <v>24285653.962592997</v>
      </c>
      <c r="F25" s="604">
        <v>22057337.192990594</v>
      </c>
      <c r="G25" s="604">
        <v>0</v>
      </c>
      <c r="H25" s="605">
        <f t="shared" si="1"/>
        <v>22057337.192990594</v>
      </c>
      <c r="J25" s="610"/>
      <c r="K25" s="610"/>
      <c r="L25" s="610"/>
      <c r="M25" s="610"/>
      <c r="N25" s="610"/>
      <c r="O25" s="610"/>
    </row>
    <row r="26" spans="1:15">
      <c r="A26" s="355">
        <v>9.1999999999999993</v>
      </c>
      <c r="B26" s="327" t="s">
        <v>710</v>
      </c>
      <c r="C26" s="604">
        <v>0</v>
      </c>
      <c r="D26" s="604">
        <v>0</v>
      </c>
      <c r="E26" s="605">
        <f t="shared" si="0"/>
        <v>0</v>
      </c>
      <c r="F26" s="604">
        <v>0</v>
      </c>
      <c r="G26" s="604">
        <v>0</v>
      </c>
      <c r="H26" s="605">
        <f t="shared" si="1"/>
        <v>0</v>
      </c>
      <c r="J26" s="610"/>
      <c r="K26" s="610"/>
      <c r="L26" s="610"/>
      <c r="M26" s="610"/>
      <c r="N26" s="610"/>
      <c r="O26" s="610"/>
    </row>
    <row r="27" spans="1:15">
      <c r="A27" s="355">
        <v>10</v>
      </c>
      <c r="B27" s="323" t="s">
        <v>36</v>
      </c>
      <c r="C27" s="604">
        <f>SUM(C28:C29)</f>
        <v>14370701.440000001</v>
      </c>
      <c r="D27" s="604">
        <f>SUM(D28:D29)</f>
        <v>1254368.2199999997</v>
      </c>
      <c r="E27" s="605">
        <f t="shared" si="0"/>
        <v>15625069.66</v>
      </c>
      <c r="F27" s="604">
        <f>SUM(F28:F29)</f>
        <v>10633827.230000002</v>
      </c>
      <c r="G27" s="604">
        <f>SUM(G28:G29)</f>
        <v>1716587.12</v>
      </c>
      <c r="H27" s="605">
        <f t="shared" si="1"/>
        <v>12350414.350000001</v>
      </c>
      <c r="J27" s="610"/>
      <c r="K27" s="610"/>
      <c r="L27" s="610"/>
      <c r="M27" s="610"/>
      <c r="N27" s="610"/>
      <c r="O27" s="610"/>
    </row>
    <row r="28" spans="1:15">
      <c r="A28" s="355">
        <v>10.1</v>
      </c>
      <c r="B28" s="327" t="s">
        <v>711</v>
      </c>
      <c r="C28" s="604">
        <v>0</v>
      </c>
      <c r="D28" s="604">
        <v>0</v>
      </c>
      <c r="E28" s="605">
        <f t="shared" si="0"/>
        <v>0</v>
      </c>
      <c r="F28" s="604">
        <v>0</v>
      </c>
      <c r="G28" s="604">
        <v>0</v>
      </c>
      <c r="H28" s="605">
        <f t="shared" si="1"/>
        <v>0</v>
      </c>
      <c r="J28" s="610"/>
      <c r="K28" s="610"/>
      <c r="L28" s="610"/>
      <c r="M28" s="610"/>
      <c r="N28" s="610"/>
      <c r="O28" s="610"/>
    </row>
    <row r="29" spans="1:15">
      <c r="A29" s="355">
        <v>10.199999999999999</v>
      </c>
      <c r="B29" s="327" t="s">
        <v>712</v>
      </c>
      <c r="C29" s="604">
        <v>14370701.440000001</v>
      </c>
      <c r="D29" s="604">
        <v>1254368.2199999997</v>
      </c>
      <c r="E29" s="605">
        <f t="shared" si="0"/>
        <v>15625069.66</v>
      </c>
      <c r="F29" s="604">
        <v>10633827.230000002</v>
      </c>
      <c r="G29" s="604">
        <v>1716587.12</v>
      </c>
      <c r="H29" s="605">
        <f t="shared" si="1"/>
        <v>12350414.350000001</v>
      </c>
      <c r="J29" s="610"/>
      <c r="K29" s="610"/>
      <c r="L29" s="610"/>
      <c r="M29" s="610"/>
      <c r="N29" s="610"/>
      <c r="O29" s="610"/>
    </row>
    <row r="30" spans="1:15">
      <c r="A30" s="355">
        <v>11</v>
      </c>
      <c r="B30" s="323" t="s">
        <v>713</v>
      </c>
      <c r="C30" s="604">
        <f>SUM(C31:C32)</f>
        <v>4209254.1011789693</v>
      </c>
      <c r="D30" s="604">
        <f>SUM(D31:D32)</f>
        <v>0</v>
      </c>
      <c r="E30" s="605">
        <f t="shared" si="0"/>
        <v>4209254.1011789693</v>
      </c>
      <c r="F30" s="604">
        <f>SUM(F31:F32)</f>
        <v>8513796.4670122191</v>
      </c>
      <c r="G30" s="604">
        <f>SUM(G31:G32)</f>
        <v>0</v>
      </c>
      <c r="H30" s="605">
        <f t="shared" si="1"/>
        <v>8513796.4670122191</v>
      </c>
      <c r="J30" s="610"/>
      <c r="K30" s="610"/>
      <c r="L30" s="610"/>
      <c r="M30" s="610"/>
      <c r="N30" s="610"/>
      <c r="O30" s="610"/>
    </row>
    <row r="31" spans="1:15">
      <c r="A31" s="355">
        <v>11.1</v>
      </c>
      <c r="B31" s="327" t="s">
        <v>714</v>
      </c>
      <c r="C31" s="604">
        <v>4209254.1011789693</v>
      </c>
      <c r="D31" s="604">
        <v>0</v>
      </c>
      <c r="E31" s="605">
        <f t="shared" si="0"/>
        <v>4209254.1011789693</v>
      </c>
      <c r="F31" s="604">
        <v>8513796.4670122191</v>
      </c>
      <c r="G31" s="604">
        <v>0</v>
      </c>
      <c r="H31" s="605">
        <f t="shared" si="1"/>
        <v>8513796.4670122191</v>
      </c>
      <c r="J31" s="610"/>
      <c r="K31" s="610"/>
      <c r="L31" s="610"/>
      <c r="M31" s="610"/>
      <c r="N31" s="610"/>
      <c r="O31" s="610"/>
    </row>
    <row r="32" spans="1:15">
      <c r="A32" s="355">
        <v>11.2</v>
      </c>
      <c r="B32" s="327" t="s">
        <v>715</v>
      </c>
      <c r="C32" s="604">
        <v>0</v>
      </c>
      <c r="D32" s="604">
        <v>0</v>
      </c>
      <c r="E32" s="605">
        <f t="shared" si="0"/>
        <v>0</v>
      </c>
      <c r="F32" s="604">
        <v>0</v>
      </c>
      <c r="G32" s="604">
        <v>0</v>
      </c>
      <c r="H32" s="605">
        <f t="shared" si="1"/>
        <v>0</v>
      </c>
      <c r="J32" s="610"/>
      <c r="K32" s="610"/>
      <c r="L32" s="610"/>
      <c r="M32" s="610"/>
      <c r="N32" s="610"/>
      <c r="O32" s="610"/>
    </row>
    <row r="33" spans="1:15">
      <c r="A33" s="355">
        <v>13</v>
      </c>
      <c r="B33" s="323" t="s">
        <v>88</v>
      </c>
      <c r="C33" s="604">
        <v>51625251.593766108</v>
      </c>
      <c r="D33" s="604">
        <v>566311.12829999998</v>
      </c>
      <c r="E33" s="605">
        <f t="shared" si="0"/>
        <v>52191562.722066104</v>
      </c>
      <c r="F33" s="604">
        <v>46428749.233766109</v>
      </c>
      <c r="G33" s="604">
        <v>459858.44920000003</v>
      </c>
      <c r="H33" s="605">
        <f t="shared" si="1"/>
        <v>46888607.682966106</v>
      </c>
      <c r="J33" s="610"/>
      <c r="K33" s="610"/>
      <c r="L33" s="610"/>
      <c r="M33" s="610"/>
      <c r="N33" s="610"/>
      <c r="O33" s="610"/>
    </row>
    <row r="34" spans="1:15">
      <c r="A34" s="355">
        <v>13.1</v>
      </c>
      <c r="B34" s="328" t="s">
        <v>716</v>
      </c>
      <c r="C34" s="604">
        <v>49523125.673766106</v>
      </c>
      <c r="D34" s="604">
        <v>0</v>
      </c>
      <c r="E34" s="605">
        <f t="shared" si="0"/>
        <v>49523125.673766106</v>
      </c>
      <c r="F34" s="604">
        <v>45010351.173766114</v>
      </c>
      <c r="G34" s="604">
        <v>0</v>
      </c>
      <c r="H34" s="605">
        <f t="shared" si="1"/>
        <v>45010351.173766114</v>
      </c>
      <c r="J34" s="610"/>
      <c r="K34" s="610"/>
      <c r="L34" s="610"/>
      <c r="M34" s="610"/>
      <c r="N34" s="610"/>
      <c r="O34" s="610"/>
    </row>
    <row r="35" spans="1:15">
      <c r="A35" s="355">
        <v>13.2</v>
      </c>
      <c r="B35" s="328" t="s">
        <v>717</v>
      </c>
      <c r="C35" s="604">
        <v>0</v>
      </c>
      <c r="D35" s="604">
        <v>0</v>
      </c>
      <c r="E35" s="605">
        <f t="shared" si="0"/>
        <v>0</v>
      </c>
      <c r="F35" s="604">
        <v>0</v>
      </c>
      <c r="G35" s="604">
        <v>0</v>
      </c>
      <c r="H35" s="605">
        <f t="shared" si="1"/>
        <v>0</v>
      </c>
      <c r="J35" s="610"/>
      <c r="K35" s="610"/>
      <c r="L35" s="610"/>
      <c r="M35" s="610"/>
      <c r="N35" s="610"/>
      <c r="O35" s="610"/>
    </row>
    <row r="36" spans="1:15">
      <c r="A36" s="355">
        <v>14</v>
      </c>
      <c r="B36" s="329" t="s">
        <v>718</v>
      </c>
      <c r="C36" s="604">
        <f>SUM(C7,C11,C13,C14,C15,C19,C22,C23,C24,C27,C30,C33)</f>
        <v>814131813.67526758</v>
      </c>
      <c r="D36" s="604">
        <f>SUM(D7,D11,D13,D14,D15,D19,D22,D23,D24,D27,D30,D33)</f>
        <v>1120213501.8246934</v>
      </c>
      <c r="E36" s="605">
        <f t="shared" si="0"/>
        <v>1934345315.4999609</v>
      </c>
      <c r="F36" s="604">
        <f>SUM(F7,F11,F13,F14,F15,F19,F22,F23,F24,F27,F30,F33)</f>
        <v>647510568.26003337</v>
      </c>
      <c r="G36" s="604">
        <f>SUM(G7,G11,G13,G14,G15,G19,G22,G23,G24,G27,G30,G33)</f>
        <v>1174529558.7166116</v>
      </c>
      <c r="H36" s="605">
        <f t="shared" si="1"/>
        <v>1822040126.976645</v>
      </c>
      <c r="J36" s="610"/>
      <c r="K36" s="610"/>
      <c r="L36" s="610"/>
      <c r="M36" s="610"/>
      <c r="N36" s="610"/>
      <c r="O36" s="610"/>
    </row>
    <row r="37" spans="1:15" ht="22.5" customHeight="1">
      <c r="A37" s="355"/>
      <c r="B37" s="330" t="s">
        <v>93</v>
      </c>
      <c r="C37" s="730"/>
      <c r="D37" s="731"/>
      <c r="E37" s="731"/>
      <c r="F37" s="731"/>
      <c r="G37" s="731"/>
      <c r="H37" s="732"/>
      <c r="J37" s="610"/>
      <c r="K37" s="610"/>
      <c r="L37" s="610"/>
      <c r="M37" s="610"/>
      <c r="N37" s="610"/>
      <c r="O37" s="610"/>
    </row>
    <row r="38" spans="1:15">
      <c r="A38" s="355">
        <v>15</v>
      </c>
      <c r="B38" s="331" t="s">
        <v>719</v>
      </c>
      <c r="C38" s="604">
        <v>0</v>
      </c>
      <c r="D38" s="604">
        <v>0</v>
      </c>
      <c r="E38" s="609">
        <f>C38+D38</f>
        <v>0</v>
      </c>
      <c r="F38" s="604">
        <v>0</v>
      </c>
      <c r="G38" s="604">
        <v>0</v>
      </c>
      <c r="H38" s="609">
        <f>F38+G38</f>
        <v>0</v>
      </c>
      <c r="J38" s="610"/>
      <c r="K38" s="610"/>
      <c r="L38" s="610"/>
      <c r="M38" s="610"/>
      <c r="N38" s="610"/>
      <c r="O38" s="610"/>
    </row>
    <row r="39" spans="1:15">
      <c r="A39" s="355">
        <v>15.1</v>
      </c>
      <c r="B39" s="332" t="s">
        <v>699</v>
      </c>
      <c r="C39" s="604">
        <v>0</v>
      </c>
      <c r="D39" s="604">
        <v>0</v>
      </c>
      <c r="E39" s="609">
        <f t="shared" ref="E39:E53" si="2">C39+D39</f>
        <v>0</v>
      </c>
      <c r="F39" s="604">
        <v>0</v>
      </c>
      <c r="G39" s="604">
        <v>0</v>
      </c>
      <c r="H39" s="609">
        <f t="shared" ref="H39:H53" si="3">F39+G39</f>
        <v>0</v>
      </c>
      <c r="J39" s="610"/>
      <c r="K39" s="610"/>
      <c r="L39" s="610"/>
      <c r="M39" s="610"/>
      <c r="N39" s="610"/>
      <c r="O39" s="610"/>
    </row>
    <row r="40" spans="1:15" ht="24" customHeight="1">
      <c r="A40" s="355">
        <v>16</v>
      </c>
      <c r="B40" s="325" t="s">
        <v>720</v>
      </c>
      <c r="C40" s="604">
        <v>0</v>
      </c>
      <c r="D40" s="604">
        <v>0</v>
      </c>
      <c r="E40" s="609">
        <f t="shared" si="2"/>
        <v>0</v>
      </c>
      <c r="F40" s="604">
        <v>0</v>
      </c>
      <c r="G40" s="604">
        <v>0</v>
      </c>
      <c r="H40" s="609">
        <f t="shared" si="3"/>
        <v>0</v>
      </c>
      <c r="J40" s="610"/>
      <c r="K40" s="610"/>
      <c r="L40" s="610"/>
      <c r="M40" s="610"/>
      <c r="N40" s="610"/>
      <c r="O40" s="610"/>
    </row>
    <row r="41" spans="1:15" ht="21">
      <c r="A41" s="355">
        <v>17</v>
      </c>
      <c r="B41" s="325" t="s">
        <v>721</v>
      </c>
      <c r="C41" s="608">
        <f>SUM(C42:C45)</f>
        <v>351275132.02993637</v>
      </c>
      <c r="D41" s="608">
        <f>SUM(D42:D45)</f>
        <v>1000635338.1144273</v>
      </c>
      <c r="E41" s="609">
        <f t="shared" si="2"/>
        <v>1351910470.1443636</v>
      </c>
      <c r="F41" s="608">
        <f>SUM(F42:F45)</f>
        <v>226401271.06821939</v>
      </c>
      <c r="G41" s="608">
        <f>SUM(G42:G45)</f>
        <v>1052550766.2345077</v>
      </c>
      <c r="H41" s="609">
        <f t="shared" si="3"/>
        <v>1278952037.302727</v>
      </c>
      <c r="J41" s="610"/>
      <c r="K41" s="610"/>
      <c r="L41" s="610"/>
      <c r="M41" s="610"/>
      <c r="N41" s="610"/>
      <c r="O41" s="610"/>
    </row>
    <row r="42" spans="1:15">
      <c r="A42" s="355">
        <v>17.100000000000001</v>
      </c>
      <c r="B42" s="333" t="s">
        <v>722</v>
      </c>
      <c r="C42" s="604">
        <v>344760868.31</v>
      </c>
      <c r="D42" s="604">
        <v>996791877.22170019</v>
      </c>
      <c r="E42" s="609">
        <f t="shared" si="2"/>
        <v>1341552745.5317001</v>
      </c>
      <c r="F42" s="604">
        <v>219587972.82999998</v>
      </c>
      <c r="G42" s="604">
        <v>1049727396.6086001</v>
      </c>
      <c r="H42" s="609">
        <f t="shared" si="3"/>
        <v>1269315369.4386001</v>
      </c>
      <c r="J42" s="610"/>
      <c r="K42" s="610"/>
      <c r="L42" s="610"/>
      <c r="M42" s="610"/>
      <c r="N42" s="610"/>
      <c r="O42" s="610"/>
    </row>
    <row r="43" spans="1:15">
      <c r="A43" s="355">
        <v>17.2</v>
      </c>
      <c r="B43" s="334" t="s">
        <v>89</v>
      </c>
      <c r="C43" s="604">
        <v>0</v>
      </c>
      <c r="D43" s="604">
        <v>0</v>
      </c>
      <c r="E43" s="609">
        <f t="shared" si="2"/>
        <v>0</v>
      </c>
      <c r="F43" s="604">
        <v>0</v>
      </c>
      <c r="G43" s="604">
        <v>0</v>
      </c>
      <c r="H43" s="609">
        <f t="shared" si="3"/>
        <v>0</v>
      </c>
      <c r="J43" s="610"/>
      <c r="K43" s="610"/>
      <c r="L43" s="610"/>
      <c r="M43" s="610"/>
      <c r="N43" s="610"/>
      <c r="O43" s="610"/>
    </row>
    <row r="44" spans="1:15">
      <c r="A44" s="355">
        <v>17.3</v>
      </c>
      <c r="B44" s="333" t="s">
        <v>723</v>
      </c>
      <c r="C44" s="604">
        <v>0</v>
      </c>
      <c r="D44" s="604">
        <v>0</v>
      </c>
      <c r="E44" s="609">
        <f t="shared" si="2"/>
        <v>0</v>
      </c>
      <c r="F44" s="604">
        <v>0</v>
      </c>
      <c r="G44" s="604">
        <v>0</v>
      </c>
      <c r="H44" s="609">
        <f t="shared" si="3"/>
        <v>0</v>
      </c>
      <c r="J44" s="610"/>
      <c r="K44" s="610"/>
      <c r="L44" s="610"/>
      <c r="M44" s="610"/>
      <c r="N44" s="610"/>
      <c r="O44" s="610"/>
    </row>
    <row r="45" spans="1:15">
      <c r="A45" s="355">
        <v>17.399999999999999</v>
      </c>
      <c r="B45" s="333" t="s">
        <v>724</v>
      </c>
      <c r="C45" s="604">
        <v>6514263.7199363504</v>
      </c>
      <c r="D45" s="604">
        <v>3843460.8927271492</v>
      </c>
      <c r="E45" s="609">
        <f t="shared" si="2"/>
        <v>10357724.6126635</v>
      </c>
      <c r="F45" s="604">
        <v>6813298.2382194204</v>
      </c>
      <c r="G45" s="604">
        <v>2823369.6259075846</v>
      </c>
      <c r="H45" s="609">
        <f t="shared" si="3"/>
        <v>9636667.8641270045</v>
      </c>
      <c r="J45" s="610"/>
      <c r="K45" s="610"/>
      <c r="L45" s="610"/>
      <c r="M45" s="610"/>
      <c r="N45" s="610"/>
      <c r="O45" s="610"/>
    </row>
    <row r="46" spans="1:15">
      <c r="A46" s="355">
        <v>18</v>
      </c>
      <c r="B46" s="323" t="s">
        <v>725</v>
      </c>
      <c r="C46" s="604">
        <v>240057.87152097476</v>
      </c>
      <c r="D46" s="604">
        <v>320495.23368782131</v>
      </c>
      <c r="E46" s="609">
        <f t="shared" si="2"/>
        <v>560553.1052087961</v>
      </c>
      <c r="F46" s="604">
        <v>191321.08267089719</v>
      </c>
      <c r="G46" s="604">
        <v>303482.48818640597</v>
      </c>
      <c r="H46" s="609">
        <f t="shared" si="3"/>
        <v>494803.57085730316</v>
      </c>
      <c r="J46" s="610"/>
      <c r="K46" s="610"/>
      <c r="L46" s="610"/>
      <c r="M46" s="610"/>
      <c r="N46" s="610"/>
      <c r="O46" s="610"/>
    </row>
    <row r="47" spans="1:15">
      <c r="A47" s="355">
        <v>19</v>
      </c>
      <c r="B47" s="323" t="s">
        <v>726</v>
      </c>
      <c r="C47" s="608">
        <f>SUM(C48:C49)</f>
        <v>3260361.480872714</v>
      </c>
      <c r="D47" s="608">
        <f>SUM(D48:D49)</f>
        <v>0</v>
      </c>
      <c r="E47" s="609">
        <f t="shared" si="2"/>
        <v>3260361.480872714</v>
      </c>
      <c r="F47" s="608">
        <f>SUM(F48:F49)</f>
        <v>2580677.1735710576</v>
      </c>
      <c r="G47" s="608">
        <f>SUM(G48:G49)</f>
        <v>0</v>
      </c>
      <c r="H47" s="609">
        <f t="shared" si="3"/>
        <v>2580677.1735710576</v>
      </c>
      <c r="J47" s="610"/>
      <c r="K47" s="610"/>
      <c r="L47" s="610"/>
      <c r="M47" s="610"/>
      <c r="N47" s="610"/>
      <c r="O47" s="610"/>
    </row>
    <row r="48" spans="1:15">
      <c r="A48" s="355">
        <v>19.100000000000001</v>
      </c>
      <c r="B48" s="335" t="s">
        <v>727</v>
      </c>
      <c r="C48" s="604">
        <v>0</v>
      </c>
      <c r="D48" s="604">
        <v>0</v>
      </c>
      <c r="E48" s="609">
        <f t="shared" si="2"/>
        <v>0</v>
      </c>
      <c r="F48" s="604">
        <v>0</v>
      </c>
      <c r="G48" s="604">
        <v>0</v>
      </c>
      <c r="H48" s="609">
        <f t="shared" si="3"/>
        <v>0</v>
      </c>
      <c r="J48" s="610"/>
      <c r="K48" s="610"/>
      <c r="L48" s="610"/>
      <c r="M48" s="610"/>
      <c r="N48" s="610"/>
      <c r="O48" s="610"/>
    </row>
    <row r="49" spans="1:15">
      <c r="A49" s="355">
        <v>19.2</v>
      </c>
      <c r="B49" s="336" t="s">
        <v>728</v>
      </c>
      <c r="C49" s="604">
        <v>3260361.480872714</v>
      </c>
      <c r="D49" s="604">
        <v>0</v>
      </c>
      <c r="E49" s="609">
        <f t="shared" si="2"/>
        <v>3260361.480872714</v>
      </c>
      <c r="F49" s="604">
        <v>2580677.1735710576</v>
      </c>
      <c r="G49" s="604">
        <v>0</v>
      </c>
      <c r="H49" s="609">
        <f t="shared" si="3"/>
        <v>2580677.1735710576</v>
      </c>
      <c r="J49" s="610"/>
      <c r="K49" s="610"/>
      <c r="L49" s="610"/>
      <c r="M49" s="610"/>
      <c r="N49" s="610"/>
      <c r="O49" s="610"/>
    </row>
    <row r="50" spans="1:15">
      <c r="A50" s="355">
        <v>20</v>
      </c>
      <c r="B50" s="337" t="s">
        <v>90</v>
      </c>
      <c r="C50" s="604">
        <v>0</v>
      </c>
      <c r="D50" s="604">
        <v>81463938.573199779</v>
      </c>
      <c r="E50" s="609">
        <f t="shared" si="2"/>
        <v>81463938.573199779</v>
      </c>
      <c r="F50" s="604">
        <v>0</v>
      </c>
      <c r="G50" s="604">
        <v>84096865.765199766</v>
      </c>
      <c r="H50" s="609">
        <f t="shared" si="3"/>
        <v>84096865.765199766</v>
      </c>
      <c r="J50" s="610"/>
      <c r="K50" s="610"/>
      <c r="L50" s="610"/>
      <c r="M50" s="610"/>
      <c r="N50" s="610"/>
      <c r="O50" s="610"/>
    </row>
    <row r="51" spans="1:15">
      <c r="A51" s="355">
        <v>21</v>
      </c>
      <c r="B51" s="338" t="s">
        <v>78</v>
      </c>
      <c r="C51" s="604">
        <v>5996042.6200000001</v>
      </c>
      <c r="D51" s="604">
        <v>5845.8069000000833</v>
      </c>
      <c r="E51" s="609">
        <f t="shared" si="2"/>
        <v>6001888.4269000003</v>
      </c>
      <c r="F51" s="604">
        <v>676079.59959999972</v>
      </c>
      <c r="G51" s="604">
        <v>702376.9770999999</v>
      </c>
      <c r="H51" s="609">
        <f t="shared" si="3"/>
        <v>1378456.5766999996</v>
      </c>
      <c r="J51" s="610"/>
      <c r="K51" s="610"/>
      <c r="L51" s="610"/>
      <c r="M51" s="610"/>
      <c r="N51" s="610"/>
      <c r="O51" s="610"/>
    </row>
    <row r="52" spans="1:15">
      <c r="A52" s="355">
        <v>21.1</v>
      </c>
      <c r="B52" s="334" t="s">
        <v>729</v>
      </c>
      <c r="C52" s="604">
        <v>0</v>
      </c>
      <c r="D52" s="604">
        <v>0</v>
      </c>
      <c r="E52" s="609">
        <f t="shared" si="2"/>
        <v>0</v>
      </c>
      <c r="F52" s="604">
        <v>0</v>
      </c>
      <c r="G52" s="604">
        <v>0</v>
      </c>
      <c r="H52" s="609">
        <f t="shared" si="3"/>
        <v>0</v>
      </c>
      <c r="J52" s="610"/>
      <c r="K52" s="610"/>
      <c r="L52" s="610"/>
      <c r="M52" s="610"/>
      <c r="N52" s="610"/>
      <c r="O52" s="610"/>
    </row>
    <row r="53" spans="1:15">
      <c r="A53" s="355">
        <v>22</v>
      </c>
      <c r="B53" s="337" t="s">
        <v>730</v>
      </c>
      <c r="C53" s="608">
        <f>SUM(C38,C40,C41,C46,C47,C50,C51)</f>
        <v>360771594.00233006</v>
      </c>
      <c r="D53" s="608">
        <f>SUM(D38,D40,D41,D46,D47,D50,D51)</f>
        <v>1082425617.728215</v>
      </c>
      <c r="E53" s="609">
        <f t="shared" si="2"/>
        <v>1443197211.730545</v>
      </c>
      <c r="F53" s="608">
        <f>SUM(F38,F40,F41,F46,F47,F50,F51)</f>
        <v>229849348.92406133</v>
      </c>
      <c r="G53" s="608">
        <f>SUM(G38,G40,G41,G46,G47,G50,G51)</f>
        <v>1137653491.4649937</v>
      </c>
      <c r="H53" s="609">
        <f t="shared" si="3"/>
        <v>1367502840.389055</v>
      </c>
      <c r="J53" s="610"/>
      <c r="K53" s="610"/>
      <c r="L53" s="610"/>
      <c r="M53" s="610"/>
      <c r="N53" s="610"/>
      <c r="O53" s="610"/>
    </row>
    <row r="54" spans="1:15" ht="24" customHeight="1">
      <c r="A54" s="355"/>
      <c r="B54" s="339" t="s">
        <v>731</v>
      </c>
      <c r="C54" s="733"/>
      <c r="D54" s="734"/>
      <c r="E54" s="734"/>
      <c r="F54" s="734"/>
      <c r="G54" s="734"/>
      <c r="H54" s="735"/>
      <c r="J54" s="610"/>
      <c r="K54" s="610"/>
      <c r="L54" s="610"/>
      <c r="M54" s="610"/>
      <c r="N54" s="610"/>
      <c r="O54" s="610"/>
    </row>
    <row r="55" spans="1:15">
      <c r="A55" s="355">
        <v>23</v>
      </c>
      <c r="B55" s="541" t="s">
        <v>960</v>
      </c>
      <c r="C55" s="604">
        <v>114430000</v>
      </c>
      <c r="D55" s="604">
        <v>0</v>
      </c>
      <c r="E55" s="609">
        <f>C55+D55</f>
        <v>114430000</v>
      </c>
      <c r="F55" s="604">
        <v>114430000</v>
      </c>
      <c r="G55" s="604">
        <v>0</v>
      </c>
      <c r="H55" s="609">
        <f>F55+G55</f>
        <v>114430000</v>
      </c>
      <c r="J55" s="610"/>
      <c r="K55" s="610"/>
      <c r="L55" s="610"/>
      <c r="M55" s="610"/>
      <c r="N55" s="610"/>
      <c r="O55" s="610"/>
    </row>
    <row r="56" spans="1:15">
      <c r="A56" s="355">
        <v>24</v>
      </c>
      <c r="B56" s="337" t="s">
        <v>732</v>
      </c>
      <c r="C56" s="604">
        <v>0</v>
      </c>
      <c r="D56" s="604">
        <v>0</v>
      </c>
      <c r="E56" s="609">
        <f t="shared" ref="E56:E69" si="4">C56+D56</f>
        <v>0</v>
      </c>
      <c r="F56" s="604">
        <v>0</v>
      </c>
      <c r="G56" s="604">
        <v>0</v>
      </c>
      <c r="H56" s="609">
        <f t="shared" ref="H56:H69" si="5">F56+G56</f>
        <v>0</v>
      </c>
      <c r="J56" s="610"/>
      <c r="K56" s="610"/>
      <c r="L56" s="610"/>
      <c r="M56" s="610"/>
      <c r="N56" s="610"/>
      <c r="O56" s="610"/>
    </row>
    <row r="57" spans="1:15">
      <c r="A57" s="355">
        <v>25</v>
      </c>
      <c r="B57" s="337" t="s">
        <v>91</v>
      </c>
      <c r="C57" s="604">
        <v>0</v>
      </c>
      <c r="D57" s="604">
        <v>0</v>
      </c>
      <c r="E57" s="609">
        <f t="shared" si="4"/>
        <v>0</v>
      </c>
      <c r="F57" s="604">
        <v>0</v>
      </c>
      <c r="G57" s="604">
        <v>0</v>
      </c>
      <c r="H57" s="609">
        <f t="shared" si="5"/>
        <v>0</v>
      </c>
      <c r="J57" s="610"/>
      <c r="K57" s="610"/>
      <c r="L57" s="610"/>
      <c r="M57" s="610"/>
      <c r="N57" s="610"/>
      <c r="O57" s="610"/>
    </row>
    <row r="58" spans="1:15">
      <c r="A58" s="355">
        <v>26</v>
      </c>
      <c r="B58" s="323" t="s">
        <v>733</v>
      </c>
      <c r="C58" s="604">
        <v>0</v>
      </c>
      <c r="D58" s="604">
        <v>0</v>
      </c>
      <c r="E58" s="609">
        <f t="shared" si="4"/>
        <v>0</v>
      </c>
      <c r="F58" s="604">
        <v>0</v>
      </c>
      <c r="G58" s="604">
        <v>0</v>
      </c>
      <c r="H58" s="609">
        <f t="shared" si="5"/>
        <v>0</v>
      </c>
      <c r="J58" s="610"/>
      <c r="K58" s="610"/>
      <c r="L58" s="610"/>
      <c r="M58" s="610"/>
      <c r="N58" s="610"/>
      <c r="O58" s="610"/>
    </row>
    <row r="59" spans="1:15" ht="21">
      <c r="A59" s="355">
        <v>27</v>
      </c>
      <c r="B59" s="323" t="s">
        <v>734</v>
      </c>
      <c r="C59" s="608">
        <f>SUM(C60:C61)</f>
        <v>23845347.84</v>
      </c>
      <c r="D59" s="608">
        <f>SUM(D60:D61)</f>
        <v>0</v>
      </c>
      <c r="E59" s="609">
        <f t="shared" si="4"/>
        <v>23845347.84</v>
      </c>
      <c r="F59" s="608">
        <f t="shared" ref="F59:G59" si="6">SUM(F60:F61)</f>
        <v>23845347.84</v>
      </c>
      <c r="G59" s="608">
        <f t="shared" si="6"/>
        <v>0</v>
      </c>
      <c r="H59" s="609">
        <f t="shared" si="5"/>
        <v>23845347.84</v>
      </c>
      <c r="J59" s="610"/>
      <c r="K59" s="610"/>
      <c r="L59" s="610"/>
      <c r="M59" s="610"/>
      <c r="N59" s="610"/>
      <c r="O59" s="610"/>
    </row>
    <row r="60" spans="1:15">
      <c r="A60" s="355">
        <v>27.1</v>
      </c>
      <c r="B60" s="335" t="s">
        <v>735</v>
      </c>
      <c r="C60" s="604">
        <v>23845347.84</v>
      </c>
      <c r="D60" s="604">
        <v>0</v>
      </c>
      <c r="E60" s="609">
        <f t="shared" si="4"/>
        <v>23845347.84</v>
      </c>
      <c r="F60" s="604">
        <v>23845347.84</v>
      </c>
      <c r="G60" s="604">
        <v>0</v>
      </c>
      <c r="H60" s="609">
        <f t="shared" si="5"/>
        <v>23845347.84</v>
      </c>
      <c r="J60" s="610"/>
      <c r="K60" s="610"/>
      <c r="L60" s="610"/>
      <c r="M60" s="610"/>
      <c r="N60" s="610"/>
      <c r="O60" s="610"/>
    </row>
    <row r="61" spans="1:15">
      <c r="A61" s="355">
        <v>27.2</v>
      </c>
      <c r="B61" s="333" t="s">
        <v>736</v>
      </c>
      <c r="C61" s="604">
        <v>0</v>
      </c>
      <c r="D61" s="604">
        <v>0</v>
      </c>
      <c r="E61" s="609">
        <f t="shared" si="4"/>
        <v>0</v>
      </c>
      <c r="F61" s="604">
        <v>0</v>
      </c>
      <c r="G61" s="604">
        <v>0</v>
      </c>
      <c r="H61" s="609">
        <f t="shared" si="5"/>
        <v>0</v>
      </c>
      <c r="J61" s="610"/>
      <c r="K61" s="610"/>
      <c r="L61" s="610"/>
      <c r="M61" s="610"/>
      <c r="N61" s="610"/>
      <c r="O61" s="610"/>
    </row>
    <row r="62" spans="1:15">
      <c r="A62" s="355">
        <v>28</v>
      </c>
      <c r="B62" s="338" t="s">
        <v>737</v>
      </c>
      <c r="C62" s="604">
        <v>0</v>
      </c>
      <c r="D62" s="604">
        <v>0</v>
      </c>
      <c r="E62" s="609">
        <f t="shared" si="4"/>
        <v>0</v>
      </c>
      <c r="F62" s="604">
        <v>0</v>
      </c>
      <c r="G62" s="604">
        <v>0</v>
      </c>
      <c r="H62" s="609">
        <f t="shared" si="5"/>
        <v>0</v>
      </c>
      <c r="J62" s="610"/>
      <c r="K62" s="610"/>
      <c r="L62" s="610"/>
      <c r="M62" s="610"/>
      <c r="N62" s="610"/>
      <c r="O62" s="610"/>
    </row>
    <row r="63" spans="1:15">
      <c r="A63" s="355">
        <v>29</v>
      </c>
      <c r="B63" s="323" t="s">
        <v>738</v>
      </c>
      <c r="C63" s="608">
        <f>SUM(C64:C66)</f>
        <v>0</v>
      </c>
      <c r="D63" s="608">
        <f>SUM(D64:D66)</f>
        <v>0</v>
      </c>
      <c r="E63" s="609">
        <f t="shared" si="4"/>
        <v>0</v>
      </c>
      <c r="F63" s="608">
        <f t="shared" ref="F63:G63" si="7">SUM(F64:F66)</f>
        <v>21959.87840556982</v>
      </c>
      <c r="G63" s="608">
        <f t="shared" si="7"/>
        <v>0</v>
      </c>
      <c r="H63" s="609">
        <f t="shared" si="5"/>
        <v>21959.87840556982</v>
      </c>
      <c r="J63" s="610"/>
      <c r="K63" s="610"/>
      <c r="L63" s="610"/>
      <c r="M63" s="610"/>
      <c r="N63" s="610"/>
      <c r="O63" s="610"/>
    </row>
    <row r="64" spans="1:15">
      <c r="A64" s="355">
        <v>29.1</v>
      </c>
      <c r="B64" s="324" t="s">
        <v>739</v>
      </c>
      <c r="C64" s="604">
        <v>0</v>
      </c>
      <c r="D64" s="604">
        <v>0</v>
      </c>
      <c r="E64" s="609">
        <f t="shared" si="4"/>
        <v>0</v>
      </c>
      <c r="F64" s="604">
        <v>0</v>
      </c>
      <c r="G64" s="604">
        <v>0</v>
      </c>
      <c r="H64" s="609">
        <f t="shared" si="5"/>
        <v>0</v>
      </c>
      <c r="J64" s="610"/>
      <c r="K64" s="610"/>
      <c r="L64" s="610"/>
      <c r="M64" s="610"/>
      <c r="N64" s="610"/>
      <c r="O64" s="610"/>
    </row>
    <row r="65" spans="1:15" ht="25.15" customHeight="1">
      <c r="A65" s="355">
        <v>29.2</v>
      </c>
      <c r="B65" s="335" t="s">
        <v>740</v>
      </c>
      <c r="C65" s="604">
        <v>0</v>
      </c>
      <c r="D65" s="604">
        <v>0</v>
      </c>
      <c r="E65" s="609">
        <f t="shared" si="4"/>
        <v>0</v>
      </c>
      <c r="F65" s="604">
        <v>0</v>
      </c>
      <c r="G65" s="604">
        <v>0</v>
      </c>
      <c r="H65" s="609">
        <f t="shared" si="5"/>
        <v>0</v>
      </c>
      <c r="J65" s="610"/>
      <c r="K65" s="610"/>
      <c r="L65" s="610"/>
      <c r="M65" s="610"/>
      <c r="N65" s="610"/>
      <c r="O65" s="610"/>
    </row>
    <row r="66" spans="1:15" ht="22.5" customHeight="1">
      <c r="A66" s="355">
        <v>29.3</v>
      </c>
      <c r="B66" s="327" t="s">
        <v>741</v>
      </c>
      <c r="C66" s="604">
        <v>0</v>
      </c>
      <c r="D66" s="604">
        <v>0</v>
      </c>
      <c r="E66" s="609">
        <f t="shared" si="4"/>
        <v>0</v>
      </c>
      <c r="F66" s="604">
        <v>21959.87840556982</v>
      </c>
      <c r="G66" s="604">
        <v>0</v>
      </c>
      <c r="H66" s="609">
        <f t="shared" si="5"/>
        <v>21959.87840556982</v>
      </c>
      <c r="J66" s="610"/>
      <c r="K66" s="610"/>
      <c r="L66" s="610"/>
      <c r="M66" s="610"/>
      <c r="N66" s="610"/>
      <c r="O66" s="610"/>
    </row>
    <row r="67" spans="1:15">
      <c r="A67" s="355">
        <v>30</v>
      </c>
      <c r="B67" s="323" t="s">
        <v>92</v>
      </c>
      <c r="C67" s="604">
        <v>352872762.97191632</v>
      </c>
      <c r="D67" s="604">
        <v>0</v>
      </c>
      <c r="E67" s="609">
        <f t="shared" si="4"/>
        <v>352872762.97191632</v>
      </c>
      <c r="F67" s="604">
        <v>316239985.23888457</v>
      </c>
      <c r="G67" s="604">
        <v>0</v>
      </c>
      <c r="H67" s="609">
        <f t="shared" si="5"/>
        <v>316239985.23888457</v>
      </c>
      <c r="J67" s="610"/>
      <c r="K67" s="610"/>
      <c r="L67" s="610"/>
      <c r="M67" s="610"/>
      <c r="N67" s="610"/>
      <c r="O67" s="610"/>
    </row>
    <row r="68" spans="1:15">
      <c r="A68" s="355">
        <v>31</v>
      </c>
      <c r="B68" s="340" t="s">
        <v>1000</v>
      </c>
      <c r="C68" s="608">
        <f>SUM(C55,C56,C57,C58,C59,C62,C63,C67)</f>
        <v>491148110.81191635</v>
      </c>
      <c r="D68" s="608">
        <f>SUM(D55,D56,D57,D58,D59,D62,D63,D67)</f>
        <v>0</v>
      </c>
      <c r="E68" s="609">
        <f t="shared" si="4"/>
        <v>491148110.81191635</v>
      </c>
      <c r="F68" s="608">
        <f>SUM(F55,F56,F57,F58,F59,F62,F63,F67)</f>
        <v>454537292.95729017</v>
      </c>
      <c r="G68" s="608">
        <f>SUM(G55,G56,G57,G58,G59,G62,G63,G67)</f>
        <v>0</v>
      </c>
      <c r="H68" s="609">
        <f t="shared" si="5"/>
        <v>454537292.95729017</v>
      </c>
      <c r="J68" s="610"/>
      <c r="K68" s="610"/>
      <c r="L68" s="610"/>
      <c r="M68" s="610"/>
      <c r="N68" s="610"/>
      <c r="O68" s="610"/>
    </row>
    <row r="69" spans="1:15">
      <c r="A69" s="355">
        <v>32</v>
      </c>
      <c r="B69" s="341" t="s">
        <v>743</v>
      </c>
      <c r="C69" s="608">
        <f>SUM(C53,C68)</f>
        <v>851919704.81424642</v>
      </c>
      <c r="D69" s="608">
        <f>SUM(D53,D68)</f>
        <v>1082425617.728215</v>
      </c>
      <c r="E69" s="609">
        <f t="shared" si="4"/>
        <v>1934345322.5424614</v>
      </c>
      <c r="F69" s="608">
        <f>SUM(F53,F68)</f>
        <v>684386641.88135147</v>
      </c>
      <c r="G69" s="608">
        <f>SUM(G53,G68)</f>
        <v>1137653491.4649937</v>
      </c>
      <c r="H69" s="609">
        <f t="shared" si="5"/>
        <v>1822040133.3463452</v>
      </c>
      <c r="J69" s="610"/>
      <c r="K69" s="610"/>
      <c r="L69" s="610"/>
      <c r="M69" s="610"/>
      <c r="N69" s="610"/>
      <c r="O69" s="610"/>
    </row>
    <row r="72" spans="1:15" ht="25.15" customHeight="1">
      <c r="B72" s="591" t="s">
        <v>1001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W35"/>
  <sheetViews>
    <sheetView showGridLines="0" zoomScale="80" zoomScaleNormal="80" workbookViewId="0"/>
  </sheetViews>
  <sheetFormatPr defaultColWidth="9.28515625" defaultRowHeight="12.75"/>
  <cols>
    <col min="1" max="1" width="11.7109375" style="394" bestFit="1" customWidth="1"/>
    <col min="2" max="2" width="93.42578125" style="394" customWidth="1"/>
    <col min="3" max="3" width="16.7109375" style="394" bestFit="1" customWidth="1"/>
    <col min="4" max="5" width="16.140625" style="394" customWidth="1"/>
    <col min="6" max="6" width="16.140625" style="410" customWidth="1"/>
    <col min="7" max="7" width="25.28515625" style="410" customWidth="1"/>
    <col min="8" max="8" width="16.140625" style="394" customWidth="1"/>
    <col min="9" max="11" width="16.140625" style="410" customWidth="1"/>
    <col min="12" max="12" width="26.28515625" style="410" customWidth="1"/>
    <col min="13" max="13" width="9.28515625" style="394"/>
    <col min="14" max="14" width="17.28515625" style="394" bestFit="1" customWidth="1"/>
    <col min="15" max="15" width="16.42578125" style="394" bestFit="1" customWidth="1"/>
    <col min="16" max="17" width="15.28515625" style="394" bestFit="1" customWidth="1"/>
    <col min="18" max="18" width="12.42578125" style="394" bestFit="1" customWidth="1"/>
    <col min="19" max="19" width="15.28515625" style="394" bestFit="1" customWidth="1"/>
    <col min="20" max="20" width="13.42578125" style="394" bestFit="1" customWidth="1"/>
    <col min="21" max="22" width="15" style="394" bestFit="1" customWidth="1"/>
    <col min="23" max="23" width="10.28515625" style="394" bestFit="1" customWidth="1"/>
    <col min="24" max="16384" width="9.28515625" style="394"/>
  </cols>
  <sheetData>
    <row r="1" spans="1:23" ht="13.5">
      <c r="A1" s="299" t="s">
        <v>97</v>
      </c>
      <c r="B1" s="221" t="str">
        <f>Info!C2</f>
        <v>სს "ბანკი ქართუ"</v>
      </c>
      <c r="F1" s="394"/>
      <c r="G1" s="394"/>
      <c r="I1" s="394"/>
      <c r="J1" s="394"/>
      <c r="K1" s="394"/>
      <c r="L1" s="394"/>
    </row>
    <row r="2" spans="1:23">
      <c r="A2" s="299" t="s">
        <v>98</v>
      </c>
      <c r="B2" s="634">
        <f>'1. key ratios'!B2</f>
        <v>46112</v>
      </c>
      <c r="F2" s="394"/>
      <c r="G2" s="394"/>
      <c r="I2" s="394"/>
      <c r="J2" s="394"/>
      <c r="K2" s="394"/>
      <c r="L2" s="394"/>
    </row>
    <row r="3" spans="1:23">
      <c r="A3" s="301" t="s">
        <v>563</v>
      </c>
      <c r="F3" s="394"/>
      <c r="G3" s="394"/>
      <c r="I3" s="394"/>
      <c r="J3" s="394"/>
      <c r="K3" s="394"/>
      <c r="L3" s="394"/>
    </row>
    <row r="4" spans="1:23">
      <c r="F4" s="394"/>
      <c r="G4" s="394"/>
      <c r="I4" s="394"/>
      <c r="J4" s="394"/>
      <c r="K4" s="394"/>
      <c r="L4" s="394"/>
    </row>
    <row r="5" spans="1:23" ht="37.5" customHeight="1">
      <c r="A5" s="789" t="s">
        <v>564</v>
      </c>
      <c r="B5" s="790"/>
      <c r="C5" s="838" t="s">
        <v>565</v>
      </c>
      <c r="D5" s="839"/>
      <c r="E5" s="839"/>
      <c r="F5" s="839"/>
      <c r="G5" s="839"/>
      <c r="H5" s="838" t="s">
        <v>875</v>
      </c>
      <c r="I5" s="840"/>
      <c r="J5" s="840"/>
      <c r="K5" s="840"/>
      <c r="L5" s="841"/>
    </row>
    <row r="6" spans="1:23" ht="39.4" customHeight="1">
      <c r="A6" s="793"/>
      <c r="B6" s="794"/>
      <c r="C6" s="305"/>
      <c r="D6" s="392" t="s">
        <v>860</v>
      </c>
      <c r="E6" s="392" t="s">
        <v>859</v>
      </c>
      <c r="F6" s="392" t="s">
        <v>858</v>
      </c>
      <c r="G6" s="392" t="s">
        <v>857</v>
      </c>
      <c r="H6" s="411"/>
      <c r="I6" s="392" t="s">
        <v>860</v>
      </c>
      <c r="J6" s="392" t="s">
        <v>859</v>
      </c>
      <c r="K6" s="392" t="s">
        <v>858</v>
      </c>
      <c r="L6" s="392" t="s">
        <v>857</v>
      </c>
    </row>
    <row r="7" spans="1:23">
      <c r="A7" s="384">
        <v>1</v>
      </c>
      <c r="B7" s="397" t="s">
        <v>487</v>
      </c>
      <c r="C7" s="716">
        <v>7687991.2704183254</v>
      </c>
      <c r="D7" s="695">
        <v>7013255.5992696509</v>
      </c>
      <c r="E7" s="695">
        <v>210593.940428</v>
      </c>
      <c r="F7" s="717">
        <v>464141.73072067485</v>
      </c>
      <c r="G7" s="717">
        <v>0</v>
      </c>
      <c r="H7" s="695">
        <v>192907.16563328149</v>
      </c>
      <c r="I7" s="717">
        <v>136573.05226778099</v>
      </c>
      <c r="J7" s="717">
        <v>3225.3301428272798</v>
      </c>
      <c r="K7" s="717">
        <v>53108.783222673228</v>
      </c>
      <c r="L7" s="717">
        <v>0</v>
      </c>
      <c r="N7" s="700"/>
      <c r="O7" s="700"/>
      <c r="P7" s="700"/>
      <c r="Q7" s="700"/>
      <c r="R7" s="700"/>
      <c r="S7" s="700"/>
      <c r="T7" s="700"/>
      <c r="U7" s="700"/>
      <c r="V7" s="700"/>
      <c r="W7" s="700"/>
    </row>
    <row r="8" spans="1:23">
      <c r="A8" s="384">
        <v>2</v>
      </c>
      <c r="B8" s="397" t="s">
        <v>488</v>
      </c>
      <c r="C8" s="716">
        <v>16706783.769514091</v>
      </c>
      <c r="D8" s="695">
        <v>16548893.962244092</v>
      </c>
      <c r="E8" s="695">
        <v>0</v>
      </c>
      <c r="F8" s="717">
        <v>157889.80726999999</v>
      </c>
      <c r="G8" s="717">
        <v>0</v>
      </c>
      <c r="H8" s="695">
        <v>114279.60197735119</v>
      </c>
      <c r="I8" s="717">
        <v>85250.425800849305</v>
      </c>
      <c r="J8" s="717">
        <v>0</v>
      </c>
      <c r="K8" s="717">
        <v>29029.176176501907</v>
      </c>
      <c r="L8" s="717">
        <v>0</v>
      </c>
      <c r="N8" s="700"/>
      <c r="O8" s="700"/>
      <c r="P8" s="700"/>
      <c r="Q8" s="700"/>
      <c r="R8" s="700"/>
      <c r="S8" s="700"/>
      <c r="T8" s="700"/>
      <c r="U8" s="700"/>
      <c r="V8" s="700"/>
      <c r="W8" s="700"/>
    </row>
    <row r="9" spans="1:23">
      <c r="A9" s="384">
        <v>3</v>
      </c>
      <c r="B9" s="397" t="s">
        <v>836</v>
      </c>
      <c r="C9" s="716">
        <v>0</v>
      </c>
      <c r="D9" s="695">
        <v>0</v>
      </c>
      <c r="E9" s="695">
        <v>0</v>
      </c>
      <c r="F9" s="718">
        <v>0</v>
      </c>
      <c r="G9" s="718">
        <v>0</v>
      </c>
      <c r="H9" s="695">
        <v>0</v>
      </c>
      <c r="I9" s="718">
        <v>0</v>
      </c>
      <c r="J9" s="718">
        <v>0</v>
      </c>
      <c r="K9" s="718">
        <v>0</v>
      </c>
      <c r="L9" s="718">
        <v>0</v>
      </c>
      <c r="N9" s="700"/>
      <c r="O9" s="700"/>
      <c r="P9" s="700"/>
      <c r="Q9" s="700"/>
      <c r="R9" s="700"/>
      <c r="S9" s="700"/>
      <c r="T9" s="700"/>
      <c r="U9" s="700"/>
      <c r="V9" s="700"/>
      <c r="W9" s="700"/>
    </row>
    <row r="10" spans="1:23">
      <c r="A10" s="384">
        <v>4</v>
      </c>
      <c r="B10" s="397" t="s">
        <v>489</v>
      </c>
      <c r="C10" s="716">
        <v>103667631.05603456</v>
      </c>
      <c r="D10" s="695">
        <v>83949554.140020758</v>
      </c>
      <c r="E10" s="695">
        <v>4892438.8674253821</v>
      </c>
      <c r="F10" s="718">
        <v>14825638.048588419</v>
      </c>
      <c r="G10" s="718">
        <v>0</v>
      </c>
      <c r="H10" s="695">
        <v>709789.10827832785</v>
      </c>
      <c r="I10" s="718">
        <v>571339.33474292629</v>
      </c>
      <c r="J10" s="718">
        <v>23326.346540000002</v>
      </c>
      <c r="K10" s="718">
        <v>115123.42699540162</v>
      </c>
      <c r="L10" s="718">
        <v>0</v>
      </c>
      <c r="N10" s="700"/>
      <c r="O10" s="700"/>
      <c r="P10" s="700"/>
      <c r="Q10" s="700"/>
      <c r="R10" s="700"/>
      <c r="S10" s="700"/>
      <c r="T10" s="700"/>
      <c r="U10" s="700"/>
      <c r="V10" s="700"/>
      <c r="W10" s="700"/>
    </row>
    <row r="11" spans="1:23">
      <c r="A11" s="384">
        <v>5</v>
      </c>
      <c r="B11" s="397" t="s">
        <v>490</v>
      </c>
      <c r="C11" s="716">
        <v>90024468.897759467</v>
      </c>
      <c r="D11" s="695">
        <v>81336046.142414302</v>
      </c>
      <c r="E11" s="695">
        <v>7577471.6369331768</v>
      </c>
      <c r="F11" s="718">
        <v>1110951.1184120001</v>
      </c>
      <c r="G11" s="718">
        <v>0</v>
      </c>
      <c r="H11" s="695">
        <v>1336868.1201085241</v>
      </c>
      <c r="I11" s="718">
        <v>201114.82912794547</v>
      </c>
      <c r="J11" s="718">
        <v>1070962.5698993898</v>
      </c>
      <c r="K11" s="718">
        <v>64790.721081188931</v>
      </c>
      <c r="L11" s="718">
        <v>0</v>
      </c>
      <c r="N11" s="700"/>
      <c r="O11" s="700"/>
      <c r="P11" s="700"/>
      <c r="Q11" s="700"/>
      <c r="R11" s="700"/>
      <c r="S11" s="700"/>
      <c r="T11" s="700"/>
      <c r="U11" s="700"/>
      <c r="V11" s="700"/>
      <c r="W11" s="700"/>
    </row>
    <row r="12" spans="1:23">
      <c r="A12" s="384">
        <v>6</v>
      </c>
      <c r="B12" s="397" t="s">
        <v>491</v>
      </c>
      <c r="C12" s="716">
        <v>24119911.082972933</v>
      </c>
      <c r="D12" s="695">
        <v>23178695.387843397</v>
      </c>
      <c r="E12" s="695">
        <v>941207.81512953539</v>
      </c>
      <c r="F12" s="718">
        <v>7.88</v>
      </c>
      <c r="G12" s="718">
        <v>0</v>
      </c>
      <c r="H12" s="695">
        <v>100013.22841482006</v>
      </c>
      <c r="I12" s="718">
        <v>95299.309334820049</v>
      </c>
      <c r="J12" s="718">
        <v>4706.0390799999996</v>
      </c>
      <c r="K12" s="718">
        <v>7.88</v>
      </c>
      <c r="L12" s="718">
        <v>0</v>
      </c>
      <c r="N12" s="700"/>
      <c r="O12" s="700"/>
      <c r="P12" s="700"/>
      <c r="Q12" s="700"/>
      <c r="R12" s="700"/>
      <c r="S12" s="700"/>
      <c r="T12" s="700"/>
      <c r="U12" s="700"/>
      <c r="V12" s="700"/>
      <c r="W12" s="700"/>
    </row>
    <row r="13" spans="1:23">
      <c r="A13" s="384">
        <v>7</v>
      </c>
      <c r="B13" s="397" t="s">
        <v>492</v>
      </c>
      <c r="C13" s="716">
        <v>16759617.101520792</v>
      </c>
      <c r="D13" s="695">
        <v>11628762.558291586</v>
      </c>
      <c r="E13" s="695">
        <v>3270239.55412</v>
      </c>
      <c r="F13" s="718">
        <v>1860614.989109206</v>
      </c>
      <c r="G13" s="718">
        <v>0</v>
      </c>
      <c r="H13" s="695">
        <v>72047.309966618021</v>
      </c>
      <c r="I13" s="718">
        <v>31475.10652267437</v>
      </c>
      <c r="J13" s="718">
        <v>13045.17843</v>
      </c>
      <c r="K13" s="718">
        <v>27527.025013943654</v>
      </c>
      <c r="L13" s="718">
        <v>0</v>
      </c>
      <c r="N13" s="700"/>
      <c r="O13" s="700"/>
      <c r="P13" s="700"/>
      <c r="Q13" s="700"/>
      <c r="R13" s="700"/>
      <c r="S13" s="700"/>
      <c r="T13" s="700"/>
      <c r="U13" s="700"/>
      <c r="V13" s="700"/>
      <c r="W13" s="700"/>
    </row>
    <row r="14" spans="1:23">
      <c r="A14" s="384">
        <v>8</v>
      </c>
      <c r="B14" s="397" t="s">
        <v>493</v>
      </c>
      <c r="C14" s="716">
        <v>6645618.4728156831</v>
      </c>
      <c r="D14" s="695">
        <v>5793717.3902376825</v>
      </c>
      <c r="E14" s="695">
        <v>555817.97724799998</v>
      </c>
      <c r="F14" s="718">
        <v>296083.10533000005</v>
      </c>
      <c r="G14" s="718">
        <v>0</v>
      </c>
      <c r="H14" s="695">
        <v>140323.04379710439</v>
      </c>
      <c r="I14" s="718">
        <v>8329.2162209346443</v>
      </c>
      <c r="J14" s="718">
        <v>2288.362244440028</v>
      </c>
      <c r="K14" s="718">
        <v>129705.46533172972</v>
      </c>
      <c r="L14" s="718">
        <v>0</v>
      </c>
      <c r="N14" s="700"/>
      <c r="O14" s="700"/>
      <c r="P14" s="700"/>
      <c r="Q14" s="700"/>
      <c r="R14" s="700"/>
      <c r="S14" s="700"/>
      <c r="T14" s="700"/>
      <c r="U14" s="700"/>
      <c r="V14" s="700"/>
      <c r="W14" s="700"/>
    </row>
    <row r="15" spans="1:23">
      <c r="A15" s="384">
        <v>9</v>
      </c>
      <c r="B15" s="397" t="s">
        <v>494</v>
      </c>
      <c r="C15" s="716">
        <v>228323871.05666882</v>
      </c>
      <c r="D15" s="695">
        <v>225254245.74140543</v>
      </c>
      <c r="E15" s="695">
        <v>0</v>
      </c>
      <c r="F15" s="718">
        <v>3069625.3152633957</v>
      </c>
      <c r="G15" s="718">
        <v>0</v>
      </c>
      <c r="H15" s="695">
        <v>2243400.4315505675</v>
      </c>
      <c r="I15" s="718">
        <v>1510709.701024611</v>
      </c>
      <c r="J15" s="718">
        <v>0</v>
      </c>
      <c r="K15" s="718">
        <v>732690.73052595695</v>
      </c>
      <c r="L15" s="718">
        <v>0</v>
      </c>
      <c r="N15" s="700"/>
      <c r="O15" s="700"/>
      <c r="P15" s="700"/>
      <c r="Q15" s="700"/>
      <c r="R15" s="700"/>
      <c r="S15" s="700"/>
      <c r="T15" s="700"/>
      <c r="U15" s="700"/>
      <c r="V15" s="700"/>
      <c r="W15" s="700"/>
    </row>
    <row r="16" spans="1:23">
      <c r="A16" s="384">
        <v>10</v>
      </c>
      <c r="B16" s="397" t="s">
        <v>495</v>
      </c>
      <c r="C16" s="716">
        <v>6060341.6547799166</v>
      </c>
      <c r="D16" s="695">
        <v>6060341.6547799166</v>
      </c>
      <c r="E16" s="695">
        <v>0</v>
      </c>
      <c r="F16" s="718">
        <v>0</v>
      </c>
      <c r="G16" s="718">
        <v>0</v>
      </c>
      <c r="H16" s="695">
        <v>19947.299933803919</v>
      </c>
      <c r="I16" s="718">
        <v>19947.299933803919</v>
      </c>
      <c r="J16" s="718">
        <v>0</v>
      </c>
      <c r="K16" s="718">
        <v>0</v>
      </c>
      <c r="L16" s="718">
        <v>0</v>
      </c>
      <c r="N16" s="700"/>
      <c r="O16" s="700"/>
      <c r="P16" s="700"/>
      <c r="Q16" s="700"/>
      <c r="R16" s="700"/>
      <c r="S16" s="700"/>
      <c r="T16" s="700"/>
      <c r="U16" s="700"/>
      <c r="V16" s="700"/>
      <c r="W16" s="700"/>
    </row>
    <row r="17" spans="1:23">
      <c r="A17" s="384">
        <v>11</v>
      </c>
      <c r="B17" s="397" t="s">
        <v>496</v>
      </c>
      <c r="C17" s="716">
        <v>542419.97</v>
      </c>
      <c r="D17" s="695">
        <v>542419.97</v>
      </c>
      <c r="E17" s="695">
        <v>0</v>
      </c>
      <c r="F17" s="718">
        <v>0</v>
      </c>
      <c r="G17" s="718">
        <v>0</v>
      </c>
      <c r="H17" s="695">
        <v>66.274917900089008</v>
      </c>
      <c r="I17" s="718">
        <v>66.274917900089008</v>
      </c>
      <c r="J17" s="718">
        <v>0</v>
      </c>
      <c r="K17" s="718">
        <v>0</v>
      </c>
      <c r="L17" s="718">
        <v>0</v>
      </c>
      <c r="N17" s="700"/>
      <c r="O17" s="700"/>
      <c r="P17" s="700"/>
      <c r="Q17" s="700"/>
      <c r="R17" s="700"/>
      <c r="S17" s="700"/>
      <c r="T17" s="700"/>
      <c r="U17" s="700"/>
      <c r="V17" s="700"/>
      <c r="W17" s="700"/>
    </row>
    <row r="18" spans="1:23">
      <c r="A18" s="384">
        <v>12</v>
      </c>
      <c r="B18" s="397" t="s">
        <v>497</v>
      </c>
      <c r="C18" s="716">
        <v>50618363.312524468</v>
      </c>
      <c r="D18" s="695">
        <v>24243283.054782484</v>
      </c>
      <c r="E18" s="695">
        <v>0</v>
      </c>
      <c r="F18" s="718">
        <v>26375080.257742003</v>
      </c>
      <c r="G18" s="718">
        <v>0</v>
      </c>
      <c r="H18" s="695">
        <v>11468868.396960588</v>
      </c>
      <c r="I18" s="718">
        <v>120724.95237825123</v>
      </c>
      <c r="J18" s="718">
        <v>0</v>
      </c>
      <c r="K18" s="718">
        <v>11348143.444582338</v>
      </c>
      <c r="L18" s="718">
        <v>0</v>
      </c>
      <c r="N18" s="700"/>
      <c r="O18" s="700"/>
      <c r="P18" s="700"/>
      <c r="Q18" s="700"/>
      <c r="R18" s="700"/>
      <c r="S18" s="700"/>
      <c r="T18" s="700"/>
      <c r="U18" s="700"/>
      <c r="V18" s="700"/>
      <c r="W18" s="700"/>
    </row>
    <row r="19" spans="1:23">
      <c r="A19" s="384">
        <v>13</v>
      </c>
      <c r="B19" s="397" t="s">
        <v>498</v>
      </c>
      <c r="C19" s="716">
        <v>17554476.683452383</v>
      </c>
      <c r="D19" s="695">
        <v>11958707.424540605</v>
      </c>
      <c r="E19" s="695">
        <v>2427646.9884369886</v>
      </c>
      <c r="F19" s="718">
        <v>3168122.2704747887</v>
      </c>
      <c r="G19" s="718">
        <v>0</v>
      </c>
      <c r="H19" s="695">
        <v>1780984.9619527718</v>
      </c>
      <c r="I19" s="718">
        <v>41211.770876786468</v>
      </c>
      <c r="J19" s="718">
        <v>70233.661285081296</v>
      </c>
      <c r="K19" s="718">
        <v>1669539.5297909044</v>
      </c>
      <c r="L19" s="718">
        <v>0</v>
      </c>
      <c r="N19" s="700"/>
      <c r="O19" s="700"/>
      <c r="P19" s="700"/>
      <c r="Q19" s="700"/>
      <c r="R19" s="700"/>
      <c r="S19" s="700"/>
      <c r="T19" s="700"/>
      <c r="U19" s="700"/>
      <c r="V19" s="700"/>
      <c r="W19" s="700"/>
    </row>
    <row r="20" spans="1:23">
      <c r="A20" s="384">
        <v>14</v>
      </c>
      <c r="B20" s="397" t="s">
        <v>499</v>
      </c>
      <c r="C20" s="716">
        <v>48518983.322807647</v>
      </c>
      <c r="D20" s="695">
        <v>27723250.248588514</v>
      </c>
      <c r="E20" s="695">
        <v>4374768.1505501028</v>
      </c>
      <c r="F20" s="718">
        <v>15955525.777793033</v>
      </c>
      <c r="G20" s="718">
        <v>465439.145876</v>
      </c>
      <c r="H20" s="695">
        <v>454496.04772870883</v>
      </c>
      <c r="I20" s="718">
        <v>109716.63701547273</v>
      </c>
      <c r="J20" s="718">
        <v>20997.832046212774</v>
      </c>
      <c r="K20" s="718">
        <v>321454.38293764327</v>
      </c>
      <c r="L20" s="718">
        <v>2327.1957293800001</v>
      </c>
      <c r="N20" s="700"/>
      <c r="O20" s="700"/>
      <c r="P20" s="700"/>
      <c r="Q20" s="700"/>
      <c r="R20" s="700"/>
      <c r="S20" s="700"/>
      <c r="T20" s="700"/>
      <c r="U20" s="700"/>
      <c r="V20" s="700"/>
      <c r="W20" s="700"/>
    </row>
    <row r="21" spans="1:23">
      <c r="A21" s="384">
        <v>15</v>
      </c>
      <c r="B21" s="397" t="s">
        <v>500</v>
      </c>
      <c r="C21" s="716">
        <v>2703222.8659979999</v>
      </c>
      <c r="D21" s="695">
        <v>2266741.64</v>
      </c>
      <c r="E21" s="695">
        <v>0</v>
      </c>
      <c r="F21" s="718">
        <v>436481.22599800001</v>
      </c>
      <c r="G21" s="718">
        <v>0</v>
      </c>
      <c r="H21" s="695">
        <v>81390.64988613344</v>
      </c>
      <c r="I21" s="718">
        <v>3600.0109000000002</v>
      </c>
      <c r="J21" s="718">
        <v>0</v>
      </c>
      <c r="K21" s="718">
        <v>77790.638986133446</v>
      </c>
      <c r="L21" s="718">
        <v>0</v>
      </c>
      <c r="N21" s="700"/>
      <c r="O21" s="700"/>
      <c r="P21" s="700"/>
      <c r="Q21" s="700"/>
      <c r="R21" s="700"/>
      <c r="S21" s="700"/>
      <c r="T21" s="700"/>
      <c r="U21" s="700"/>
      <c r="V21" s="700"/>
      <c r="W21" s="700"/>
    </row>
    <row r="22" spans="1:23">
      <c r="A22" s="384">
        <v>16</v>
      </c>
      <c r="B22" s="397" t="s">
        <v>501</v>
      </c>
      <c r="C22" s="716">
        <v>75800668.592316389</v>
      </c>
      <c r="D22" s="695">
        <v>0</v>
      </c>
      <c r="E22" s="695">
        <v>75800668.592316389</v>
      </c>
      <c r="F22" s="718">
        <v>0</v>
      </c>
      <c r="G22" s="718">
        <v>0</v>
      </c>
      <c r="H22" s="695">
        <v>7803128.1096099988</v>
      </c>
      <c r="I22" s="718">
        <v>0</v>
      </c>
      <c r="J22" s="718">
        <v>7803128.1096099988</v>
      </c>
      <c r="K22" s="718">
        <v>0</v>
      </c>
      <c r="L22" s="718">
        <v>0</v>
      </c>
      <c r="N22" s="700"/>
      <c r="O22" s="700"/>
      <c r="P22" s="700"/>
      <c r="Q22" s="700"/>
      <c r="R22" s="700"/>
      <c r="S22" s="700"/>
      <c r="T22" s="700"/>
      <c r="U22" s="700"/>
      <c r="V22" s="700"/>
      <c r="W22" s="700"/>
    </row>
    <row r="23" spans="1:23">
      <c r="A23" s="384">
        <v>17</v>
      </c>
      <c r="B23" s="397" t="s">
        <v>502</v>
      </c>
      <c r="C23" s="716">
        <v>99901486.648403108</v>
      </c>
      <c r="D23" s="695">
        <v>99901486.648403108</v>
      </c>
      <c r="E23" s="695">
        <v>0</v>
      </c>
      <c r="F23" s="718">
        <v>0</v>
      </c>
      <c r="G23" s="718">
        <v>0</v>
      </c>
      <c r="H23" s="695">
        <v>563256.22914156585</v>
      </c>
      <c r="I23" s="718">
        <v>563256.22914156585</v>
      </c>
      <c r="J23" s="718">
        <v>0</v>
      </c>
      <c r="K23" s="718">
        <v>0</v>
      </c>
      <c r="L23" s="718">
        <v>0</v>
      </c>
      <c r="N23" s="700"/>
      <c r="O23" s="700"/>
      <c r="P23" s="700"/>
      <c r="Q23" s="700"/>
      <c r="R23" s="700"/>
      <c r="S23" s="700"/>
      <c r="T23" s="700"/>
      <c r="U23" s="700"/>
      <c r="V23" s="700"/>
      <c r="W23" s="700"/>
    </row>
    <row r="24" spans="1:23">
      <c r="A24" s="384">
        <v>18</v>
      </c>
      <c r="B24" s="397" t="s">
        <v>503</v>
      </c>
      <c r="C24" s="716">
        <v>20247039.848008621</v>
      </c>
      <c r="D24" s="695">
        <v>20247039.848008621</v>
      </c>
      <c r="E24" s="695">
        <v>0</v>
      </c>
      <c r="F24" s="718">
        <v>0</v>
      </c>
      <c r="G24" s="718">
        <v>0</v>
      </c>
      <c r="H24" s="695">
        <v>465831.04986638273</v>
      </c>
      <c r="I24" s="718">
        <v>465831.04986638273</v>
      </c>
      <c r="J24" s="718">
        <v>0</v>
      </c>
      <c r="K24" s="718">
        <v>0</v>
      </c>
      <c r="L24" s="718">
        <v>0</v>
      </c>
      <c r="N24" s="700"/>
      <c r="O24" s="700"/>
      <c r="P24" s="700"/>
      <c r="Q24" s="700"/>
      <c r="R24" s="700"/>
      <c r="S24" s="700"/>
      <c r="T24" s="700"/>
      <c r="U24" s="700"/>
      <c r="V24" s="700"/>
      <c r="W24" s="700"/>
    </row>
    <row r="25" spans="1:23">
      <c r="A25" s="384">
        <v>19</v>
      </c>
      <c r="B25" s="397" t="s">
        <v>504</v>
      </c>
      <c r="C25" s="716">
        <v>11984654.734898001</v>
      </c>
      <c r="D25" s="695">
        <v>11984654.734898001</v>
      </c>
      <c r="E25" s="695">
        <v>0</v>
      </c>
      <c r="F25" s="718">
        <v>0</v>
      </c>
      <c r="G25" s="718">
        <v>0</v>
      </c>
      <c r="H25" s="695">
        <v>92097.68550183055</v>
      </c>
      <c r="I25" s="718">
        <v>92097.68550183055</v>
      </c>
      <c r="J25" s="718">
        <v>0</v>
      </c>
      <c r="K25" s="718">
        <v>0</v>
      </c>
      <c r="L25" s="718">
        <v>0</v>
      </c>
      <c r="N25" s="700"/>
      <c r="O25" s="700"/>
      <c r="P25" s="700"/>
      <c r="Q25" s="700"/>
      <c r="R25" s="700"/>
      <c r="S25" s="700"/>
      <c r="T25" s="700"/>
      <c r="U25" s="700"/>
      <c r="V25" s="700"/>
      <c r="W25" s="700"/>
    </row>
    <row r="26" spans="1:23">
      <c r="A26" s="384">
        <v>20</v>
      </c>
      <c r="B26" s="397" t="s">
        <v>505</v>
      </c>
      <c r="C26" s="716">
        <v>60004040.985850558</v>
      </c>
      <c r="D26" s="695">
        <v>48628075.419250965</v>
      </c>
      <c r="E26" s="695">
        <v>11375965.566599576</v>
      </c>
      <c r="F26" s="718">
        <v>0</v>
      </c>
      <c r="G26" s="718">
        <v>0</v>
      </c>
      <c r="H26" s="695">
        <v>2182611.3636669219</v>
      </c>
      <c r="I26" s="718">
        <v>212180.56406903325</v>
      </c>
      <c r="J26" s="718">
        <v>1970430.7995978906</v>
      </c>
      <c r="K26" s="718">
        <v>0</v>
      </c>
      <c r="L26" s="718">
        <v>0</v>
      </c>
      <c r="N26" s="700"/>
      <c r="O26" s="700"/>
      <c r="P26" s="700"/>
      <c r="Q26" s="700"/>
      <c r="R26" s="700"/>
      <c r="S26" s="700"/>
      <c r="T26" s="700"/>
      <c r="U26" s="700"/>
      <c r="V26" s="700"/>
      <c r="W26" s="700"/>
    </row>
    <row r="27" spans="1:23">
      <c r="A27" s="384">
        <v>21</v>
      </c>
      <c r="B27" s="397" t="s">
        <v>506</v>
      </c>
      <c r="C27" s="716">
        <v>7623602.0482131224</v>
      </c>
      <c r="D27" s="695">
        <v>7623602.0482131224</v>
      </c>
      <c r="E27" s="695">
        <v>0</v>
      </c>
      <c r="F27" s="718">
        <v>0</v>
      </c>
      <c r="G27" s="718">
        <v>0</v>
      </c>
      <c r="H27" s="695">
        <v>15865.22038180755</v>
      </c>
      <c r="I27" s="718">
        <v>15865.22038180755</v>
      </c>
      <c r="J27" s="718">
        <v>0</v>
      </c>
      <c r="K27" s="718">
        <v>0</v>
      </c>
      <c r="L27" s="718">
        <v>0</v>
      </c>
      <c r="N27" s="700"/>
      <c r="O27" s="700"/>
      <c r="P27" s="700"/>
      <c r="Q27" s="700"/>
      <c r="R27" s="700"/>
      <c r="S27" s="700"/>
      <c r="T27" s="700"/>
      <c r="U27" s="700"/>
      <c r="V27" s="700"/>
      <c r="W27" s="700"/>
    </row>
    <row r="28" spans="1:23">
      <c r="A28" s="384">
        <v>22</v>
      </c>
      <c r="B28" s="397" t="s">
        <v>507</v>
      </c>
      <c r="C28" s="716">
        <v>38424851.791387409</v>
      </c>
      <c r="D28" s="695">
        <v>35683742.039924055</v>
      </c>
      <c r="E28" s="695">
        <v>0</v>
      </c>
      <c r="F28" s="718">
        <v>2741109.7514633513</v>
      </c>
      <c r="G28" s="718">
        <v>0</v>
      </c>
      <c r="H28" s="695">
        <v>303523.57260811719</v>
      </c>
      <c r="I28" s="718">
        <v>4290.1648600000453</v>
      </c>
      <c r="J28" s="718">
        <v>0</v>
      </c>
      <c r="K28" s="718">
        <v>299233.40774811717</v>
      </c>
      <c r="L28" s="718">
        <v>0</v>
      </c>
      <c r="N28" s="700"/>
      <c r="O28" s="700"/>
      <c r="P28" s="700"/>
      <c r="Q28" s="700"/>
      <c r="R28" s="700"/>
      <c r="S28" s="700"/>
      <c r="T28" s="700"/>
      <c r="U28" s="700"/>
      <c r="V28" s="700"/>
      <c r="W28" s="700"/>
    </row>
    <row r="29" spans="1:23">
      <c r="A29" s="384">
        <v>23</v>
      </c>
      <c r="B29" s="397" t="s">
        <v>508</v>
      </c>
      <c r="C29" s="716">
        <v>80904603.30737254</v>
      </c>
      <c r="D29" s="695">
        <v>75916840.791606784</v>
      </c>
      <c r="E29" s="695">
        <v>1678247.7163241568</v>
      </c>
      <c r="F29" s="718">
        <v>3309514.7994416226</v>
      </c>
      <c r="G29" s="718">
        <v>0</v>
      </c>
      <c r="H29" s="695">
        <v>404142.78407342132</v>
      </c>
      <c r="I29" s="718">
        <v>332171.17115335877</v>
      </c>
      <c r="J29" s="718">
        <v>7223.8336998215636</v>
      </c>
      <c r="K29" s="718">
        <v>64747.779220241035</v>
      </c>
      <c r="L29" s="718">
        <v>0</v>
      </c>
      <c r="N29" s="700"/>
      <c r="O29" s="700"/>
      <c r="P29" s="700"/>
      <c r="Q29" s="700"/>
      <c r="R29" s="700"/>
      <c r="S29" s="700"/>
      <c r="T29" s="700"/>
      <c r="U29" s="700"/>
      <c r="V29" s="700"/>
      <c r="W29" s="700"/>
    </row>
    <row r="30" spans="1:23">
      <c r="A30" s="384">
        <v>24</v>
      </c>
      <c r="B30" s="397" t="s">
        <v>509</v>
      </c>
      <c r="C30" s="716">
        <v>40739632.723977819</v>
      </c>
      <c r="D30" s="695">
        <v>34736575.057682566</v>
      </c>
      <c r="E30" s="695">
        <v>934562.5196396535</v>
      </c>
      <c r="F30" s="718">
        <v>5068495.1466555996</v>
      </c>
      <c r="G30" s="718">
        <v>0</v>
      </c>
      <c r="H30" s="695">
        <v>992717.06769990816</v>
      </c>
      <c r="I30" s="718">
        <v>68382.522641011397</v>
      </c>
      <c r="J30" s="718">
        <v>2004.1150627402933</v>
      </c>
      <c r="K30" s="718">
        <v>922330.4299961559</v>
      </c>
      <c r="L30" s="718">
        <v>0</v>
      </c>
      <c r="N30" s="700"/>
      <c r="O30" s="700"/>
      <c r="P30" s="700"/>
      <c r="Q30" s="700"/>
      <c r="R30" s="700"/>
      <c r="S30" s="700"/>
      <c r="T30" s="700"/>
      <c r="U30" s="700"/>
      <c r="V30" s="700"/>
      <c r="W30" s="700"/>
    </row>
    <row r="31" spans="1:23">
      <c r="A31" s="384">
        <v>25</v>
      </c>
      <c r="B31" s="397" t="s">
        <v>510</v>
      </c>
      <c r="C31" s="716">
        <v>117492871.75352277</v>
      </c>
      <c r="D31" s="695">
        <v>109656653.00939758</v>
      </c>
      <c r="E31" s="695">
        <v>976485.84568922198</v>
      </c>
      <c r="F31" s="718">
        <v>6347788.4275260046</v>
      </c>
      <c r="G31" s="718">
        <v>511944.47090999997</v>
      </c>
      <c r="H31" s="695">
        <v>2837918.9538352224</v>
      </c>
      <c r="I31" s="718">
        <v>869633.28950446623</v>
      </c>
      <c r="J31" s="718">
        <v>1823.5131414131074</v>
      </c>
      <c r="K31" s="718">
        <v>1965369.8340853513</v>
      </c>
      <c r="L31" s="718">
        <v>1092.3171039903493</v>
      </c>
      <c r="N31" s="700"/>
      <c r="O31" s="700"/>
      <c r="P31" s="700"/>
      <c r="Q31" s="700"/>
      <c r="R31" s="700"/>
      <c r="S31" s="700"/>
      <c r="T31" s="700"/>
      <c r="U31" s="700"/>
      <c r="V31" s="700"/>
      <c r="W31" s="700"/>
    </row>
    <row r="32" spans="1:23">
      <c r="A32" s="384">
        <v>26</v>
      </c>
      <c r="B32" s="397" t="s">
        <v>566</v>
      </c>
      <c r="C32" s="716">
        <v>280823.73866199987</v>
      </c>
      <c r="D32" s="695">
        <v>127350.38976200001</v>
      </c>
      <c r="E32" s="695">
        <v>0</v>
      </c>
      <c r="F32" s="718">
        <v>153473.34890000022</v>
      </c>
      <c r="G32" s="718">
        <v>0</v>
      </c>
      <c r="H32" s="695">
        <v>156020.35669524019</v>
      </c>
      <c r="I32" s="718">
        <v>2547.0077952400002</v>
      </c>
      <c r="J32" s="718">
        <v>0</v>
      </c>
      <c r="K32" s="718">
        <v>153473.34890000022</v>
      </c>
      <c r="L32" s="718">
        <v>0</v>
      </c>
      <c r="N32" s="700"/>
      <c r="O32" s="700"/>
      <c r="P32" s="700"/>
      <c r="Q32" s="700"/>
      <c r="R32" s="700"/>
      <c r="S32" s="700"/>
      <c r="T32" s="700"/>
      <c r="U32" s="700"/>
      <c r="V32" s="700"/>
      <c r="W32" s="700"/>
    </row>
    <row r="33" spans="1:23">
      <c r="A33" s="384">
        <v>27</v>
      </c>
      <c r="B33" s="442" t="s">
        <v>66</v>
      </c>
      <c r="C33" s="719">
        <v>1173337976.6898794</v>
      </c>
      <c r="D33" s="697">
        <v>972003934.90156531</v>
      </c>
      <c r="E33" s="697">
        <v>115016115.17084017</v>
      </c>
      <c r="F33" s="720">
        <v>85340543.000688121</v>
      </c>
      <c r="G33" s="720">
        <v>977383.61678599997</v>
      </c>
      <c r="H33" s="697">
        <v>34532494.034186922</v>
      </c>
      <c r="I33" s="720">
        <v>5561612.8259794544</v>
      </c>
      <c r="J33" s="720">
        <v>10993395.690779816</v>
      </c>
      <c r="K33" s="720">
        <v>17974066.004594281</v>
      </c>
      <c r="L33" s="720">
        <v>3419.5128333703497</v>
      </c>
      <c r="N33" s="700"/>
      <c r="O33" s="700"/>
      <c r="P33" s="700"/>
      <c r="Q33" s="700"/>
      <c r="R33" s="700"/>
      <c r="S33" s="700"/>
      <c r="T33" s="700"/>
      <c r="U33" s="700"/>
      <c r="V33" s="700"/>
      <c r="W33" s="700"/>
    </row>
    <row r="35" spans="1:23">
      <c r="B35" s="441"/>
      <c r="C35" s="441"/>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9"/>
  <sheetViews>
    <sheetView showGridLines="0" zoomScale="80" zoomScaleNormal="80" workbookViewId="0"/>
  </sheetViews>
  <sheetFormatPr defaultColWidth="8.7109375" defaultRowHeight="12"/>
  <cols>
    <col min="1" max="1" width="11.7109375" style="306" bestFit="1" customWidth="1"/>
    <col min="2" max="2" width="165.140625" style="306" customWidth="1"/>
    <col min="3" max="11" width="28.28515625" style="306" customWidth="1"/>
    <col min="12" max="16384" width="8.7109375" style="306"/>
  </cols>
  <sheetData>
    <row r="1" spans="1:11" s="300" customFormat="1" ht="13.5">
      <c r="A1" s="299" t="s">
        <v>97</v>
      </c>
      <c r="B1" s="221" t="str">
        <f>Info!C2</f>
        <v>სს "ბანკი ქართუ"</v>
      </c>
      <c r="C1" s="394"/>
      <c r="D1" s="394"/>
      <c r="E1" s="394"/>
      <c r="F1" s="394"/>
      <c r="G1" s="394"/>
      <c r="H1" s="394"/>
      <c r="I1" s="394"/>
      <c r="J1" s="394"/>
      <c r="K1" s="394"/>
    </row>
    <row r="2" spans="1:11" s="300" customFormat="1" ht="12.75">
      <c r="A2" s="299" t="s">
        <v>98</v>
      </c>
      <c r="B2" s="634">
        <f>'1. key ratios'!B2</f>
        <v>46112</v>
      </c>
      <c r="C2" s="394"/>
      <c r="D2" s="394"/>
      <c r="E2" s="394"/>
      <c r="F2" s="394"/>
      <c r="G2" s="394"/>
      <c r="H2" s="394"/>
      <c r="I2" s="394"/>
      <c r="J2" s="394"/>
      <c r="K2" s="394"/>
    </row>
    <row r="3" spans="1:11" s="300" customFormat="1" ht="12.75">
      <c r="A3" s="301" t="s">
        <v>567</v>
      </c>
      <c r="B3" s="394"/>
      <c r="C3" s="394"/>
      <c r="D3" s="394"/>
      <c r="E3" s="394"/>
      <c r="F3" s="394"/>
      <c r="G3" s="394"/>
      <c r="H3" s="394"/>
      <c r="I3" s="394"/>
      <c r="J3" s="394"/>
      <c r="K3" s="394"/>
    </row>
    <row r="4" spans="1:11">
      <c r="A4" s="446"/>
      <c r="B4" s="446"/>
      <c r="C4" s="445" t="s">
        <v>471</v>
      </c>
      <c r="D4" s="445" t="s">
        <v>472</v>
      </c>
      <c r="E4" s="445" t="s">
        <v>473</v>
      </c>
      <c r="F4" s="445" t="s">
        <v>474</v>
      </c>
      <c r="G4" s="445" t="s">
        <v>475</v>
      </c>
      <c r="H4" s="445" t="s">
        <v>476</v>
      </c>
      <c r="I4" s="445" t="s">
        <v>477</v>
      </c>
      <c r="J4" s="445" t="s">
        <v>478</v>
      </c>
      <c r="K4" s="445" t="s">
        <v>479</v>
      </c>
    </row>
    <row r="5" spans="1:11" ht="103.9" customHeight="1">
      <c r="A5" s="842" t="s">
        <v>874</v>
      </c>
      <c r="B5" s="843"/>
      <c r="C5" s="444" t="s">
        <v>568</v>
      </c>
      <c r="D5" s="444" t="s">
        <v>561</v>
      </c>
      <c r="E5" s="444" t="s">
        <v>562</v>
      </c>
      <c r="F5" s="444" t="s">
        <v>873</v>
      </c>
      <c r="G5" s="444" t="s">
        <v>569</v>
      </c>
      <c r="H5" s="444" t="s">
        <v>570</v>
      </c>
      <c r="I5" s="444" t="s">
        <v>571</v>
      </c>
      <c r="J5" s="444" t="s">
        <v>572</v>
      </c>
      <c r="K5" s="444" t="s">
        <v>573</v>
      </c>
    </row>
    <row r="6" spans="1:11" ht="12.75">
      <c r="A6" s="384">
        <v>1</v>
      </c>
      <c r="B6" s="384" t="s">
        <v>574</v>
      </c>
      <c r="C6" s="695">
        <v>105109936.05205338</v>
      </c>
      <c r="D6" s="695">
        <v>3991758.6669999999</v>
      </c>
      <c r="E6" s="695">
        <v>0</v>
      </c>
      <c r="F6" s="695">
        <v>0</v>
      </c>
      <c r="G6" s="695">
        <v>833752947.23819506</v>
      </c>
      <c r="H6" s="695">
        <v>7791100.2175352816</v>
      </c>
      <c r="I6" s="695">
        <v>173223172.9806987</v>
      </c>
      <c r="J6" s="695">
        <v>7334238.5811075158</v>
      </c>
      <c r="K6" s="695">
        <v>42134822.953289308</v>
      </c>
    </row>
    <row r="7" spans="1:11" ht="12.75">
      <c r="A7" s="384">
        <v>2</v>
      </c>
      <c r="B7" s="384" t="s">
        <v>575</v>
      </c>
      <c r="C7" s="695">
        <v>0</v>
      </c>
      <c r="D7" s="695">
        <v>0</v>
      </c>
      <c r="E7" s="695">
        <v>0</v>
      </c>
      <c r="F7" s="695">
        <v>0</v>
      </c>
      <c r="G7" s="695">
        <v>8167209.7000000002</v>
      </c>
      <c r="H7" s="695">
        <v>0</v>
      </c>
      <c r="I7" s="695">
        <v>26073449.32</v>
      </c>
      <c r="J7" s="695">
        <v>8256851.2400000002</v>
      </c>
      <c r="K7" s="695">
        <v>12737953.98</v>
      </c>
    </row>
    <row r="8" spans="1:11" ht="12.75">
      <c r="A8" s="384">
        <v>3</v>
      </c>
      <c r="B8" s="384" t="s">
        <v>539</v>
      </c>
      <c r="C8" s="695">
        <v>19634340.098325998</v>
      </c>
      <c r="D8" s="695">
        <v>0</v>
      </c>
      <c r="E8" s="695">
        <v>0</v>
      </c>
      <c r="F8" s="695">
        <v>0</v>
      </c>
      <c r="G8" s="695">
        <v>147630860.52400887</v>
      </c>
      <c r="H8" s="695">
        <v>218322.76590671504</v>
      </c>
      <c r="I8" s="695">
        <v>24451718.140701808</v>
      </c>
      <c r="J8" s="695">
        <v>7337535.6779237175</v>
      </c>
      <c r="K8" s="695">
        <v>8375307.0324329324</v>
      </c>
    </row>
    <row r="9" spans="1:11" ht="12.75">
      <c r="A9" s="384">
        <v>4</v>
      </c>
      <c r="B9" s="401" t="s">
        <v>872</v>
      </c>
      <c r="C9" s="722">
        <v>2418146.8619530508</v>
      </c>
      <c r="D9" s="722">
        <v>306186.90999999997</v>
      </c>
      <c r="E9" s="722">
        <v>0</v>
      </c>
      <c r="F9" s="722">
        <v>0</v>
      </c>
      <c r="G9" s="722">
        <v>72896712.752648845</v>
      </c>
      <c r="H9" s="722">
        <v>3959722.9834419983</v>
      </c>
      <c r="I9" s="722">
        <v>2999527.7594514554</v>
      </c>
      <c r="J9" s="722">
        <v>2914648.0542716705</v>
      </c>
      <c r="K9" s="722">
        <v>822981.2957070847</v>
      </c>
    </row>
    <row r="10" spans="1:11" ht="12.75">
      <c r="A10" s="384">
        <v>5</v>
      </c>
      <c r="B10" s="401" t="s">
        <v>871</v>
      </c>
      <c r="C10" s="722">
        <v>0</v>
      </c>
      <c r="D10" s="722">
        <v>0</v>
      </c>
      <c r="E10" s="722">
        <v>0</v>
      </c>
      <c r="F10" s="722">
        <v>0</v>
      </c>
      <c r="G10" s="722">
        <v>0</v>
      </c>
      <c r="H10" s="722">
        <v>0</v>
      </c>
      <c r="I10" s="722">
        <v>0</v>
      </c>
      <c r="J10" s="722">
        <v>0</v>
      </c>
      <c r="K10" s="722">
        <v>0</v>
      </c>
    </row>
    <row r="11" spans="1:11" ht="12.75">
      <c r="A11" s="384">
        <v>6</v>
      </c>
      <c r="B11" s="401" t="s">
        <v>870</v>
      </c>
      <c r="C11" s="722">
        <v>0</v>
      </c>
      <c r="D11" s="722">
        <v>0</v>
      </c>
      <c r="E11" s="722">
        <v>0</v>
      </c>
      <c r="F11" s="722">
        <v>0</v>
      </c>
      <c r="G11" s="722">
        <v>1.3000000035390258E-3</v>
      </c>
      <c r="H11" s="722">
        <v>0</v>
      </c>
      <c r="I11" s="722">
        <v>0</v>
      </c>
      <c r="J11" s="722">
        <v>0</v>
      </c>
      <c r="K11" s="722">
        <v>2339.37</v>
      </c>
    </row>
    <row r="13" spans="1:11" ht="15">
      <c r="B13" s="443"/>
    </row>
    <row r="15" spans="1:11">
      <c r="C15" s="721"/>
      <c r="D15" s="721"/>
      <c r="E15" s="721"/>
      <c r="F15" s="721"/>
      <c r="G15" s="721"/>
      <c r="H15" s="721"/>
      <c r="I15" s="721"/>
      <c r="J15" s="721"/>
      <c r="K15" s="721"/>
    </row>
    <row r="16" spans="1:11">
      <c r="C16" s="721"/>
      <c r="D16" s="721"/>
      <c r="E16" s="721"/>
      <c r="F16" s="721"/>
      <c r="G16" s="721"/>
      <c r="H16" s="721"/>
      <c r="I16" s="721"/>
      <c r="J16" s="721"/>
      <c r="K16" s="721"/>
    </row>
    <row r="17" spans="3:11">
      <c r="C17" s="721"/>
      <c r="D17" s="721"/>
      <c r="E17" s="721"/>
      <c r="F17" s="721"/>
      <c r="G17" s="721"/>
      <c r="H17" s="721"/>
      <c r="I17" s="721"/>
      <c r="J17" s="721"/>
      <c r="K17" s="721"/>
    </row>
    <row r="18" spans="3:11">
      <c r="C18" s="721"/>
      <c r="D18" s="721"/>
      <c r="E18" s="721"/>
      <c r="F18" s="721"/>
      <c r="G18" s="721"/>
      <c r="H18" s="721"/>
      <c r="I18" s="721"/>
      <c r="J18" s="721"/>
      <c r="K18" s="721"/>
    </row>
    <row r="19" spans="3:11">
      <c r="C19" s="721"/>
      <c r="D19" s="721"/>
      <c r="E19" s="721"/>
      <c r="F19" s="721"/>
      <c r="G19" s="721"/>
      <c r="H19" s="721"/>
      <c r="I19" s="721"/>
      <c r="J19" s="721"/>
      <c r="K19" s="721"/>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36"/>
  <sheetViews>
    <sheetView showGridLines="0" zoomScale="80" zoomScaleNormal="80" workbookViewId="0"/>
  </sheetViews>
  <sheetFormatPr defaultColWidth="8.7109375" defaultRowHeight="15"/>
  <cols>
    <col min="1" max="1" width="10" style="447" bestFit="1" customWidth="1"/>
    <col min="2" max="2" width="71.7109375" style="447" customWidth="1"/>
    <col min="3" max="4" width="15.85546875" style="447" bestFit="1" customWidth="1"/>
    <col min="5" max="5" width="15.42578125" style="447" bestFit="1" customWidth="1"/>
    <col min="6" max="6" width="20.140625" style="447" bestFit="1" customWidth="1"/>
    <col min="7" max="7" width="37.85546875" style="447" bestFit="1" customWidth="1"/>
    <col min="8" max="9" width="15.85546875" style="447" bestFit="1" customWidth="1"/>
    <col min="10" max="10" width="15.42578125" style="447" bestFit="1" customWidth="1"/>
    <col min="11" max="11" width="20.140625" style="447" bestFit="1" customWidth="1"/>
    <col min="12" max="12" width="37.85546875" style="447" bestFit="1" customWidth="1"/>
    <col min="13" max="13" width="13" style="447" bestFit="1" customWidth="1"/>
    <col min="14" max="15" width="15.42578125" style="447" bestFit="1" customWidth="1"/>
    <col min="16" max="16" width="20.140625" style="447" bestFit="1" customWidth="1"/>
    <col min="17" max="17" width="37.85546875" style="447" bestFit="1" customWidth="1"/>
    <col min="18" max="18" width="18.140625" style="447" bestFit="1" customWidth="1"/>
    <col min="19" max="19" width="48.140625" style="447" bestFit="1" customWidth="1"/>
    <col min="20" max="20" width="45.85546875" style="447" bestFit="1" customWidth="1"/>
    <col min="21" max="21" width="48.140625" style="447" bestFit="1" customWidth="1"/>
    <col min="22" max="22" width="44.42578125" style="447" bestFit="1" customWidth="1"/>
    <col min="23" max="16384" width="8.7109375" style="447"/>
  </cols>
  <sheetData>
    <row r="1" spans="1:22">
      <c r="A1" s="299" t="s">
        <v>97</v>
      </c>
      <c r="B1" s="221" t="str">
        <f>Info!C2</f>
        <v>სს "ბანკი ქართუ"</v>
      </c>
    </row>
    <row r="2" spans="1:22">
      <c r="A2" s="299" t="s">
        <v>98</v>
      </c>
      <c r="B2" s="634">
        <f>'1. key ratios'!B2</f>
        <v>46112</v>
      </c>
    </row>
    <row r="3" spans="1:22">
      <c r="A3" s="301" t="s">
        <v>657</v>
      </c>
      <c r="B3" s="394"/>
    </row>
    <row r="4" spans="1:22">
      <c r="A4" s="301"/>
      <c r="B4" s="394"/>
    </row>
    <row r="5" spans="1:22" ht="24" customHeight="1">
      <c r="A5" s="844" t="s">
        <v>684</v>
      </c>
      <c r="B5" s="844"/>
      <c r="C5" s="846" t="s">
        <v>876</v>
      </c>
      <c r="D5" s="846"/>
      <c r="E5" s="846"/>
      <c r="F5" s="846"/>
      <c r="G5" s="846"/>
      <c r="H5" s="846" t="s">
        <v>565</v>
      </c>
      <c r="I5" s="846"/>
      <c r="J5" s="846"/>
      <c r="K5" s="846"/>
      <c r="L5" s="846"/>
      <c r="M5" s="846" t="s">
        <v>875</v>
      </c>
      <c r="N5" s="846"/>
      <c r="O5" s="846"/>
      <c r="P5" s="846"/>
      <c r="Q5" s="846"/>
      <c r="R5" s="845" t="s">
        <v>683</v>
      </c>
      <c r="S5" s="845" t="s">
        <v>687</v>
      </c>
      <c r="T5" s="845" t="s">
        <v>686</v>
      </c>
      <c r="U5" s="845" t="s">
        <v>915</v>
      </c>
      <c r="V5" s="845" t="s">
        <v>916</v>
      </c>
    </row>
    <row r="6" spans="1:22" ht="36" customHeight="1">
      <c r="A6" s="844"/>
      <c r="B6" s="844"/>
      <c r="C6" s="456"/>
      <c r="D6" s="392" t="s">
        <v>860</v>
      </c>
      <c r="E6" s="392" t="s">
        <v>859</v>
      </c>
      <c r="F6" s="392" t="s">
        <v>858</v>
      </c>
      <c r="G6" s="392" t="s">
        <v>857</v>
      </c>
      <c r="H6" s="456"/>
      <c r="I6" s="392" t="s">
        <v>860</v>
      </c>
      <c r="J6" s="392" t="s">
        <v>859</v>
      </c>
      <c r="K6" s="392" t="s">
        <v>858</v>
      </c>
      <c r="L6" s="392" t="s">
        <v>857</v>
      </c>
      <c r="M6" s="456"/>
      <c r="N6" s="392" t="s">
        <v>860</v>
      </c>
      <c r="O6" s="392" t="s">
        <v>859</v>
      </c>
      <c r="P6" s="392" t="s">
        <v>858</v>
      </c>
      <c r="Q6" s="392" t="s">
        <v>857</v>
      </c>
      <c r="R6" s="845"/>
      <c r="S6" s="845"/>
      <c r="T6" s="845"/>
      <c r="U6" s="845"/>
      <c r="V6" s="845"/>
    </row>
    <row r="7" spans="1:22">
      <c r="A7" s="451">
        <v>1</v>
      </c>
      <c r="B7" s="455" t="s">
        <v>658</v>
      </c>
      <c r="C7" s="722">
        <v>138522.21999999997</v>
      </c>
      <c r="D7" s="722">
        <v>35708.120000000003</v>
      </c>
      <c r="E7" s="722">
        <v>0</v>
      </c>
      <c r="F7" s="722">
        <v>102814.1</v>
      </c>
      <c r="G7" s="722">
        <v>0</v>
      </c>
      <c r="H7" s="722">
        <v>146373.82630867482</v>
      </c>
      <c r="I7" s="722">
        <v>35886.67</v>
      </c>
      <c r="J7" s="722">
        <v>0</v>
      </c>
      <c r="K7" s="722">
        <v>110487.15630867482</v>
      </c>
      <c r="L7" s="722">
        <v>0</v>
      </c>
      <c r="M7" s="722">
        <v>556.16904812008102</v>
      </c>
      <c r="N7" s="722">
        <v>3.7332665767069821</v>
      </c>
      <c r="O7" s="722">
        <v>0</v>
      </c>
      <c r="P7" s="722">
        <v>552.43578154337411</v>
      </c>
      <c r="Q7" s="722">
        <v>0</v>
      </c>
      <c r="R7" s="722">
        <v>5</v>
      </c>
      <c r="S7" s="722">
        <v>0</v>
      </c>
      <c r="T7" s="722">
        <v>0</v>
      </c>
      <c r="U7" s="722">
        <v>0.1260540529165646</v>
      </c>
      <c r="V7" s="722">
        <v>18.467881353876777</v>
      </c>
    </row>
    <row r="8" spans="1:22">
      <c r="A8" s="451">
        <v>2</v>
      </c>
      <c r="B8" s="454" t="s">
        <v>659</v>
      </c>
      <c r="C8" s="722">
        <v>22880901.614499997</v>
      </c>
      <c r="D8" s="722">
        <v>20895803.6906</v>
      </c>
      <c r="E8" s="722">
        <v>326518.95</v>
      </c>
      <c r="F8" s="722">
        <v>1658578.9739000001</v>
      </c>
      <c r="G8" s="722">
        <v>0</v>
      </c>
      <c r="H8" s="722">
        <v>23318645.290309653</v>
      </c>
      <c r="I8" s="722">
        <v>21316516.831261475</v>
      </c>
      <c r="J8" s="722">
        <v>328214.68</v>
      </c>
      <c r="K8" s="722">
        <v>1673913.7790481707</v>
      </c>
      <c r="L8" s="722">
        <v>0</v>
      </c>
      <c r="M8" s="722">
        <v>297563.69336157443</v>
      </c>
      <c r="N8" s="722">
        <v>187374.03742948856</v>
      </c>
      <c r="O8" s="722">
        <v>2872.5315972522217</v>
      </c>
      <c r="P8" s="722">
        <v>107317.12433483358</v>
      </c>
      <c r="Q8" s="722">
        <v>0</v>
      </c>
      <c r="R8" s="722">
        <v>107</v>
      </c>
      <c r="S8" s="722">
        <v>4.7044264294980986E-2</v>
      </c>
      <c r="T8" s="722">
        <v>4.8415109023499756E-2</v>
      </c>
      <c r="U8" s="722">
        <v>6.2120539594089329E-2</v>
      </c>
      <c r="V8" s="722">
        <v>21.626407261302173</v>
      </c>
    </row>
    <row r="9" spans="1:22">
      <c r="A9" s="451">
        <v>3</v>
      </c>
      <c r="B9" s="454" t="s">
        <v>660</v>
      </c>
      <c r="C9" s="722">
        <v>0</v>
      </c>
      <c r="D9" s="722">
        <v>0</v>
      </c>
      <c r="E9" s="722">
        <v>0</v>
      </c>
      <c r="F9" s="722">
        <v>0</v>
      </c>
      <c r="G9" s="722">
        <v>0</v>
      </c>
      <c r="H9" s="722">
        <v>0</v>
      </c>
      <c r="I9" s="722">
        <v>0</v>
      </c>
      <c r="J9" s="722">
        <v>0</v>
      </c>
      <c r="K9" s="722">
        <v>0</v>
      </c>
      <c r="L9" s="722">
        <v>0</v>
      </c>
      <c r="M9" s="722">
        <v>0</v>
      </c>
      <c r="N9" s="722">
        <v>0</v>
      </c>
      <c r="O9" s="722">
        <v>0</v>
      </c>
      <c r="P9" s="722">
        <v>0</v>
      </c>
      <c r="Q9" s="722">
        <v>0</v>
      </c>
      <c r="R9" s="722">
        <v>0</v>
      </c>
      <c r="S9" s="722">
        <v>0</v>
      </c>
      <c r="T9" s="722">
        <v>0</v>
      </c>
      <c r="U9" s="722">
        <v>0</v>
      </c>
      <c r="V9" s="722">
        <v>0</v>
      </c>
    </row>
    <row r="10" spans="1:22">
      <c r="A10" s="451">
        <v>4</v>
      </c>
      <c r="B10" s="454" t="s">
        <v>661</v>
      </c>
      <c r="C10" s="722">
        <v>0</v>
      </c>
      <c r="D10" s="722">
        <v>0</v>
      </c>
      <c r="E10" s="722">
        <v>0</v>
      </c>
      <c r="F10" s="722">
        <v>0</v>
      </c>
      <c r="G10" s="722">
        <v>0</v>
      </c>
      <c r="H10" s="722">
        <v>0</v>
      </c>
      <c r="I10" s="722">
        <v>0</v>
      </c>
      <c r="J10" s="722">
        <v>0</v>
      </c>
      <c r="K10" s="722">
        <v>0</v>
      </c>
      <c r="L10" s="722">
        <v>0</v>
      </c>
      <c r="M10" s="722">
        <v>0</v>
      </c>
      <c r="N10" s="722">
        <v>0</v>
      </c>
      <c r="O10" s="722">
        <v>0</v>
      </c>
      <c r="P10" s="722">
        <v>0</v>
      </c>
      <c r="Q10" s="722">
        <v>0</v>
      </c>
      <c r="R10" s="722">
        <v>0</v>
      </c>
      <c r="S10" s="722">
        <v>0</v>
      </c>
      <c r="T10" s="722">
        <v>0</v>
      </c>
      <c r="U10" s="722">
        <v>0</v>
      </c>
      <c r="V10" s="722">
        <v>0</v>
      </c>
    </row>
    <row r="11" spans="1:22">
      <c r="A11" s="451">
        <v>5</v>
      </c>
      <c r="B11" s="454" t="s">
        <v>662</v>
      </c>
      <c r="C11" s="722">
        <v>804336.12919999962</v>
      </c>
      <c r="D11" s="722">
        <v>784463.49919999961</v>
      </c>
      <c r="E11" s="722">
        <v>6117.1900000000005</v>
      </c>
      <c r="F11" s="722">
        <v>13755.44</v>
      </c>
      <c r="G11" s="722">
        <v>0</v>
      </c>
      <c r="H11" s="722">
        <v>856042.0571580003</v>
      </c>
      <c r="I11" s="722">
        <v>800048.95715800009</v>
      </c>
      <c r="J11" s="722">
        <v>34650.31</v>
      </c>
      <c r="K11" s="722">
        <v>21342.79</v>
      </c>
      <c r="L11" s="722">
        <v>0</v>
      </c>
      <c r="M11" s="722">
        <v>38589.597543159995</v>
      </c>
      <c r="N11" s="722">
        <v>15998.088543160005</v>
      </c>
      <c r="O11" s="722">
        <v>3465.0309999999999</v>
      </c>
      <c r="P11" s="722">
        <v>19126.477999999999</v>
      </c>
      <c r="Q11" s="722">
        <v>0</v>
      </c>
      <c r="R11" s="722">
        <v>143</v>
      </c>
      <c r="S11" s="722">
        <v>0.11043526787037576</v>
      </c>
      <c r="T11" s="722">
        <v>0.11625633471155855</v>
      </c>
      <c r="U11" s="722">
        <v>0.11123713337978457</v>
      </c>
      <c r="V11" s="722">
        <v>9.1645883334924623</v>
      </c>
    </row>
    <row r="12" spans="1:22">
      <c r="A12" s="451">
        <v>6</v>
      </c>
      <c r="B12" s="454" t="s">
        <v>663</v>
      </c>
      <c r="C12" s="722">
        <v>149865.49300000022</v>
      </c>
      <c r="D12" s="722">
        <v>10380.2322</v>
      </c>
      <c r="E12" s="722">
        <v>0</v>
      </c>
      <c r="F12" s="722">
        <v>139485.26080000022</v>
      </c>
      <c r="G12" s="722">
        <v>0</v>
      </c>
      <c r="H12" s="722">
        <v>149867.99184600019</v>
      </c>
      <c r="I12" s="722">
        <v>10382.731046000001</v>
      </c>
      <c r="J12" s="722">
        <v>0</v>
      </c>
      <c r="K12" s="722">
        <v>139485.26080000022</v>
      </c>
      <c r="L12" s="722">
        <v>0</v>
      </c>
      <c r="M12" s="722">
        <v>139692.91542092018</v>
      </c>
      <c r="N12" s="722">
        <v>207.65462092000001</v>
      </c>
      <c r="O12" s="722">
        <v>0</v>
      </c>
      <c r="P12" s="722">
        <v>139485.26080000022</v>
      </c>
      <c r="Q12" s="722">
        <v>0</v>
      </c>
      <c r="R12" s="722">
        <v>1646</v>
      </c>
      <c r="S12" s="722">
        <v>0</v>
      </c>
      <c r="T12" s="722">
        <v>0</v>
      </c>
      <c r="U12" s="722">
        <v>0.10010405354901407</v>
      </c>
      <c r="V12" s="722">
        <v>4.0879036850368156</v>
      </c>
    </row>
    <row r="13" spans="1:22">
      <c r="A13" s="451">
        <v>7</v>
      </c>
      <c r="B13" s="454" t="s">
        <v>664</v>
      </c>
      <c r="C13" s="722">
        <v>24388364.845199998</v>
      </c>
      <c r="D13" s="722">
        <v>23412957.198199991</v>
      </c>
      <c r="E13" s="722">
        <v>680964.55449999997</v>
      </c>
      <c r="F13" s="722">
        <v>294443.09249999997</v>
      </c>
      <c r="G13" s="722">
        <v>0</v>
      </c>
      <c r="H13" s="722">
        <v>24564628.235287894</v>
      </c>
      <c r="I13" s="722">
        <v>23530311.336318769</v>
      </c>
      <c r="J13" s="722">
        <v>688734.0540631261</v>
      </c>
      <c r="K13" s="722">
        <v>345582.84490600001</v>
      </c>
      <c r="L13" s="722">
        <v>0</v>
      </c>
      <c r="M13" s="722">
        <v>115765.68694596486</v>
      </c>
      <c r="N13" s="722">
        <v>60199.434778576186</v>
      </c>
      <c r="O13" s="722">
        <v>1204.5138437912135</v>
      </c>
      <c r="P13" s="722">
        <v>54361.738323597441</v>
      </c>
      <c r="Q13" s="722">
        <v>0</v>
      </c>
      <c r="R13" s="722">
        <v>151</v>
      </c>
      <c r="S13" s="722">
        <v>0.10320090141357816</v>
      </c>
      <c r="T13" s="722">
        <v>0.10834843676496418</v>
      </c>
      <c r="U13" s="722">
        <v>8.7469116301293656E-2</v>
      </c>
      <c r="V13" s="722">
        <v>109.58155611789614</v>
      </c>
    </row>
    <row r="14" spans="1:22">
      <c r="A14" s="449">
        <v>7.1</v>
      </c>
      <c r="B14" s="448" t="s">
        <v>665</v>
      </c>
      <c r="C14" s="722">
        <v>13812823.538400002</v>
      </c>
      <c r="D14" s="722">
        <v>13124745.718100002</v>
      </c>
      <c r="E14" s="722">
        <v>468817.30029999994</v>
      </c>
      <c r="F14" s="722">
        <v>219260.52</v>
      </c>
      <c r="G14" s="722">
        <v>0</v>
      </c>
      <c r="H14" s="722">
        <v>13944335.811047016</v>
      </c>
      <c r="I14" s="722">
        <v>13200080.434484564</v>
      </c>
      <c r="J14" s="722">
        <v>476018.04892644944</v>
      </c>
      <c r="K14" s="722">
        <v>268237.327636</v>
      </c>
      <c r="L14" s="722">
        <v>0</v>
      </c>
      <c r="M14" s="722">
        <v>57892.345204632897</v>
      </c>
      <c r="N14" s="722">
        <v>26272.056343042561</v>
      </c>
      <c r="O14" s="722">
        <v>869.36871449480702</v>
      </c>
      <c r="P14" s="722">
        <v>30750.920147095545</v>
      </c>
      <c r="Q14" s="722">
        <v>0</v>
      </c>
      <c r="R14" s="722">
        <v>71</v>
      </c>
      <c r="S14" s="722">
        <v>0.1178407520747944</v>
      </c>
      <c r="T14" s="722">
        <v>0.12442148403541846</v>
      </c>
      <c r="U14" s="722">
        <v>7.9948028188911238E-2</v>
      </c>
      <c r="V14" s="722">
        <v>98.183054780022971</v>
      </c>
    </row>
    <row r="15" spans="1:22" ht="25.5">
      <c r="A15" s="449">
        <v>7.2</v>
      </c>
      <c r="B15" s="448" t="s">
        <v>666</v>
      </c>
      <c r="C15" s="722">
        <v>6875779.8205000013</v>
      </c>
      <c r="D15" s="722">
        <v>6603095.9438000005</v>
      </c>
      <c r="E15" s="722">
        <v>197501.30420000001</v>
      </c>
      <c r="F15" s="722">
        <v>75182.572499999995</v>
      </c>
      <c r="G15" s="722">
        <v>0</v>
      </c>
      <c r="H15" s="722">
        <v>6905727.0845698398</v>
      </c>
      <c r="I15" s="722">
        <v>6630350.7749359999</v>
      </c>
      <c r="J15" s="722">
        <v>198030.79236383957</v>
      </c>
      <c r="K15" s="722">
        <v>77345.517269999997</v>
      </c>
      <c r="L15" s="722">
        <v>0</v>
      </c>
      <c r="M15" s="722">
        <v>38156.288322303</v>
      </c>
      <c r="N15" s="722">
        <v>14232.084018351305</v>
      </c>
      <c r="O15" s="722">
        <v>313.38612744978428</v>
      </c>
      <c r="P15" s="722">
        <v>23610.8181765019</v>
      </c>
      <c r="Q15" s="722">
        <v>0</v>
      </c>
      <c r="R15" s="722">
        <v>57</v>
      </c>
      <c r="S15" s="722">
        <v>0.10234268914469649</v>
      </c>
      <c r="T15" s="722">
        <v>0.1075008378872933</v>
      </c>
      <c r="U15" s="722">
        <v>9.6577125923111837E-2</v>
      </c>
      <c r="V15" s="722">
        <v>120.60693142150697</v>
      </c>
    </row>
    <row r="16" spans="1:22">
      <c r="A16" s="449">
        <v>7.3</v>
      </c>
      <c r="B16" s="448" t="s">
        <v>667</v>
      </c>
      <c r="C16" s="722">
        <v>3699761.4863</v>
      </c>
      <c r="D16" s="722">
        <v>3685115.5362999998</v>
      </c>
      <c r="E16" s="722">
        <v>14645.95</v>
      </c>
      <c r="F16" s="722">
        <v>0</v>
      </c>
      <c r="G16" s="722">
        <v>0</v>
      </c>
      <c r="H16" s="722">
        <v>3714565.3396710427</v>
      </c>
      <c r="I16" s="722">
        <v>3699880.1268982058</v>
      </c>
      <c r="J16" s="722">
        <v>14685.212772837027</v>
      </c>
      <c r="K16" s="722">
        <v>0</v>
      </c>
      <c r="L16" s="722">
        <v>0</v>
      </c>
      <c r="M16" s="722">
        <v>19717.053419028962</v>
      </c>
      <c r="N16" s="722">
        <v>19695.29441718234</v>
      </c>
      <c r="O16" s="722">
        <v>21.759001846622329</v>
      </c>
      <c r="P16" s="722">
        <v>0</v>
      </c>
      <c r="Q16" s="722">
        <v>0</v>
      </c>
      <c r="R16" s="722">
        <v>23</v>
      </c>
      <c r="S16" s="722">
        <v>0.10230137905040712</v>
      </c>
      <c r="T16" s="722">
        <v>0.10727960890147023</v>
      </c>
      <c r="U16" s="722">
        <v>9.8621941774846983E-2</v>
      </c>
      <c r="V16" s="722">
        <v>131.24958294444426</v>
      </c>
    </row>
    <row r="17" spans="1:22">
      <c r="A17" s="451">
        <v>8</v>
      </c>
      <c r="B17" s="454" t="s">
        <v>668</v>
      </c>
      <c r="C17" s="722">
        <v>0</v>
      </c>
      <c r="D17" s="722">
        <v>0</v>
      </c>
      <c r="E17" s="722">
        <v>0</v>
      </c>
      <c r="F17" s="722">
        <v>0</v>
      </c>
      <c r="G17" s="722">
        <v>0</v>
      </c>
      <c r="H17" s="722">
        <v>0</v>
      </c>
      <c r="I17" s="722">
        <v>0</v>
      </c>
      <c r="J17" s="722">
        <v>0</v>
      </c>
      <c r="K17" s="722">
        <v>0</v>
      </c>
      <c r="L17" s="722">
        <v>0</v>
      </c>
      <c r="M17" s="722">
        <v>0</v>
      </c>
      <c r="N17" s="722">
        <v>0</v>
      </c>
      <c r="O17" s="722">
        <v>0</v>
      </c>
      <c r="P17" s="722">
        <v>0</v>
      </c>
      <c r="Q17" s="722">
        <v>0</v>
      </c>
      <c r="R17" s="722">
        <v>0</v>
      </c>
      <c r="S17" s="722">
        <v>0</v>
      </c>
      <c r="T17" s="722">
        <v>0</v>
      </c>
      <c r="U17" s="722">
        <v>0</v>
      </c>
      <c r="V17" s="722">
        <v>0</v>
      </c>
    </row>
    <row r="18" spans="1:22">
      <c r="A18" s="453">
        <v>9</v>
      </c>
      <c r="B18" s="452" t="s">
        <v>669</v>
      </c>
      <c r="C18" s="724">
        <v>0</v>
      </c>
      <c r="D18" s="724">
        <v>0</v>
      </c>
      <c r="E18" s="724">
        <v>0</v>
      </c>
      <c r="F18" s="724">
        <v>0</v>
      </c>
      <c r="G18" s="724">
        <v>0</v>
      </c>
      <c r="H18" s="724">
        <v>0</v>
      </c>
      <c r="I18" s="724">
        <v>0</v>
      </c>
      <c r="J18" s="724">
        <v>0</v>
      </c>
      <c r="K18" s="724">
        <v>0</v>
      </c>
      <c r="L18" s="724">
        <v>0</v>
      </c>
      <c r="M18" s="724">
        <v>0</v>
      </c>
      <c r="N18" s="724">
        <v>0</v>
      </c>
      <c r="O18" s="724">
        <v>0</v>
      </c>
      <c r="P18" s="724">
        <v>0</v>
      </c>
      <c r="Q18" s="724">
        <v>0</v>
      </c>
      <c r="R18" s="724">
        <v>0</v>
      </c>
      <c r="S18" s="724">
        <v>0</v>
      </c>
      <c r="T18" s="724">
        <v>0</v>
      </c>
      <c r="U18" s="724">
        <v>0</v>
      </c>
      <c r="V18" s="724">
        <v>0</v>
      </c>
    </row>
    <row r="19" spans="1:22">
      <c r="A19" s="451">
        <v>10</v>
      </c>
      <c r="B19" s="450" t="s">
        <v>685</v>
      </c>
      <c r="C19" s="722">
        <v>48361990.301899999</v>
      </c>
      <c r="D19" s="722">
        <v>45139312.740199998</v>
      </c>
      <c r="E19" s="722">
        <v>1013600.6945</v>
      </c>
      <c r="F19" s="722">
        <v>2209076.8672000002</v>
      </c>
      <c r="G19" s="722">
        <v>0</v>
      </c>
      <c r="H19" s="722">
        <v>49035557.400910221</v>
      </c>
      <c r="I19" s="722">
        <v>45693146.525784239</v>
      </c>
      <c r="J19" s="722">
        <v>1051599.0440631262</v>
      </c>
      <c r="K19" s="722">
        <v>2290811.8310628459</v>
      </c>
      <c r="L19" s="722">
        <v>0</v>
      </c>
      <c r="M19" s="722">
        <v>592168.06231973961</v>
      </c>
      <c r="N19" s="722">
        <v>263782.94863872143</v>
      </c>
      <c r="O19" s="722">
        <v>7542.0764410434349</v>
      </c>
      <c r="P19" s="722">
        <v>320843.0372399746</v>
      </c>
      <c r="Q19" s="722">
        <v>0</v>
      </c>
      <c r="R19" s="722">
        <v>2052</v>
      </c>
      <c r="S19" s="722">
        <v>8.2582456377811905E-2</v>
      </c>
      <c r="T19" s="722">
        <v>8.6354355414377637E-2</v>
      </c>
      <c r="U19" s="722">
        <v>7.5951572994177458E-2</v>
      </c>
      <c r="V19" s="722">
        <v>65.783948617802139</v>
      </c>
    </row>
    <row r="20" spans="1:22" ht="25.5">
      <c r="A20" s="449">
        <v>10.1</v>
      </c>
      <c r="B20" s="448" t="s">
        <v>688</v>
      </c>
      <c r="C20" s="722">
        <v>0</v>
      </c>
      <c r="D20" s="722">
        <v>0</v>
      </c>
      <c r="E20" s="722">
        <v>0</v>
      </c>
      <c r="F20" s="722">
        <v>0</v>
      </c>
      <c r="G20" s="722">
        <v>0</v>
      </c>
      <c r="H20" s="722">
        <v>0</v>
      </c>
      <c r="I20" s="722">
        <v>0</v>
      </c>
      <c r="J20" s="722">
        <v>0</v>
      </c>
      <c r="K20" s="722">
        <v>0</v>
      </c>
      <c r="L20" s="722">
        <v>0</v>
      </c>
      <c r="M20" s="722">
        <v>0</v>
      </c>
      <c r="N20" s="722">
        <v>0</v>
      </c>
      <c r="O20" s="722">
        <v>0</v>
      </c>
      <c r="P20" s="722">
        <v>0</v>
      </c>
      <c r="Q20" s="722">
        <v>0</v>
      </c>
      <c r="R20" s="722">
        <v>0</v>
      </c>
      <c r="S20" s="722">
        <v>0</v>
      </c>
      <c r="T20" s="722">
        <v>0</v>
      </c>
      <c r="U20" s="722">
        <v>0</v>
      </c>
      <c r="V20" s="722">
        <v>0</v>
      </c>
    </row>
    <row r="23" spans="1:22">
      <c r="C23" s="723"/>
      <c r="D23" s="723"/>
      <c r="E23" s="723"/>
      <c r="F23" s="723"/>
      <c r="G23" s="723"/>
      <c r="H23" s="723"/>
      <c r="I23" s="723"/>
      <c r="J23" s="723"/>
      <c r="K23" s="723"/>
      <c r="L23" s="723"/>
      <c r="M23" s="723"/>
      <c r="N23" s="723"/>
      <c r="O23" s="723"/>
      <c r="P23" s="723"/>
      <c r="Q23" s="723"/>
      <c r="R23" s="723"/>
      <c r="S23" s="723"/>
      <c r="T23" s="723"/>
      <c r="U23" s="723"/>
      <c r="V23" s="723"/>
    </row>
    <row r="24" spans="1:22">
      <c r="C24" s="723"/>
      <c r="D24" s="723"/>
      <c r="E24" s="723"/>
      <c r="F24" s="723"/>
      <c r="G24" s="723"/>
      <c r="H24" s="723"/>
      <c r="I24" s="723"/>
      <c r="J24" s="723"/>
      <c r="K24" s="723"/>
      <c r="L24" s="723"/>
      <c r="M24" s="723"/>
      <c r="N24" s="723"/>
      <c r="O24" s="723"/>
      <c r="P24" s="723"/>
      <c r="Q24" s="723"/>
      <c r="R24" s="723"/>
      <c r="S24" s="723"/>
      <c r="T24" s="723"/>
      <c r="U24" s="723"/>
      <c r="V24" s="723"/>
    </row>
    <row r="25" spans="1:22">
      <c r="C25" s="723"/>
      <c r="D25" s="723"/>
      <c r="E25" s="723"/>
      <c r="F25" s="723"/>
      <c r="G25" s="723"/>
      <c r="H25" s="723"/>
      <c r="I25" s="723"/>
      <c r="J25" s="723"/>
      <c r="K25" s="723"/>
      <c r="L25" s="723"/>
      <c r="M25" s="723"/>
      <c r="N25" s="723"/>
      <c r="O25" s="723"/>
      <c r="P25" s="723"/>
      <c r="Q25" s="723"/>
      <c r="R25" s="723"/>
      <c r="S25" s="723"/>
      <c r="T25" s="723"/>
      <c r="U25" s="723"/>
      <c r="V25" s="723"/>
    </row>
    <row r="26" spans="1:22">
      <c r="C26" s="723"/>
      <c r="D26" s="723"/>
      <c r="E26" s="723"/>
      <c r="F26" s="723"/>
      <c r="G26" s="723"/>
      <c r="H26" s="723"/>
      <c r="I26" s="723"/>
      <c r="J26" s="723"/>
      <c r="K26" s="723"/>
      <c r="L26" s="723"/>
      <c r="M26" s="723"/>
      <c r="N26" s="723"/>
      <c r="O26" s="723"/>
      <c r="P26" s="723"/>
      <c r="Q26" s="723"/>
      <c r="R26" s="723"/>
      <c r="S26" s="723"/>
      <c r="T26" s="723"/>
      <c r="U26" s="723"/>
      <c r="V26" s="723"/>
    </row>
    <row r="27" spans="1:22">
      <c r="C27" s="723"/>
      <c r="D27" s="723"/>
      <c r="E27" s="723"/>
      <c r="F27" s="723"/>
      <c r="G27" s="723"/>
      <c r="H27" s="723"/>
      <c r="I27" s="723"/>
      <c r="J27" s="723"/>
      <c r="K27" s="723"/>
      <c r="L27" s="723"/>
      <c r="M27" s="723"/>
      <c r="N27" s="723"/>
      <c r="O27" s="723"/>
      <c r="P27" s="723"/>
      <c r="Q27" s="723"/>
      <c r="R27" s="723"/>
      <c r="S27" s="723"/>
      <c r="T27" s="723"/>
      <c r="U27" s="723"/>
      <c r="V27" s="723"/>
    </row>
    <row r="28" spans="1:22">
      <c r="C28" s="723"/>
      <c r="D28" s="723"/>
      <c r="E28" s="723"/>
      <c r="F28" s="723"/>
      <c r="G28" s="723"/>
      <c r="H28" s="723"/>
      <c r="I28" s="723"/>
      <c r="J28" s="723"/>
      <c r="K28" s="723"/>
      <c r="L28" s="723"/>
      <c r="M28" s="723"/>
      <c r="N28" s="723"/>
      <c r="O28" s="723"/>
      <c r="P28" s="723"/>
      <c r="Q28" s="723"/>
      <c r="R28" s="723"/>
      <c r="S28" s="723"/>
      <c r="T28" s="723"/>
      <c r="U28" s="723"/>
      <c r="V28" s="723"/>
    </row>
    <row r="29" spans="1:22">
      <c r="C29" s="723"/>
      <c r="D29" s="723"/>
      <c r="E29" s="723"/>
      <c r="F29" s="723"/>
      <c r="G29" s="723"/>
      <c r="H29" s="723"/>
      <c r="I29" s="723"/>
      <c r="J29" s="723"/>
      <c r="K29" s="723"/>
      <c r="L29" s="723"/>
      <c r="M29" s="723"/>
      <c r="N29" s="723"/>
      <c r="O29" s="723"/>
      <c r="P29" s="723"/>
      <c r="Q29" s="723"/>
      <c r="R29" s="723"/>
      <c r="S29" s="723"/>
      <c r="T29" s="723"/>
      <c r="U29" s="723"/>
      <c r="V29" s="723"/>
    </row>
    <row r="30" spans="1:22">
      <c r="C30" s="723"/>
      <c r="D30" s="723"/>
      <c r="E30" s="723"/>
      <c r="F30" s="723"/>
      <c r="G30" s="723"/>
      <c r="H30" s="723"/>
      <c r="I30" s="723"/>
      <c r="J30" s="723"/>
      <c r="K30" s="723"/>
      <c r="L30" s="723"/>
      <c r="M30" s="723"/>
      <c r="N30" s="723"/>
      <c r="O30" s="723"/>
      <c r="P30" s="723"/>
      <c r="Q30" s="723"/>
      <c r="R30" s="723"/>
      <c r="S30" s="723"/>
      <c r="T30" s="723"/>
      <c r="U30" s="723"/>
      <c r="V30" s="723"/>
    </row>
    <row r="31" spans="1:22">
      <c r="C31" s="723"/>
      <c r="D31" s="723"/>
      <c r="E31" s="723"/>
      <c r="F31" s="723"/>
      <c r="G31" s="723"/>
      <c r="H31" s="723"/>
      <c r="I31" s="723"/>
      <c r="J31" s="723"/>
      <c r="K31" s="723"/>
      <c r="L31" s="723"/>
      <c r="M31" s="723"/>
      <c r="N31" s="723"/>
      <c r="O31" s="723"/>
      <c r="P31" s="723"/>
      <c r="Q31" s="723"/>
      <c r="R31" s="723"/>
      <c r="S31" s="723"/>
      <c r="T31" s="723"/>
      <c r="U31" s="723"/>
      <c r="V31" s="723"/>
    </row>
    <row r="32" spans="1:22">
      <c r="C32" s="723"/>
      <c r="D32" s="723"/>
      <c r="E32" s="723"/>
      <c r="F32" s="723"/>
      <c r="G32" s="723"/>
      <c r="H32" s="723"/>
      <c r="I32" s="723"/>
      <c r="J32" s="723"/>
      <c r="K32" s="723"/>
      <c r="L32" s="723"/>
      <c r="M32" s="723"/>
      <c r="N32" s="723"/>
      <c r="O32" s="723"/>
      <c r="P32" s="723"/>
      <c r="Q32" s="723"/>
      <c r="R32" s="723"/>
      <c r="S32" s="723"/>
      <c r="T32" s="723"/>
      <c r="U32" s="723"/>
      <c r="V32" s="723"/>
    </row>
    <row r="33" spans="3:22">
      <c r="C33" s="723"/>
      <c r="D33" s="723"/>
      <c r="E33" s="723"/>
      <c r="F33" s="723"/>
      <c r="G33" s="723"/>
      <c r="H33" s="723"/>
      <c r="I33" s="723"/>
      <c r="J33" s="723"/>
      <c r="K33" s="723"/>
      <c r="L33" s="723"/>
      <c r="M33" s="723"/>
      <c r="N33" s="723"/>
      <c r="O33" s="723"/>
      <c r="P33" s="723"/>
      <c r="Q33" s="723"/>
      <c r="R33" s="723"/>
      <c r="S33" s="723"/>
      <c r="T33" s="723"/>
      <c r="U33" s="723"/>
      <c r="V33" s="723"/>
    </row>
    <row r="34" spans="3:22">
      <c r="C34" s="723"/>
      <c r="D34" s="723"/>
      <c r="E34" s="723"/>
      <c r="F34" s="723"/>
      <c r="G34" s="723"/>
      <c r="H34" s="723"/>
      <c r="I34" s="723"/>
      <c r="J34" s="723"/>
      <c r="K34" s="723"/>
      <c r="L34" s="723"/>
      <c r="M34" s="723"/>
      <c r="N34" s="723"/>
      <c r="O34" s="723"/>
      <c r="P34" s="723"/>
      <c r="Q34" s="723"/>
      <c r="R34" s="723"/>
      <c r="S34" s="723"/>
      <c r="T34" s="723"/>
      <c r="U34" s="723"/>
      <c r="V34" s="723"/>
    </row>
    <row r="35" spans="3:22">
      <c r="C35" s="723"/>
      <c r="D35" s="723"/>
      <c r="E35" s="723"/>
      <c r="F35" s="723"/>
      <c r="G35" s="723"/>
      <c r="H35" s="723"/>
      <c r="I35" s="723"/>
      <c r="J35" s="723"/>
      <c r="K35" s="723"/>
      <c r="L35" s="723"/>
      <c r="M35" s="723"/>
      <c r="N35" s="723"/>
      <c r="O35" s="723"/>
      <c r="P35" s="723"/>
      <c r="Q35" s="723"/>
      <c r="R35" s="723"/>
      <c r="S35" s="723"/>
      <c r="T35" s="723"/>
      <c r="U35" s="723"/>
      <c r="V35" s="723"/>
    </row>
    <row r="36" spans="3:22">
      <c r="C36" s="723"/>
      <c r="D36" s="723"/>
      <c r="E36" s="723"/>
      <c r="F36" s="723"/>
      <c r="G36" s="723"/>
      <c r="H36" s="723"/>
      <c r="I36" s="723"/>
      <c r="J36" s="723"/>
      <c r="K36" s="723"/>
      <c r="L36" s="723"/>
      <c r="M36" s="723"/>
      <c r="N36" s="723"/>
      <c r="O36" s="723"/>
      <c r="P36" s="723"/>
      <c r="Q36" s="723"/>
      <c r="R36" s="723"/>
      <c r="S36" s="723"/>
      <c r="T36" s="723"/>
      <c r="U36" s="723"/>
      <c r="V36" s="72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2" sqref="B2"/>
    </sheetView>
  </sheetViews>
  <sheetFormatPr defaultColWidth="43.5703125" defaultRowHeight="11.25"/>
  <cols>
    <col min="1" max="1" width="8" style="128" customWidth="1"/>
    <col min="2" max="2" width="66.28515625" style="129" customWidth="1"/>
    <col min="3" max="3" width="131.42578125" style="130" customWidth="1"/>
    <col min="4" max="5" width="10.28515625" style="121" customWidth="1"/>
    <col min="6" max="6" width="67.7109375" style="121" customWidth="1"/>
    <col min="7" max="16384" width="43.5703125" style="121"/>
  </cols>
  <sheetData>
    <row r="1" spans="1:3" ht="12.75" thickTop="1" thickBot="1">
      <c r="A1" s="847" t="s">
        <v>176</v>
      </c>
      <c r="B1" s="848"/>
      <c r="C1" s="849"/>
    </row>
    <row r="2" spans="1:3" ht="26.25" customHeight="1">
      <c r="A2" s="307"/>
      <c r="B2" s="850" t="s">
        <v>177</v>
      </c>
      <c r="C2" s="850"/>
    </row>
    <row r="3" spans="1:3" s="126" customFormat="1" ht="11.25" customHeight="1">
      <c r="A3" s="125"/>
      <c r="B3" s="850" t="s">
        <v>251</v>
      </c>
      <c r="C3" s="850"/>
    </row>
    <row r="4" spans="1:3" ht="12" customHeight="1" thickBot="1">
      <c r="A4" s="851" t="s">
        <v>255</v>
      </c>
      <c r="B4" s="852"/>
      <c r="C4" s="853"/>
    </row>
    <row r="5" spans="1:3" ht="12" thickTop="1">
      <c r="A5" s="122"/>
      <c r="B5" s="854" t="s">
        <v>178</v>
      </c>
      <c r="C5" s="855"/>
    </row>
    <row r="6" spans="1:3">
      <c r="A6" s="307"/>
      <c r="B6" s="856" t="s">
        <v>252</v>
      </c>
      <c r="C6" s="857"/>
    </row>
    <row r="7" spans="1:3">
      <c r="A7" s="307"/>
      <c r="B7" s="856" t="s">
        <v>179</v>
      </c>
      <c r="C7" s="857"/>
    </row>
    <row r="8" spans="1:3">
      <c r="A8" s="307"/>
      <c r="B8" s="856" t="s">
        <v>253</v>
      </c>
      <c r="C8" s="857"/>
    </row>
    <row r="9" spans="1:3">
      <c r="A9" s="307"/>
      <c r="B9" s="862" t="s">
        <v>254</v>
      </c>
      <c r="C9" s="863"/>
    </row>
    <row r="10" spans="1:3">
      <c r="A10" s="307"/>
      <c r="B10" s="860" t="s">
        <v>180</v>
      </c>
      <c r="C10" s="861" t="s">
        <v>180</v>
      </c>
    </row>
    <row r="11" spans="1:3">
      <c r="A11" s="307"/>
      <c r="B11" s="860" t="s">
        <v>181</v>
      </c>
      <c r="C11" s="861" t="s">
        <v>181</v>
      </c>
    </row>
    <row r="12" spans="1:3">
      <c r="A12" s="307"/>
      <c r="B12" s="860" t="s">
        <v>182</v>
      </c>
      <c r="C12" s="861" t="s">
        <v>182</v>
      </c>
    </row>
    <row r="13" spans="1:3">
      <c r="A13" s="307"/>
      <c r="B13" s="860" t="s">
        <v>183</v>
      </c>
      <c r="C13" s="861" t="s">
        <v>183</v>
      </c>
    </row>
    <row r="14" spans="1:3">
      <c r="A14" s="307"/>
      <c r="B14" s="860" t="s">
        <v>184</v>
      </c>
      <c r="C14" s="861" t="s">
        <v>184</v>
      </c>
    </row>
    <row r="15" spans="1:3" ht="21.75" customHeight="1">
      <c r="A15" s="307"/>
      <c r="B15" s="860" t="s">
        <v>185</v>
      </c>
      <c r="C15" s="861" t="s">
        <v>185</v>
      </c>
    </row>
    <row r="16" spans="1:3">
      <c r="A16" s="307"/>
      <c r="B16" s="860" t="s">
        <v>186</v>
      </c>
      <c r="C16" s="861" t="s">
        <v>187</v>
      </c>
    </row>
    <row r="17" spans="1:6">
      <c r="A17" s="307"/>
      <c r="B17" s="860" t="s">
        <v>188</v>
      </c>
      <c r="C17" s="861" t="s">
        <v>189</v>
      </c>
    </row>
    <row r="18" spans="1:6">
      <c r="A18" s="307"/>
      <c r="B18" s="860" t="s">
        <v>190</v>
      </c>
      <c r="C18" s="861" t="s">
        <v>191</v>
      </c>
    </row>
    <row r="19" spans="1:6">
      <c r="A19" s="537"/>
      <c r="B19" s="858" t="s">
        <v>192</v>
      </c>
      <c r="C19" s="859" t="s">
        <v>192</v>
      </c>
    </row>
    <row r="20" spans="1:6">
      <c r="A20" s="537"/>
      <c r="B20" s="858" t="s">
        <v>918</v>
      </c>
      <c r="C20" s="859" t="s">
        <v>193</v>
      </c>
    </row>
    <row r="21" spans="1:6">
      <c r="A21" s="307"/>
      <c r="B21" s="858" t="s">
        <v>961</v>
      </c>
      <c r="C21" s="859" t="s">
        <v>194</v>
      </c>
    </row>
    <row r="22" spans="1:6" ht="23.25" customHeight="1">
      <c r="A22" s="307"/>
      <c r="B22" s="860" t="s">
        <v>195</v>
      </c>
      <c r="C22" s="861" t="s">
        <v>196</v>
      </c>
      <c r="F22" s="501"/>
    </row>
    <row r="23" spans="1:6">
      <c r="A23" s="307"/>
      <c r="B23" s="860" t="s">
        <v>197</v>
      </c>
      <c r="C23" s="861" t="s">
        <v>197</v>
      </c>
    </row>
    <row r="24" spans="1:6">
      <c r="A24" s="307"/>
      <c r="B24" s="860" t="s">
        <v>198</v>
      </c>
      <c r="C24" s="861" t="s">
        <v>199</v>
      </c>
    </row>
    <row r="25" spans="1:6" ht="12" thickBot="1">
      <c r="A25" s="123"/>
      <c r="B25" s="869" t="s">
        <v>200</v>
      </c>
      <c r="C25" s="870"/>
    </row>
    <row r="26" spans="1:6" ht="12.75" thickTop="1" thickBot="1">
      <c r="A26" s="851" t="s">
        <v>812</v>
      </c>
      <c r="B26" s="852"/>
      <c r="C26" s="853"/>
    </row>
    <row r="27" spans="1:6" ht="12.75" thickTop="1" thickBot="1">
      <c r="A27" s="124"/>
      <c r="B27" s="871" t="s">
        <v>813</v>
      </c>
      <c r="C27" s="872"/>
    </row>
    <row r="28" spans="1:6" ht="12.75" thickTop="1" thickBot="1">
      <c r="A28" s="851" t="s">
        <v>256</v>
      </c>
      <c r="B28" s="852"/>
      <c r="C28" s="853"/>
    </row>
    <row r="29" spans="1:6" ht="12" thickTop="1">
      <c r="A29" s="122"/>
      <c r="B29" s="873" t="s">
        <v>816</v>
      </c>
      <c r="C29" s="874" t="s">
        <v>201</v>
      </c>
    </row>
    <row r="30" spans="1:6">
      <c r="A30" s="307"/>
      <c r="B30" s="864" t="s">
        <v>205</v>
      </c>
      <c r="C30" s="865" t="s">
        <v>202</v>
      </c>
    </row>
    <row r="31" spans="1:6">
      <c r="A31" s="307"/>
      <c r="B31" s="864" t="s">
        <v>814</v>
      </c>
      <c r="C31" s="865" t="s">
        <v>203</v>
      </c>
    </row>
    <row r="32" spans="1:6">
      <c r="A32" s="307"/>
      <c r="B32" s="864" t="s">
        <v>815</v>
      </c>
      <c r="C32" s="865" t="s">
        <v>204</v>
      </c>
    </row>
    <row r="33" spans="1:3">
      <c r="A33" s="307"/>
      <c r="B33" s="864" t="s">
        <v>208</v>
      </c>
      <c r="C33" s="865" t="s">
        <v>209</v>
      </c>
    </row>
    <row r="34" spans="1:3">
      <c r="A34" s="307"/>
      <c r="B34" s="864" t="s">
        <v>817</v>
      </c>
      <c r="C34" s="865" t="s">
        <v>206</v>
      </c>
    </row>
    <row r="35" spans="1:3">
      <c r="A35" s="307"/>
      <c r="B35" s="864" t="s">
        <v>818</v>
      </c>
      <c r="C35" s="865" t="s">
        <v>207</v>
      </c>
    </row>
    <row r="36" spans="1:3">
      <c r="A36" s="307"/>
      <c r="B36" s="866" t="s">
        <v>819</v>
      </c>
      <c r="C36" s="867"/>
    </row>
    <row r="37" spans="1:3" ht="24.75" customHeight="1">
      <c r="A37" s="307"/>
      <c r="B37" s="864" t="s">
        <v>820</v>
      </c>
      <c r="C37" s="865" t="s">
        <v>210</v>
      </c>
    </row>
    <row r="38" spans="1:3" ht="23.25" customHeight="1">
      <c r="A38" s="307"/>
      <c r="B38" s="864" t="s">
        <v>821</v>
      </c>
      <c r="C38" s="865" t="s">
        <v>211</v>
      </c>
    </row>
    <row r="39" spans="1:3" ht="23.25" customHeight="1">
      <c r="A39" s="364"/>
      <c r="B39" s="866" t="s">
        <v>822</v>
      </c>
      <c r="C39" s="868"/>
    </row>
    <row r="40" spans="1:3" ht="12" customHeight="1">
      <c r="A40" s="307"/>
      <c r="B40" s="864" t="s">
        <v>823</v>
      </c>
      <c r="C40" s="865"/>
    </row>
    <row r="41" spans="1:3" ht="12" thickBot="1">
      <c r="A41" s="851" t="s">
        <v>257</v>
      </c>
      <c r="B41" s="852"/>
      <c r="C41" s="853"/>
    </row>
    <row r="42" spans="1:3" ht="12" thickTop="1">
      <c r="A42" s="122"/>
      <c r="B42" s="854" t="s">
        <v>287</v>
      </c>
      <c r="C42" s="855" t="s">
        <v>212</v>
      </c>
    </row>
    <row r="43" spans="1:3">
      <c r="A43" s="307"/>
      <c r="B43" s="856" t="s">
        <v>286</v>
      </c>
      <c r="C43" s="857"/>
    </row>
    <row r="44" spans="1:3" ht="23.25" customHeight="1" thickBot="1">
      <c r="A44" s="123"/>
      <c r="B44" s="875" t="s">
        <v>213</v>
      </c>
      <c r="C44" s="876" t="s">
        <v>214</v>
      </c>
    </row>
    <row r="45" spans="1:3" ht="11.25" customHeight="1" thickTop="1" thickBot="1">
      <c r="A45" s="851" t="s">
        <v>258</v>
      </c>
      <c r="B45" s="852"/>
      <c r="C45" s="853"/>
    </row>
    <row r="46" spans="1:3" ht="26.25" customHeight="1" thickTop="1">
      <c r="A46" s="307"/>
      <c r="B46" s="856" t="s">
        <v>259</v>
      </c>
      <c r="C46" s="857"/>
    </row>
    <row r="47" spans="1:3" ht="12" thickBot="1">
      <c r="A47" s="851" t="s">
        <v>260</v>
      </c>
      <c r="B47" s="852"/>
      <c r="C47" s="853"/>
    </row>
    <row r="48" spans="1:3" ht="12" thickTop="1">
      <c r="A48" s="122"/>
      <c r="B48" s="854" t="s">
        <v>215</v>
      </c>
      <c r="C48" s="855" t="s">
        <v>215</v>
      </c>
    </row>
    <row r="49" spans="1:3" ht="11.25" customHeight="1">
      <c r="A49" s="307"/>
      <c r="B49" s="856" t="s">
        <v>216</v>
      </c>
      <c r="C49" s="857" t="s">
        <v>216</v>
      </c>
    </row>
    <row r="50" spans="1:3">
      <c r="A50" s="307"/>
      <c r="B50" s="856" t="s">
        <v>217</v>
      </c>
      <c r="C50" s="857" t="s">
        <v>217</v>
      </c>
    </row>
    <row r="51" spans="1:3" ht="11.25" customHeight="1">
      <c r="A51" s="307"/>
      <c r="B51" s="856" t="s">
        <v>825</v>
      </c>
      <c r="C51" s="857" t="s">
        <v>218</v>
      </c>
    </row>
    <row r="52" spans="1:3" ht="33.6" customHeight="1">
      <c r="A52" s="307"/>
      <c r="B52" s="856" t="s">
        <v>219</v>
      </c>
      <c r="C52" s="857" t="s">
        <v>219</v>
      </c>
    </row>
    <row r="53" spans="1:3" ht="11.25" customHeight="1">
      <c r="A53" s="307"/>
      <c r="B53" s="856" t="s">
        <v>307</v>
      </c>
      <c r="C53" s="857" t="s">
        <v>220</v>
      </c>
    </row>
    <row r="54" spans="1:3" ht="11.25" customHeight="1" thickBot="1">
      <c r="A54" s="851" t="s">
        <v>261</v>
      </c>
      <c r="B54" s="852"/>
      <c r="C54" s="853"/>
    </row>
    <row r="55" spans="1:3" ht="12" thickTop="1">
      <c r="A55" s="122"/>
      <c r="B55" s="854" t="s">
        <v>215</v>
      </c>
      <c r="C55" s="855" t="s">
        <v>215</v>
      </c>
    </row>
    <row r="56" spans="1:3">
      <c r="A56" s="307"/>
      <c r="B56" s="856" t="s">
        <v>221</v>
      </c>
      <c r="C56" s="857" t="s">
        <v>221</v>
      </c>
    </row>
    <row r="57" spans="1:3">
      <c r="A57" s="307"/>
      <c r="B57" s="856" t="s">
        <v>264</v>
      </c>
      <c r="C57" s="857" t="s">
        <v>222</v>
      </c>
    </row>
    <row r="58" spans="1:3">
      <c r="A58" s="307"/>
      <c r="B58" s="856" t="s">
        <v>223</v>
      </c>
      <c r="C58" s="857" t="s">
        <v>223</v>
      </c>
    </row>
    <row r="59" spans="1:3">
      <c r="A59" s="307"/>
      <c r="B59" s="856" t="s">
        <v>224</v>
      </c>
      <c r="C59" s="857" t="s">
        <v>224</v>
      </c>
    </row>
    <row r="60" spans="1:3">
      <c r="A60" s="307"/>
      <c r="B60" s="856" t="s">
        <v>225</v>
      </c>
      <c r="C60" s="857" t="s">
        <v>225</v>
      </c>
    </row>
    <row r="61" spans="1:3">
      <c r="A61" s="307"/>
      <c r="B61" s="856" t="s">
        <v>265</v>
      </c>
      <c r="C61" s="857" t="s">
        <v>226</v>
      </c>
    </row>
    <row r="62" spans="1:3" ht="12" customHeight="1">
      <c r="A62" s="307"/>
      <c r="B62" s="881" t="s">
        <v>998</v>
      </c>
      <c r="C62" s="882" t="s">
        <v>227</v>
      </c>
    </row>
    <row r="63" spans="1:3" ht="22.5" customHeight="1" thickBot="1">
      <c r="A63" s="123"/>
      <c r="B63" s="875" t="s">
        <v>228</v>
      </c>
      <c r="C63" s="876" t="s">
        <v>228</v>
      </c>
    </row>
    <row r="64" spans="1:3" ht="11.25" customHeight="1" thickTop="1">
      <c r="A64" s="883" t="s">
        <v>262</v>
      </c>
      <c r="B64" s="884"/>
      <c r="C64" s="885"/>
    </row>
    <row r="65" spans="1:3" ht="12" thickBot="1">
      <c r="A65" s="123"/>
      <c r="B65" s="875" t="s">
        <v>229</v>
      </c>
      <c r="C65" s="876" t="s">
        <v>229</v>
      </c>
    </row>
    <row r="66" spans="1:3" ht="11.25" customHeight="1" thickTop="1">
      <c r="A66" s="883" t="s">
        <v>951</v>
      </c>
      <c r="B66" s="884"/>
      <c r="C66" s="885"/>
    </row>
    <row r="67" spans="1:3" ht="12" thickBot="1">
      <c r="A67" s="123"/>
      <c r="B67" s="875" t="s">
        <v>950</v>
      </c>
      <c r="C67" s="876"/>
    </row>
    <row r="68" spans="1:3" ht="11.25" customHeight="1" thickTop="1" thickBot="1">
      <c r="A68" s="851" t="s">
        <v>263</v>
      </c>
      <c r="B68" s="852"/>
      <c r="C68" s="853"/>
    </row>
    <row r="69" spans="1:3" ht="12" thickTop="1">
      <c r="A69" s="122"/>
      <c r="B69" s="854" t="s">
        <v>230</v>
      </c>
      <c r="C69" s="855" t="s">
        <v>230</v>
      </c>
    </row>
    <row r="70" spans="1:3">
      <c r="A70" s="307"/>
      <c r="B70" s="856" t="s">
        <v>827</v>
      </c>
      <c r="C70" s="857" t="s">
        <v>231</v>
      </c>
    </row>
    <row r="71" spans="1:3">
      <c r="A71" s="307"/>
      <c r="B71" s="856" t="s">
        <v>232</v>
      </c>
      <c r="C71" s="857" t="s">
        <v>232</v>
      </c>
    </row>
    <row r="72" spans="1:3" ht="55.15" customHeight="1">
      <c r="A72" s="307"/>
      <c r="B72" s="877" t="s">
        <v>962</v>
      </c>
      <c r="C72" s="878" t="s">
        <v>233</v>
      </c>
    </row>
    <row r="73" spans="1:3" ht="33.75" customHeight="1">
      <c r="A73" s="307"/>
      <c r="B73" s="879" t="s">
        <v>266</v>
      </c>
      <c r="C73" s="880" t="s">
        <v>234</v>
      </c>
    </row>
    <row r="74" spans="1:3" ht="15.75" customHeight="1">
      <c r="A74" s="307"/>
      <c r="B74" s="879" t="s">
        <v>828</v>
      </c>
      <c r="C74" s="880" t="s">
        <v>235</v>
      </c>
    </row>
    <row r="75" spans="1:3">
      <c r="A75" s="307"/>
      <c r="B75" s="856" t="s">
        <v>236</v>
      </c>
      <c r="C75" s="857" t="s">
        <v>236</v>
      </c>
    </row>
    <row r="76" spans="1:3" ht="12" thickBot="1">
      <c r="A76" s="123"/>
      <c r="B76" s="875" t="s">
        <v>237</v>
      </c>
      <c r="C76" s="876" t="s">
        <v>237</v>
      </c>
    </row>
    <row r="77" spans="1:3" ht="12" thickTop="1">
      <c r="A77" s="883" t="s">
        <v>290</v>
      </c>
      <c r="B77" s="884"/>
      <c r="C77" s="885"/>
    </row>
    <row r="78" spans="1:3">
      <c r="A78" s="307"/>
      <c r="B78" s="856" t="s">
        <v>229</v>
      </c>
      <c r="C78" s="857"/>
    </row>
    <row r="79" spans="1:3">
      <c r="A79" s="307"/>
      <c r="B79" s="856" t="s">
        <v>288</v>
      </c>
      <c r="C79" s="857"/>
    </row>
    <row r="80" spans="1:3">
      <c r="A80" s="307"/>
      <c r="B80" s="856" t="s">
        <v>289</v>
      </c>
      <c r="C80" s="857"/>
    </row>
    <row r="81" spans="1:3">
      <c r="A81" s="883" t="s">
        <v>291</v>
      </c>
      <c r="B81" s="884"/>
      <c r="C81" s="885"/>
    </row>
    <row r="82" spans="1:3">
      <c r="A82" s="307"/>
      <c r="B82" s="856" t="s">
        <v>229</v>
      </c>
      <c r="C82" s="857"/>
    </row>
    <row r="83" spans="1:3">
      <c r="A83" s="307"/>
      <c r="B83" s="856" t="s">
        <v>292</v>
      </c>
      <c r="C83" s="857"/>
    </row>
    <row r="84" spans="1:3" ht="79.5" customHeight="1">
      <c r="A84" s="307"/>
      <c r="B84" s="856" t="s">
        <v>306</v>
      </c>
      <c r="C84" s="857"/>
    </row>
    <row r="85" spans="1:3" ht="53.25" customHeight="1">
      <c r="A85" s="307"/>
      <c r="B85" s="856" t="s">
        <v>305</v>
      </c>
      <c r="C85" s="857"/>
    </row>
    <row r="86" spans="1:3">
      <c r="A86" s="307"/>
      <c r="B86" s="856" t="s">
        <v>293</v>
      </c>
      <c r="C86" s="857"/>
    </row>
    <row r="87" spans="1:3">
      <c r="A87" s="307"/>
      <c r="B87" s="856" t="s">
        <v>294</v>
      </c>
      <c r="C87" s="857"/>
    </row>
    <row r="88" spans="1:3">
      <c r="A88" s="307"/>
      <c r="B88" s="856" t="s">
        <v>295</v>
      </c>
      <c r="C88" s="857"/>
    </row>
    <row r="89" spans="1:3">
      <c r="A89" s="883" t="s">
        <v>296</v>
      </c>
      <c r="B89" s="884"/>
      <c r="C89" s="885"/>
    </row>
    <row r="90" spans="1:3">
      <c r="A90" s="307"/>
      <c r="B90" s="856" t="s">
        <v>229</v>
      </c>
      <c r="C90" s="857"/>
    </row>
    <row r="91" spans="1:3">
      <c r="A91" s="307"/>
      <c r="B91" s="856" t="s">
        <v>298</v>
      </c>
      <c r="C91" s="857"/>
    </row>
    <row r="92" spans="1:3" ht="12" customHeight="1">
      <c r="A92" s="307"/>
      <c r="B92" s="856" t="s">
        <v>299</v>
      </c>
      <c r="C92" s="857"/>
    </row>
    <row r="93" spans="1:3">
      <c r="A93" s="307"/>
      <c r="B93" s="856" t="s">
        <v>300</v>
      </c>
      <c r="C93" s="857"/>
    </row>
    <row r="94" spans="1:3" ht="24.75" customHeight="1">
      <c r="A94" s="307"/>
      <c r="B94" s="864" t="s">
        <v>336</v>
      </c>
      <c r="C94" s="865"/>
    </row>
    <row r="95" spans="1:3" ht="24" customHeight="1">
      <c r="A95" s="307"/>
      <c r="B95" s="864" t="s">
        <v>337</v>
      </c>
      <c r="C95" s="865"/>
    </row>
    <row r="96" spans="1:3" ht="13.5" customHeight="1">
      <c r="A96" s="307"/>
      <c r="B96" s="864" t="s">
        <v>301</v>
      </c>
      <c r="C96" s="865"/>
    </row>
    <row r="97" spans="1:3" ht="11.25" customHeight="1" thickBot="1">
      <c r="A97" s="886" t="s">
        <v>332</v>
      </c>
      <c r="B97" s="887"/>
      <c r="C97" s="888"/>
    </row>
    <row r="98" spans="1:3" ht="12.75" thickTop="1" thickBot="1">
      <c r="A98" s="895" t="s">
        <v>238</v>
      </c>
      <c r="B98" s="895"/>
      <c r="C98" s="895"/>
    </row>
    <row r="99" spans="1:3">
      <c r="A99" s="172">
        <v>2</v>
      </c>
      <c r="B99" s="296" t="s">
        <v>312</v>
      </c>
      <c r="C99" s="296" t="s">
        <v>333</v>
      </c>
    </row>
    <row r="100" spans="1:3">
      <c r="A100" s="127">
        <v>3</v>
      </c>
      <c r="B100" s="297" t="s">
        <v>313</v>
      </c>
      <c r="C100" s="298" t="s">
        <v>334</v>
      </c>
    </row>
    <row r="101" spans="1:3">
      <c r="A101" s="127">
        <v>4</v>
      </c>
      <c r="B101" s="297" t="s">
        <v>314</v>
      </c>
      <c r="C101" s="298" t="s">
        <v>338</v>
      </c>
    </row>
    <row r="102" spans="1:3" ht="11.25" customHeight="1">
      <c r="A102" s="127">
        <v>5</v>
      </c>
      <c r="B102" s="297" t="s">
        <v>315</v>
      </c>
      <c r="C102" s="298" t="s">
        <v>335</v>
      </c>
    </row>
    <row r="103" spans="1:3" ht="12" customHeight="1">
      <c r="A103" s="127">
        <v>6</v>
      </c>
      <c r="B103" s="297" t="s">
        <v>330</v>
      </c>
      <c r="C103" s="298" t="s">
        <v>316</v>
      </c>
    </row>
    <row r="104" spans="1:3" ht="12" customHeight="1">
      <c r="A104" s="127">
        <v>7</v>
      </c>
      <c r="B104" s="297" t="s">
        <v>317</v>
      </c>
      <c r="C104" s="298" t="s">
        <v>331</v>
      </c>
    </row>
    <row r="105" spans="1:3">
      <c r="A105" s="127">
        <v>8</v>
      </c>
      <c r="B105" s="297" t="s">
        <v>322</v>
      </c>
      <c r="C105" s="298" t="s">
        <v>342</v>
      </c>
    </row>
    <row r="106" spans="1:3" ht="11.25" customHeight="1">
      <c r="A106" s="883" t="s">
        <v>302</v>
      </c>
      <c r="B106" s="884"/>
      <c r="C106" s="885"/>
    </row>
    <row r="107" spans="1:3" ht="12" customHeight="1">
      <c r="A107" s="307"/>
      <c r="B107" s="881" t="s">
        <v>999</v>
      </c>
      <c r="C107" s="882"/>
    </row>
    <row r="108" spans="1:3">
      <c r="A108" s="883" t="s">
        <v>458</v>
      </c>
      <c r="B108" s="884"/>
      <c r="C108" s="885"/>
    </row>
    <row r="109" spans="1:3" ht="12" customHeight="1">
      <c r="A109" s="307"/>
      <c r="B109" s="856" t="s">
        <v>460</v>
      </c>
      <c r="C109" s="857"/>
    </row>
    <row r="110" spans="1:3">
      <c r="A110" s="307"/>
      <c r="B110" s="856" t="s">
        <v>461</v>
      </c>
      <c r="C110" s="857"/>
    </row>
    <row r="111" spans="1:3">
      <c r="A111" s="307"/>
      <c r="B111" s="856" t="s">
        <v>459</v>
      </c>
      <c r="C111" s="857"/>
    </row>
    <row r="112" spans="1:3">
      <c r="A112" s="889" t="s">
        <v>692</v>
      </c>
      <c r="B112" s="889"/>
      <c r="C112" s="889"/>
    </row>
    <row r="113" spans="1:3">
      <c r="A113" s="890" t="s">
        <v>176</v>
      </c>
      <c r="B113" s="890"/>
      <c r="C113" s="890"/>
    </row>
    <row r="114" spans="1:3">
      <c r="A114" s="484">
        <v>1</v>
      </c>
      <c r="B114" s="891" t="s">
        <v>576</v>
      </c>
      <c r="C114" s="892"/>
    </row>
    <row r="115" spans="1:3">
      <c r="A115" s="484">
        <v>2</v>
      </c>
      <c r="B115" s="893" t="s">
        <v>577</v>
      </c>
      <c r="C115" s="894"/>
    </row>
    <row r="116" spans="1:3">
      <c r="A116" s="484">
        <v>3</v>
      </c>
      <c r="B116" s="891" t="s">
        <v>902</v>
      </c>
      <c r="C116" s="892"/>
    </row>
    <row r="117" spans="1:3">
      <c r="A117" s="484">
        <v>4</v>
      </c>
      <c r="B117" s="891" t="s">
        <v>901</v>
      </c>
      <c r="C117" s="892"/>
    </row>
    <row r="118" spans="1:3">
      <c r="A118" s="484">
        <v>5</v>
      </c>
      <c r="B118" s="488" t="s">
        <v>900</v>
      </c>
      <c r="C118" s="487"/>
    </row>
    <row r="119" spans="1:3">
      <c r="A119" s="484">
        <v>6</v>
      </c>
      <c r="B119" s="903" t="s">
        <v>968</v>
      </c>
      <c r="C119" s="904"/>
    </row>
    <row r="120" spans="1:3" ht="48.4" customHeight="1">
      <c r="A120" s="484">
        <v>7</v>
      </c>
      <c r="B120" s="903" t="s">
        <v>969</v>
      </c>
      <c r="C120" s="904"/>
    </row>
    <row r="121" spans="1:3">
      <c r="A121" s="462">
        <v>8</v>
      </c>
      <c r="B121" s="457" t="s">
        <v>603</v>
      </c>
      <c r="C121" s="481" t="s">
        <v>899</v>
      </c>
    </row>
    <row r="122" spans="1:3" ht="22.5">
      <c r="A122" s="484">
        <v>9.01</v>
      </c>
      <c r="B122" s="457" t="s">
        <v>487</v>
      </c>
      <c r="C122" s="458" t="s">
        <v>652</v>
      </c>
    </row>
    <row r="123" spans="1:3" ht="33.75">
      <c r="A123" s="484">
        <v>9.02</v>
      </c>
      <c r="B123" s="457" t="s">
        <v>488</v>
      </c>
      <c r="C123" s="458" t="s">
        <v>655</v>
      </c>
    </row>
    <row r="124" spans="1:3">
      <c r="A124" s="484">
        <v>9.0299999999999994</v>
      </c>
      <c r="B124" s="458" t="s">
        <v>836</v>
      </c>
      <c r="C124" s="458" t="s">
        <v>578</v>
      </c>
    </row>
    <row r="125" spans="1:3">
      <c r="A125" s="484">
        <v>9.0399999999999991</v>
      </c>
      <c r="B125" s="457" t="s">
        <v>489</v>
      </c>
      <c r="C125" s="458" t="s">
        <v>579</v>
      </c>
    </row>
    <row r="126" spans="1:3">
      <c r="A126" s="484">
        <v>9.0500000000000007</v>
      </c>
      <c r="B126" s="457" t="s">
        <v>490</v>
      </c>
      <c r="C126" s="458" t="s">
        <v>580</v>
      </c>
    </row>
    <row r="127" spans="1:3" ht="22.5">
      <c r="A127" s="484">
        <v>9.06</v>
      </c>
      <c r="B127" s="457" t="s">
        <v>491</v>
      </c>
      <c r="C127" s="458" t="s">
        <v>581</v>
      </c>
    </row>
    <row r="128" spans="1:3">
      <c r="A128" s="484">
        <v>9.07</v>
      </c>
      <c r="B128" s="486" t="s">
        <v>492</v>
      </c>
      <c r="C128" s="458" t="s">
        <v>582</v>
      </c>
    </row>
    <row r="129" spans="1:3" ht="22.5">
      <c r="A129" s="484">
        <v>9.08</v>
      </c>
      <c r="B129" s="457" t="s">
        <v>493</v>
      </c>
      <c r="C129" s="458" t="s">
        <v>583</v>
      </c>
    </row>
    <row r="130" spans="1:3" ht="22.5">
      <c r="A130" s="484">
        <v>9.09</v>
      </c>
      <c r="B130" s="457" t="s">
        <v>494</v>
      </c>
      <c r="C130" s="458" t="s">
        <v>584</v>
      </c>
    </row>
    <row r="131" spans="1:3">
      <c r="A131" s="485">
        <v>9.1</v>
      </c>
      <c r="B131" s="457" t="s">
        <v>495</v>
      </c>
      <c r="C131" s="458" t="s">
        <v>585</v>
      </c>
    </row>
    <row r="132" spans="1:3">
      <c r="A132" s="484">
        <v>9.11</v>
      </c>
      <c r="B132" s="457" t="s">
        <v>496</v>
      </c>
      <c r="C132" s="458" t="s">
        <v>586</v>
      </c>
    </row>
    <row r="133" spans="1:3">
      <c r="A133" s="484">
        <v>9.1199999999999992</v>
      </c>
      <c r="B133" s="457" t="s">
        <v>497</v>
      </c>
      <c r="C133" s="458" t="s">
        <v>587</v>
      </c>
    </row>
    <row r="134" spans="1:3">
      <c r="A134" s="484">
        <v>9.1300000000000008</v>
      </c>
      <c r="B134" s="457" t="s">
        <v>498</v>
      </c>
      <c r="C134" s="458" t="s">
        <v>588</v>
      </c>
    </row>
    <row r="135" spans="1:3">
      <c r="A135" s="484">
        <v>9.14</v>
      </c>
      <c r="B135" s="457" t="s">
        <v>499</v>
      </c>
      <c r="C135" s="458" t="s">
        <v>589</v>
      </c>
    </row>
    <row r="136" spans="1:3">
      <c r="A136" s="484">
        <v>9.15</v>
      </c>
      <c r="B136" s="457" t="s">
        <v>500</v>
      </c>
      <c r="C136" s="458" t="s">
        <v>590</v>
      </c>
    </row>
    <row r="137" spans="1:3" ht="22.5">
      <c r="A137" s="484">
        <v>9.16</v>
      </c>
      <c r="B137" s="457" t="s">
        <v>501</v>
      </c>
      <c r="C137" s="458" t="s">
        <v>591</v>
      </c>
    </row>
    <row r="138" spans="1:3">
      <c r="A138" s="484">
        <v>9.17</v>
      </c>
      <c r="B138" s="458" t="s">
        <v>502</v>
      </c>
      <c r="C138" s="458" t="s">
        <v>592</v>
      </c>
    </row>
    <row r="139" spans="1:3" ht="22.5">
      <c r="A139" s="484">
        <v>9.18</v>
      </c>
      <c r="B139" s="457" t="s">
        <v>503</v>
      </c>
      <c r="C139" s="458" t="s">
        <v>593</v>
      </c>
    </row>
    <row r="140" spans="1:3">
      <c r="A140" s="484">
        <v>9.19</v>
      </c>
      <c r="B140" s="457" t="s">
        <v>504</v>
      </c>
      <c r="C140" s="458" t="s">
        <v>594</v>
      </c>
    </row>
    <row r="141" spans="1:3">
      <c r="A141" s="485">
        <v>9.1999999999999993</v>
      </c>
      <c r="B141" s="457" t="s">
        <v>505</v>
      </c>
      <c r="C141" s="458" t="s">
        <v>595</v>
      </c>
    </row>
    <row r="142" spans="1:3">
      <c r="A142" s="484">
        <v>9.2100000000000009</v>
      </c>
      <c r="B142" s="457" t="s">
        <v>506</v>
      </c>
      <c r="C142" s="458" t="s">
        <v>596</v>
      </c>
    </row>
    <row r="143" spans="1:3">
      <c r="A143" s="484">
        <v>9.2200000000000006</v>
      </c>
      <c r="B143" s="457" t="s">
        <v>507</v>
      </c>
      <c r="C143" s="458" t="s">
        <v>597</v>
      </c>
    </row>
    <row r="144" spans="1:3" ht="22.5">
      <c r="A144" s="484">
        <v>9.23</v>
      </c>
      <c r="B144" s="457" t="s">
        <v>508</v>
      </c>
      <c r="C144" s="458" t="s">
        <v>598</v>
      </c>
    </row>
    <row r="145" spans="1:3" ht="22.5">
      <c r="A145" s="484">
        <v>9.24</v>
      </c>
      <c r="B145" s="457" t="s">
        <v>509</v>
      </c>
      <c r="C145" s="458" t="s">
        <v>599</v>
      </c>
    </row>
    <row r="146" spans="1:3">
      <c r="A146" s="484">
        <v>9.2500000000000107</v>
      </c>
      <c r="B146" s="457" t="s">
        <v>510</v>
      </c>
      <c r="C146" s="458" t="s">
        <v>600</v>
      </c>
    </row>
    <row r="147" spans="1:3" ht="22.5">
      <c r="A147" s="484">
        <v>9.2600000000000193</v>
      </c>
      <c r="B147" s="457" t="s">
        <v>601</v>
      </c>
      <c r="C147" s="483" t="s">
        <v>602</v>
      </c>
    </row>
    <row r="148" spans="1:3" s="308" customFormat="1" ht="22.5">
      <c r="A148" s="484">
        <v>9.2700000000000298</v>
      </c>
      <c r="B148" s="457" t="s">
        <v>88</v>
      </c>
      <c r="C148" s="483" t="s">
        <v>653</v>
      </c>
    </row>
    <row r="149" spans="1:3" s="308" customFormat="1">
      <c r="A149" s="463"/>
      <c r="B149" s="897" t="s">
        <v>604</v>
      </c>
      <c r="C149" s="898"/>
    </row>
    <row r="150" spans="1:3" s="308" customFormat="1">
      <c r="A150" s="462">
        <v>1</v>
      </c>
      <c r="B150" s="881" t="s">
        <v>898</v>
      </c>
      <c r="C150" s="882"/>
    </row>
    <row r="151" spans="1:3" s="308" customFormat="1">
      <c r="A151" s="462">
        <v>2</v>
      </c>
      <c r="B151" s="881" t="s">
        <v>654</v>
      </c>
      <c r="C151" s="882"/>
    </row>
    <row r="152" spans="1:3" s="308" customFormat="1">
      <c r="A152" s="462">
        <v>3</v>
      </c>
      <c r="B152" s="881" t="s">
        <v>651</v>
      </c>
      <c r="C152" s="882"/>
    </row>
    <row r="153" spans="1:3" s="308" customFormat="1">
      <c r="A153" s="463"/>
      <c r="B153" s="897" t="s">
        <v>605</v>
      </c>
      <c r="C153" s="898"/>
    </row>
    <row r="154" spans="1:3" s="308" customFormat="1">
      <c r="A154" s="462">
        <v>1</v>
      </c>
      <c r="B154" s="900" t="s">
        <v>897</v>
      </c>
      <c r="C154" s="905"/>
    </row>
    <row r="155" spans="1:3" s="308" customFormat="1">
      <c r="A155" s="462">
        <v>2</v>
      </c>
      <c r="B155" s="457" t="s">
        <v>834</v>
      </c>
      <c r="C155" s="538" t="s">
        <v>963</v>
      </c>
    </row>
    <row r="156" spans="1:3" ht="22.5">
      <c r="A156" s="462">
        <v>3</v>
      </c>
      <c r="B156" s="457" t="s">
        <v>833</v>
      </c>
      <c r="C156" s="481" t="s">
        <v>896</v>
      </c>
    </row>
    <row r="157" spans="1:3">
      <c r="A157" s="462">
        <v>4</v>
      </c>
      <c r="B157" s="457" t="s">
        <v>480</v>
      </c>
      <c r="C157" s="457" t="s">
        <v>914</v>
      </c>
    </row>
    <row r="158" spans="1:3" ht="25.15" customHeight="1">
      <c r="A158" s="463"/>
      <c r="B158" s="897" t="s">
        <v>606</v>
      </c>
      <c r="C158" s="898"/>
    </row>
    <row r="159" spans="1:3" ht="33.75">
      <c r="A159" s="462"/>
      <c r="B159" s="457" t="s">
        <v>885</v>
      </c>
      <c r="C159" s="539" t="s">
        <v>964</v>
      </c>
    </row>
    <row r="160" spans="1:3">
      <c r="A160" s="463"/>
      <c r="B160" s="897" t="s">
        <v>607</v>
      </c>
      <c r="C160" s="898"/>
    </row>
    <row r="161" spans="1:3" ht="39" customHeight="1">
      <c r="A161" s="463"/>
      <c r="B161" s="881" t="s">
        <v>895</v>
      </c>
      <c r="C161" s="882"/>
    </row>
    <row r="162" spans="1:3">
      <c r="A162" s="463" t="s">
        <v>608</v>
      </c>
      <c r="B162" s="482" t="s">
        <v>518</v>
      </c>
      <c r="C162" s="474" t="s">
        <v>609</v>
      </c>
    </row>
    <row r="163" spans="1:3">
      <c r="A163" s="463" t="s">
        <v>357</v>
      </c>
      <c r="B163" s="479" t="s">
        <v>519</v>
      </c>
      <c r="C163" s="481" t="s">
        <v>894</v>
      </c>
    </row>
    <row r="164" spans="1:3" ht="22.5">
      <c r="A164" s="463" t="s">
        <v>364</v>
      </c>
      <c r="B164" s="474" t="s">
        <v>520</v>
      </c>
      <c r="C164" s="481" t="s">
        <v>610</v>
      </c>
    </row>
    <row r="165" spans="1:3">
      <c r="A165" s="463" t="s">
        <v>611</v>
      </c>
      <c r="B165" s="479" t="s">
        <v>521</v>
      </c>
      <c r="C165" s="480" t="s">
        <v>612</v>
      </c>
    </row>
    <row r="166" spans="1:3" ht="22.5">
      <c r="A166" s="463" t="s">
        <v>613</v>
      </c>
      <c r="B166" s="479" t="s">
        <v>849</v>
      </c>
      <c r="C166" s="473" t="s">
        <v>893</v>
      </c>
    </row>
    <row r="167" spans="1:3" ht="22.5">
      <c r="A167" s="463" t="s">
        <v>365</v>
      </c>
      <c r="B167" s="479" t="s">
        <v>522</v>
      </c>
      <c r="C167" s="473" t="s">
        <v>615</v>
      </c>
    </row>
    <row r="168" spans="1:3" ht="22.5">
      <c r="A168" s="463" t="s">
        <v>614</v>
      </c>
      <c r="B168" s="477" t="s">
        <v>525</v>
      </c>
      <c r="C168" s="478" t="s">
        <v>622</v>
      </c>
    </row>
    <row r="169" spans="1:3" ht="22.5">
      <c r="A169" s="463" t="s">
        <v>616</v>
      </c>
      <c r="B169" s="477" t="s">
        <v>523</v>
      </c>
      <c r="C169" s="473" t="s">
        <v>618</v>
      </c>
    </row>
    <row r="170" spans="1:3" ht="26.65" customHeight="1">
      <c r="A170" s="463" t="s">
        <v>617</v>
      </c>
      <c r="B170" s="477" t="s">
        <v>524</v>
      </c>
      <c r="C170" s="478" t="s">
        <v>620</v>
      </c>
    </row>
    <row r="171" spans="1:3" ht="22.5">
      <c r="A171" s="463" t="s">
        <v>619</v>
      </c>
      <c r="B171" s="458" t="s">
        <v>526</v>
      </c>
      <c r="C171" s="478" t="s">
        <v>624</v>
      </c>
    </row>
    <row r="172" spans="1:3" ht="22.5">
      <c r="A172" s="463" t="s">
        <v>621</v>
      </c>
      <c r="B172" s="477" t="s">
        <v>527</v>
      </c>
      <c r="C172" s="476" t="s">
        <v>625</v>
      </c>
    </row>
    <row r="173" spans="1:3">
      <c r="A173" s="463" t="s">
        <v>623</v>
      </c>
      <c r="B173" s="475" t="s">
        <v>528</v>
      </c>
      <c r="C173" s="474" t="s">
        <v>626</v>
      </c>
    </row>
    <row r="174" spans="1:3" ht="22.5">
      <c r="A174" s="463"/>
      <c r="B174" s="473" t="s">
        <v>892</v>
      </c>
      <c r="C174" s="458" t="s">
        <v>627</v>
      </c>
    </row>
    <row r="175" spans="1:3" ht="22.5">
      <c r="A175" s="463"/>
      <c r="B175" s="473" t="s">
        <v>891</v>
      </c>
      <c r="C175" s="458" t="s">
        <v>628</v>
      </c>
    </row>
    <row r="176" spans="1:3" ht="22.5">
      <c r="A176" s="463"/>
      <c r="B176" s="473" t="s">
        <v>890</v>
      </c>
      <c r="C176" s="458" t="s">
        <v>629</v>
      </c>
    </row>
    <row r="177" spans="1:3">
      <c r="A177" s="463"/>
      <c r="B177" s="897" t="s">
        <v>630</v>
      </c>
      <c r="C177" s="898"/>
    </row>
    <row r="178" spans="1:3">
      <c r="A178" s="463"/>
      <c r="B178" s="881" t="s">
        <v>889</v>
      </c>
      <c r="C178" s="882"/>
    </row>
    <row r="179" spans="1:3">
      <c r="A179" s="462">
        <v>1</v>
      </c>
      <c r="B179" s="458" t="s">
        <v>532</v>
      </c>
      <c r="C179" s="458" t="s">
        <v>532</v>
      </c>
    </row>
    <row r="180" spans="1:3" ht="33.75">
      <c r="A180" s="462">
        <v>2</v>
      </c>
      <c r="B180" s="458" t="s">
        <v>631</v>
      </c>
      <c r="C180" s="458" t="s">
        <v>632</v>
      </c>
    </row>
    <row r="181" spans="1:3">
      <c r="A181" s="462">
        <v>3</v>
      </c>
      <c r="B181" s="458" t="s">
        <v>534</v>
      </c>
      <c r="C181" s="458" t="s">
        <v>633</v>
      </c>
    </row>
    <row r="182" spans="1:3" ht="22.5">
      <c r="A182" s="462">
        <v>4</v>
      </c>
      <c r="B182" s="458" t="s">
        <v>535</v>
      </c>
      <c r="C182" s="458" t="s">
        <v>634</v>
      </c>
    </row>
    <row r="183" spans="1:3" ht="22.5">
      <c r="A183" s="462">
        <v>5</v>
      </c>
      <c r="B183" s="458" t="s">
        <v>536</v>
      </c>
      <c r="C183" s="458" t="s">
        <v>656</v>
      </c>
    </row>
    <row r="184" spans="1:3" ht="45">
      <c r="A184" s="462">
        <v>6</v>
      </c>
      <c r="B184" s="458" t="s">
        <v>537</v>
      </c>
      <c r="C184" s="458" t="s">
        <v>635</v>
      </c>
    </row>
    <row r="185" spans="1:3">
      <c r="A185" s="463"/>
      <c r="B185" s="897" t="s">
        <v>636</v>
      </c>
      <c r="C185" s="898"/>
    </row>
    <row r="186" spans="1:3">
      <c r="A186" s="463"/>
      <c r="B186" s="899" t="s">
        <v>888</v>
      </c>
      <c r="C186" s="900"/>
    </row>
    <row r="187" spans="1:3" ht="22.5">
      <c r="A187" s="463">
        <v>1.1000000000000001</v>
      </c>
      <c r="B187" s="472" t="s">
        <v>542</v>
      </c>
      <c r="C187" s="458" t="s">
        <v>637</v>
      </c>
    </row>
    <row r="188" spans="1:3" ht="49.9" customHeight="1">
      <c r="A188" s="463" t="s">
        <v>146</v>
      </c>
      <c r="B188" s="459" t="s">
        <v>543</v>
      </c>
      <c r="C188" s="458" t="s">
        <v>638</v>
      </c>
    </row>
    <row r="189" spans="1:3">
      <c r="A189" s="463" t="s">
        <v>544</v>
      </c>
      <c r="B189" s="471" t="s">
        <v>545</v>
      </c>
      <c r="C189" s="901" t="s">
        <v>887</v>
      </c>
    </row>
    <row r="190" spans="1:3">
      <c r="A190" s="463" t="s">
        <v>546</v>
      </c>
      <c r="B190" s="471" t="s">
        <v>547</v>
      </c>
      <c r="C190" s="901"/>
    </row>
    <row r="191" spans="1:3">
      <c r="A191" s="463" t="s">
        <v>548</v>
      </c>
      <c r="B191" s="471" t="s">
        <v>549</v>
      </c>
      <c r="C191" s="901"/>
    </row>
    <row r="192" spans="1:3">
      <c r="A192" s="463" t="s">
        <v>550</v>
      </c>
      <c r="B192" s="471" t="s">
        <v>551</v>
      </c>
      <c r="C192" s="901"/>
    </row>
    <row r="193" spans="1:4" ht="25.5" customHeight="1">
      <c r="A193" s="463">
        <v>1.2</v>
      </c>
      <c r="B193" s="470" t="s">
        <v>863</v>
      </c>
      <c r="C193" s="540" t="s">
        <v>965</v>
      </c>
    </row>
    <row r="194" spans="1:4" ht="22.5">
      <c r="A194" s="463" t="s">
        <v>553</v>
      </c>
      <c r="B194" s="465" t="s">
        <v>554</v>
      </c>
      <c r="C194" s="468" t="s">
        <v>639</v>
      </c>
    </row>
    <row r="195" spans="1:4" ht="22.5">
      <c r="A195" s="463" t="s">
        <v>555</v>
      </c>
      <c r="B195" s="469" t="s">
        <v>556</v>
      </c>
      <c r="C195" s="468" t="s">
        <v>640</v>
      </c>
    </row>
    <row r="196" spans="1:4" ht="25.9" customHeight="1">
      <c r="A196" s="463" t="s">
        <v>557</v>
      </c>
      <c r="B196" s="467" t="s">
        <v>558</v>
      </c>
      <c r="C196" s="457" t="s">
        <v>641</v>
      </c>
    </row>
    <row r="197" spans="1:4" ht="22.5">
      <c r="A197" s="463" t="s">
        <v>559</v>
      </c>
      <c r="B197" s="466" t="s">
        <v>560</v>
      </c>
      <c r="C197" s="457" t="s">
        <v>642</v>
      </c>
      <c r="D197" s="309"/>
    </row>
    <row r="198" spans="1:4" ht="22.5">
      <c r="A198" s="463">
        <v>1.4</v>
      </c>
      <c r="B198" s="465" t="s">
        <v>649</v>
      </c>
      <c r="C198" s="464" t="s">
        <v>643</v>
      </c>
      <c r="D198" s="310"/>
    </row>
    <row r="199" spans="1:4" ht="12.75">
      <c r="A199" s="463">
        <v>1.5</v>
      </c>
      <c r="B199" s="465" t="s">
        <v>650</v>
      </c>
      <c r="C199" s="464" t="s">
        <v>643</v>
      </c>
      <c r="D199" s="311"/>
    </row>
    <row r="200" spans="1:4" ht="12.75">
      <c r="A200" s="463"/>
      <c r="B200" s="889" t="s">
        <v>644</v>
      </c>
      <c r="C200" s="889"/>
      <c r="D200" s="311"/>
    </row>
    <row r="201" spans="1:4" ht="12.75">
      <c r="A201" s="463"/>
      <c r="B201" s="899" t="s">
        <v>886</v>
      </c>
      <c r="C201" s="899"/>
      <c r="D201" s="311"/>
    </row>
    <row r="202" spans="1:4" ht="12.75">
      <c r="A202" s="462"/>
      <c r="B202" s="457" t="s">
        <v>885</v>
      </c>
      <c r="C202" s="539" t="s">
        <v>963</v>
      </c>
      <c r="D202" s="311"/>
    </row>
    <row r="203" spans="1:4" ht="12.75">
      <c r="A203" s="463"/>
      <c r="B203" s="889" t="s">
        <v>645</v>
      </c>
      <c r="C203" s="889"/>
      <c r="D203" s="312"/>
    </row>
    <row r="204" spans="1:4" ht="12.75">
      <c r="A204" s="462"/>
      <c r="B204" s="899" t="s">
        <v>884</v>
      </c>
      <c r="C204" s="899"/>
      <c r="D204" s="313"/>
    </row>
    <row r="205" spans="1:4" ht="12.75">
      <c r="B205" s="889" t="s">
        <v>682</v>
      </c>
      <c r="C205" s="889"/>
      <c r="D205" s="314"/>
    </row>
    <row r="206" spans="1:4" ht="22.5">
      <c r="A206" s="459">
        <v>1</v>
      </c>
      <c r="B206" s="457" t="s">
        <v>658</v>
      </c>
      <c r="C206" s="457" t="s">
        <v>670</v>
      </c>
      <c r="D206" s="313"/>
    </row>
    <row r="207" spans="1:4" ht="18" customHeight="1">
      <c r="A207" s="459">
        <v>2</v>
      </c>
      <c r="B207" s="457" t="s">
        <v>659</v>
      </c>
      <c r="C207" s="457" t="s">
        <v>671</v>
      </c>
      <c r="D207" s="314"/>
    </row>
    <row r="208" spans="1:4" ht="22.5">
      <c r="A208" s="459">
        <v>3</v>
      </c>
      <c r="B208" s="457" t="s">
        <v>660</v>
      </c>
      <c r="C208" s="457" t="s">
        <v>672</v>
      </c>
      <c r="D208" s="315"/>
    </row>
    <row r="209" spans="1:4" ht="12.75">
      <c r="A209" s="459">
        <v>4</v>
      </c>
      <c r="B209" s="457" t="s">
        <v>661</v>
      </c>
      <c r="C209" s="457" t="s">
        <v>673</v>
      </c>
      <c r="D209" s="315"/>
    </row>
    <row r="210" spans="1:4" ht="22.5">
      <c r="A210" s="459">
        <v>5</v>
      </c>
      <c r="B210" s="457" t="s">
        <v>662</v>
      </c>
      <c r="C210" s="457" t="s">
        <v>674</v>
      </c>
    </row>
    <row r="211" spans="1:4" ht="24.4" customHeight="1">
      <c r="A211" s="459">
        <v>6</v>
      </c>
      <c r="B211" s="457" t="s">
        <v>663</v>
      </c>
      <c r="C211" s="457" t="s">
        <v>675</v>
      </c>
    </row>
    <row r="212" spans="1:4" ht="22.5">
      <c r="A212" s="459">
        <v>7</v>
      </c>
      <c r="B212" s="457" t="s">
        <v>664</v>
      </c>
      <c r="C212" s="457" t="s">
        <v>676</v>
      </c>
    </row>
    <row r="213" spans="1:4">
      <c r="A213" s="459">
        <v>7.1</v>
      </c>
      <c r="B213" s="461" t="s">
        <v>665</v>
      </c>
      <c r="C213" s="457" t="s">
        <v>677</v>
      </c>
    </row>
    <row r="214" spans="1:4" ht="22.5">
      <c r="A214" s="459">
        <v>7.2</v>
      </c>
      <c r="B214" s="461" t="s">
        <v>666</v>
      </c>
      <c r="C214" s="457" t="s">
        <v>678</v>
      </c>
    </row>
    <row r="215" spans="1:4">
      <c r="A215" s="459">
        <v>7.3</v>
      </c>
      <c r="B215" s="460" t="s">
        <v>667</v>
      </c>
      <c r="C215" s="457" t="s">
        <v>679</v>
      </c>
    </row>
    <row r="216" spans="1:4" ht="39.4" customHeight="1">
      <c r="A216" s="459">
        <v>8</v>
      </c>
      <c r="B216" s="457" t="s">
        <v>668</v>
      </c>
      <c r="C216" s="457" t="s">
        <v>680</v>
      </c>
    </row>
    <row r="217" spans="1:4">
      <c r="A217" s="459">
        <v>9</v>
      </c>
      <c r="B217" s="457" t="s">
        <v>669</v>
      </c>
      <c r="C217" s="457" t="s">
        <v>681</v>
      </c>
    </row>
    <row r="218" spans="1:4" ht="22.5">
      <c r="A218" s="496">
        <v>10.1</v>
      </c>
      <c r="B218" s="497" t="s">
        <v>689</v>
      </c>
      <c r="C218" s="489" t="s">
        <v>690</v>
      </c>
    </row>
    <row r="219" spans="1:4">
      <c r="A219" s="902"/>
      <c r="B219" s="498" t="s">
        <v>876</v>
      </c>
      <c r="C219" s="457" t="s">
        <v>883</v>
      </c>
    </row>
    <row r="220" spans="1:4">
      <c r="A220" s="902"/>
      <c r="B220" s="458" t="s">
        <v>541</v>
      </c>
      <c r="C220" s="457" t="s">
        <v>882</v>
      </c>
    </row>
    <row r="221" spans="1:4">
      <c r="A221" s="902"/>
      <c r="B221" s="458" t="s">
        <v>875</v>
      </c>
      <c r="C221" s="540" t="s">
        <v>966</v>
      </c>
    </row>
    <row r="222" spans="1:4">
      <c r="A222" s="902"/>
      <c r="B222" s="458" t="s">
        <v>683</v>
      </c>
      <c r="C222" s="457" t="s">
        <v>881</v>
      </c>
    </row>
    <row r="223" spans="1:4" ht="22.5">
      <c r="A223" s="902"/>
      <c r="B223" s="458" t="s">
        <v>687</v>
      </c>
      <c r="C223" s="458" t="s">
        <v>880</v>
      </c>
    </row>
    <row r="224" spans="1:4" ht="33.75">
      <c r="A224" s="902"/>
      <c r="B224" s="458" t="s">
        <v>686</v>
      </c>
      <c r="C224" s="457" t="s">
        <v>879</v>
      </c>
    </row>
    <row r="225" spans="1:3">
      <c r="A225" s="902"/>
      <c r="B225" s="458" t="s">
        <v>915</v>
      </c>
      <c r="C225" s="457" t="s">
        <v>878</v>
      </c>
    </row>
    <row r="226" spans="1:3" ht="22.5">
      <c r="A226" s="902"/>
      <c r="B226" s="458" t="s">
        <v>916</v>
      </c>
      <c r="C226" s="457" t="s">
        <v>877</v>
      </c>
    </row>
    <row r="227" spans="1:3" ht="12.75">
      <c r="A227" s="490"/>
      <c r="B227" s="491"/>
      <c r="C227" s="492"/>
    </row>
    <row r="228" spans="1:3" ht="12.75">
      <c r="A228" s="490"/>
      <c r="B228" s="492"/>
      <c r="C228" s="492"/>
    </row>
    <row r="229" spans="1:3" ht="12.75">
      <c r="A229" s="490"/>
      <c r="B229" s="492"/>
      <c r="C229" s="492"/>
    </row>
    <row r="230" spans="1:3" ht="12.75">
      <c r="A230" s="490"/>
      <c r="B230" s="493"/>
      <c r="C230" s="492"/>
    </row>
    <row r="231" spans="1:3" ht="12.75">
      <c r="A231" s="896"/>
      <c r="B231" s="494"/>
      <c r="C231" s="492"/>
    </row>
    <row r="232" spans="1:3" ht="12.75">
      <c r="A232" s="896"/>
      <c r="B232" s="494"/>
      <c r="C232" s="492"/>
    </row>
    <row r="233" spans="1:3" ht="12.75">
      <c r="A233" s="896"/>
      <c r="B233" s="494"/>
      <c r="C233" s="492"/>
    </row>
    <row r="234" spans="1:3" ht="12.75">
      <c r="A234" s="896"/>
      <c r="B234" s="494"/>
      <c r="C234" s="495"/>
    </row>
    <row r="235" spans="1:3" ht="40.5" customHeight="1">
      <c r="A235" s="896"/>
      <c r="B235" s="494"/>
      <c r="C235" s="492"/>
    </row>
    <row r="236" spans="1:3" ht="24" customHeight="1">
      <c r="A236" s="896"/>
      <c r="B236" s="494"/>
      <c r="C236" s="492"/>
    </row>
    <row r="237" spans="1:3" ht="12.75">
      <c r="A237" s="896"/>
      <c r="B237" s="494"/>
      <c r="C237" s="492"/>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O45"/>
  <sheetViews>
    <sheetView showGridLines="0" zoomScale="80" zoomScaleNormal="80" workbookViewId="0"/>
  </sheetViews>
  <sheetFormatPr defaultRowHeight="15"/>
  <cols>
    <col min="2" max="2" width="66.7109375" customWidth="1"/>
    <col min="3" max="8" width="17.7109375" style="602" customWidth="1"/>
    <col min="10" max="12" width="9.28515625" bestFit="1" customWidth="1"/>
    <col min="13" max="15" width="15.85546875" bestFit="1" customWidth="1"/>
  </cols>
  <sheetData>
    <row r="1" spans="1:15" ht="15.75">
      <c r="A1" s="13" t="s">
        <v>97</v>
      </c>
      <c r="B1" s="221" t="str">
        <f>Info!C2</f>
        <v>სს "ბანკი ქართუ"</v>
      </c>
      <c r="C1" s="600"/>
      <c r="D1" s="601"/>
      <c r="E1" s="601"/>
      <c r="F1" s="601"/>
      <c r="G1" s="601"/>
    </row>
    <row r="2" spans="1:15" ht="15.75">
      <c r="A2" s="13" t="s">
        <v>98</v>
      </c>
      <c r="B2" s="593">
        <f>'1. key ratios'!B2</f>
        <v>46112</v>
      </c>
      <c r="C2" s="600"/>
      <c r="D2" s="601"/>
      <c r="E2" s="601"/>
      <c r="F2" s="601"/>
      <c r="G2" s="601"/>
    </row>
    <row r="3" spans="1:15" ht="15.75">
      <c r="A3" s="13"/>
      <c r="B3" s="12"/>
      <c r="C3" s="600"/>
      <c r="D3" s="601"/>
      <c r="E3" s="601"/>
      <c r="F3" s="601"/>
      <c r="G3" s="601"/>
    </row>
    <row r="4" spans="1:15">
      <c r="A4" s="743" t="s">
        <v>25</v>
      </c>
      <c r="B4" s="741" t="s">
        <v>155</v>
      </c>
      <c r="C4" s="739" t="s">
        <v>103</v>
      </c>
      <c r="D4" s="739"/>
      <c r="E4" s="739"/>
      <c r="F4" s="739" t="s">
        <v>104</v>
      </c>
      <c r="G4" s="739"/>
      <c r="H4" s="740"/>
    </row>
    <row r="5" spans="1:15" ht="15.4" customHeight="1">
      <c r="A5" s="744"/>
      <c r="B5" s="742"/>
      <c r="C5" s="611" t="s">
        <v>26</v>
      </c>
      <c r="D5" s="611" t="s">
        <v>77</v>
      </c>
      <c r="E5" s="611" t="s">
        <v>66</v>
      </c>
      <c r="F5" s="611" t="s">
        <v>26</v>
      </c>
      <c r="G5" s="611" t="s">
        <v>77</v>
      </c>
      <c r="H5" s="611" t="s">
        <v>66</v>
      </c>
    </row>
    <row r="6" spans="1:15">
      <c r="A6" s="365">
        <v>1</v>
      </c>
      <c r="B6" s="343" t="s">
        <v>744</v>
      </c>
      <c r="C6" s="608">
        <f>SUM(C7:C12)</f>
        <v>18491601.727631509</v>
      </c>
      <c r="D6" s="608">
        <f>SUM(D7:D12)</f>
        <v>14647381.329418764</v>
      </c>
      <c r="E6" s="609">
        <f>C6+D6</f>
        <v>33138983.057050273</v>
      </c>
      <c r="F6" s="608">
        <f>SUM(F7:F12)</f>
        <v>13778235.406413263</v>
      </c>
      <c r="G6" s="608">
        <f>SUM(G7:G12)</f>
        <v>15213581.43999441</v>
      </c>
      <c r="H6" s="609">
        <f>F6+G6</f>
        <v>28991816.846407674</v>
      </c>
      <c r="J6" s="602"/>
      <c r="K6" s="602"/>
      <c r="L6" s="602"/>
      <c r="M6" s="602"/>
      <c r="N6" s="602"/>
      <c r="O6" s="602"/>
    </row>
    <row r="7" spans="1:15">
      <c r="A7" s="365">
        <v>1.1000000000000001</v>
      </c>
      <c r="B7" s="344" t="s">
        <v>698</v>
      </c>
      <c r="C7" s="608">
        <v>0</v>
      </c>
      <c r="D7" s="608">
        <v>0</v>
      </c>
      <c r="E7" s="609">
        <f t="shared" ref="E7:E45" si="0">C7+D7</f>
        <v>0</v>
      </c>
      <c r="F7" s="608">
        <v>0</v>
      </c>
      <c r="G7" s="608">
        <v>0</v>
      </c>
      <c r="H7" s="609">
        <f t="shared" ref="H7:H44" si="1">F7+G7</f>
        <v>0</v>
      </c>
      <c r="J7" s="602"/>
      <c r="K7" s="602"/>
      <c r="L7" s="602"/>
      <c r="M7" s="602"/>
      <c r="N7" s="602"/>
      <c r="O7" s="602"/>
    </row>
    <row r="8" spans="1:15" ht="21">
      <c r="A8" s="365">
        <v>1.2</v>
      </c>
      <c r="B8" s="344" t="s">
        <v>745</v>
      </c>
      <c r="C8" s="608">
        <v>0</v>
      </c>
      <c r="D8" s="608">
        <v>0</v>
      </c>
      <c r="E8" s="609">
        <f t="shared" si="0"/>
        <v>0</v>
      </c>
      <c r="F8" s="608">
        <v>0</v>
      </c>
      <c r="G8" s="608">
        <v>0</v>
      </c>
      <c r="H8" s="609">
        <f t="shared" si="1"/>
        <v>0</v>
      </c>
      <c r="J8" s="602"/>
      <c r="K8" s="602"/>
      <c r="L8" s="602"/>
      <c r="M8" s="602"/>
      <c r="N8" s="602"/>
      <c r="O8" s="602"/>
    </row>
    <row r="9" spans="1:15" ht="21.4" customHeight="1">
      <c r="A9" s="365">
        <v>1.3</v>
      </c>
      <c r="B9" s="335" t="s">
        <v>746</v>
      </c>
      <c r="C9" s="608">
        <v>0</v>
      </c>
      <c r="D9" s="608">
        <v>0</v>
      </c>
      <c r="E9" s="609">
        <f t="shared" si="0"/>
        <v>0</v>
      </c>
      <c r="F9" s="608">
        <v>0</v>
      </c>
      <c r="G9" s="608">
        <v>0</v>
      </c>
      <c r="H9" s="609">
        <f t="shared" si="1"/>
        <v>0</v>
      </c>
      <c r="J9" s="602"/>
      <c r="K9" s="602"/>
      <c r="L9" s="602"/>
      <c r="M9" s="602"/>
      <c r="N9" s="602"/>
      <c r="O9" s="602"/>
    </row>
    <row r="10" spans="1:15" ht="21">
      <c r="A10" s="365">
        <v>1.4</v>
      </c>
      <c r="B10" s="335" t="s">
        <v>702</v>
      </c>
      <c r="C10" s="608">
        <v>0</v>
      </c>
      <c r="D10" s="608">
        <v>0</v>
      </c>
      <c r="E10" s="609">
        <f t="shared" si="0"/>
        <v>0</v>
      </c>
      <c r="F10" s="608">
        <v>158804.84999999998</v>
      </c>
      <c r="G10" s="608">
        <v>0</v>
      </c>
      <c r="H10" s="609">
        <f t="shared" si="1"/>
        <v>158804.84999999998</v>
      </c>
      <c r="J10" s="602"/>
      <c r="K10" s="602"/>
      <c r="L10" s="602"/>
      <c r="M10" s="602"/>
      <c r="N10" s="602"/>
      <c r="O10" s="602"/>
    </row>
    <row r="11" spans="1:15">
      <c r="A11" s="365">
        <v>1.5</v>
      </c>
      <c r="B11" s="335" t="s">
        <v>705</v>
      </c>
      <c r="C11" s="608">
        <v>18491601.727631509</v>
      </c>
      <c r="D11" s="608">
        <v>14647381.329418764</v>
      </c>
      <c r="E11" s="609">
        <f t="shared" si="0"/>
        <v>33138983.057050273</v>
      </c>
      <c r="F11" s="608">
        <v>13619430.556413263</v>
      </c>
      <c r="G11" s="608">
        <v>15213581.43999441</v>
      </c>
      <c r="H11" s="609">
        <f t="shared" si="1"/>
        <v>28833011.996407673</v>
      </c>
      <c r="J11" s="602"/>
      <c r="K11" s="602"/>
      <c r="L11" s="602"/>
      <c r="M11" s="602"/>
      <c r="N11" s="602"/>
      <c r="O11" s="602"/>
    </row>
    <row r="12" spans="1:15">
      <c r="A12" s="365">
        <v>1.6</v>
      </c>
      <c r="B12" s="336" t="s">
        <v>88</v>
      </c>
      <c r="C12" s="608">
        <v>0</v>
      </c>
      <c r="D12" s="608">
        <v>0</v>
      </c>
      <c r="E12" s="609">
        <f t="shared" si="0"/>
        <v>0</v>
      </c>
      <c r="F12" s="608">
        <v>0</v>
      </c>
      <c r="G12" s="608">
        <v>0</v>
      </c>
      <c r="H12" s="609">
        <f t="shared" si="1"/>
        <v>0</v>
      </c>
      <c r="J12" s="602"/>
      <c r="K12" s="602"/>
      <c r="L12" s="602"/>
      <c r="M12" s="602"/>
      <c r="N12" s="602"/>
      <c r="O12" s="602"/>
    </row>
    <row r="13" spans="1:15">
      <c r="A13" s="365">
        <v>2</v>
      </c>
      <c r="B13" s="345" t="s">
        <v>747</v>
      </c>
      <c r="C13" s="608">
        <f>SUM(C14:C17)</f>
        <v>-5641029.4513600376</v>
      </c>
      <c r="D13" s="608">
        <f>SUM(D14:D17)</f>
        <v>-7338113.1463605445</v>
      </c>
      <c r="E13" s="609">
        <f t="shared" si="0"/>
        <v>-12979142.597720582</v>
      </c>
      <c r="F13" s="608">
        <f>SUM(F14:F17)</f>
        <v>-3403962.4955769242</v>
      </c>
      <c r="G13" s="608">
        <f>SUM(G14:G17)</f>
        <v>-6469494.017989099</v>
      </c>
      <c r="H13" s="609">
        <f t="shared" si="1"/>
        <v>-9873456.5135660227</v>
      </c>
      <c r="J13" s="602"/>
      <c r="K13" s="602"/>
      <c r="L13" s="602"/>
      <c r="M13" s="602"/>
      <c r="N13" s="602"/>
      <c r="O13" s="602"/>
    </row>
    <row r="14" spans="1:15">
      <c r="A14" s="365">
        <v>2.1</v>
      </c>
      <c r="B14" s="335" t="s">
        <v>748</v>
      </c>
      <c r="C14" s="608">
        <v>0</v>
      </c>
      <c r="D14" s="608">
        <v>0</v>
      </c>
      <c r="E14" s="609">
        <f t="shared" si="0"/>
        <v>0</v>
      </c>
      <c r="F14" s="608">
        <v>0</v>
      </c>
      <c r="G14" s="608">
        <v>0</v>
      </c>
      <c r="H14" s="609">
        <f t="shared" si="1"/>
        <v>0</v>
      </c>
      <c r="J14" s="602"/>
      <c r="K14" s="602"/>
      <c r="L14" s="602"/>
      <c r="M14" s="602"/>
      <c r="N14" s="602"/>
      <c r="O14" s="602"/>
    </row>
    <row r="15" spans="1:15" ht="24.4" customHeight="1">
      <c r="A15" s="365">
        <v>2.2000000000000002</v>
      </c>
      <c r="B15" s="335" t="s">
        <v>749</v>
      </c>
      <c r="C15" s="608">
        <v>0</v>
      </c>
      <c r="D15" s="608">
        <v>0</v>
      </c>
      <c r="E15" s="609">
        <f t="shared" si="0"/>
        <v>0</v>
      </c>
      <c r="F15" s="608">
        <v>0</v>
      </c>
      <c r="G15" s="608">
        <v>0</v>
      </c>
      <c r="H15" s="609">
        <f t="shared" si="1"/>
        <v>0</v>
      </c>
      <c r="J15" s="602"/>
      <c r="K15" s="602"/>
      <c r="L15" s="602"/>
      <c r="M15" s="602"/>
      <c r="N15" s="602"/>
      <c r="O15" s="602"/>
    </row>
    <row r="16" spans="1:15" ht="20.65" customHeight="1">
      <c r="A16" s="365">
        <v>2.2999999999999998</v>
      </c>
      <c r="B16" s="335" t="s">
        <v>750</v>
      </c>
      <c r="C16" s="608">
        <v>-5641029.4513600376</v>
      </c>
      <c r="D16" s="608">
        <v>-7338113.1463605445</v>
      </c>
      <c r="E16" s="609">
        <f t="shared" si="0"/>
        <v>-12979142.597720582</v>
      </c>
      <c r="F16" s="608">
        <v>-3403962.4955769242</v>
      </c>
      <c r="G16" s="608">
        <v>-6469494.017989099</v>
      </c>
      <c r="H16" s="609">
        <f t="shared" si="1"/>
        <v>-9873456.5135660227</v>
      </c>
      <c r="J16" s="602"/>
      <c r="K16" s="602"/>
      <c r="L16" s="602"/>
      <c r="M16" s="602"/>
      <c r="N16" s="602"/>
      <c r="O16" s="602"/>
    </row>
    <row r="17" spans="1:15">
      <c r="A17" s="365">
        <v>2.4</v>
      </c>
      <c r="B17" s="335" t="s">
        <v>751</v>
      </c>
      <c r="C17" s="608">
        <v>0</v>
      </c>
      <c r="D17" s="608">
        <v>0</v>
      </c>
      <c r="E17" s="609">
        <f t="shared" si="0"/>
        <v>0</v>
      </c>
      <c r="F17" s="608">
        <v>0</v>
      </c>
      <c r="G17" s="608">
        <v>0</v>
      </c>
      <c r="H17" s="609">
        <f t="shared" si="1"/>
        <v>0</v>
      </c>
      <c r="J17" s="602"/>
      <c r="K17" s="602"/>
      <c r="L17" s="602"/>
      <c r="M17" s="602"/>
      <c r="N17" s="602"/>
      <c r="O17" s="602"/>
    </row>
    <row r="18" spans="1:15">
      <c r="A18" s="365">
        <v>3</v>
      </c>
      <c r="B18" s="345" t="s">
        <v>752</v>
      </c>
      <c r="C18" s="608">
        <v>0</v>
      </c>
      <c r="D18" s="608">
        <v>0</v>
      </c>
      <c r="E18" s="609">
        <f t="shared" si="0"/>
        <v>0</v>
      </c>
      <c r="F18" s="608">
        <v>0</v>
      </c>
      <c r="G18" s="608">
        <v>0</v>
      </c>
      <c r="H18" s="609">
        <f t="shared" si="1"/>
        <v>0</v>
      </c>
      <c r="J18" s="602"/>
      <c r="K18" s="602"/>
      <c r="L18" s="602"/>
      <c r="M18" s="602"/>
      <c r="N18" s="602"/>
      <c r="O18" s="602"/>
    </row>
    <row r="19" spans="1:15">
      <c r="A19" s="365">
        <v>4</v>
      </c>
      <c r="B19" s="345" t="s">
        <v>753</v>
      </c>
      <c r="C19" s="608">
        <v>1078833.8980000003</v>
      </c>
      <c r="D19" s="608">
        <v>1833957.1234999998</v>
      </c>
      <c r="E19" s="609">
        <f t="shared" si="0"/>
        <v>2912791.0214999998</v>
      </c>
      <c r="F19" s="608">
        <v>1167211.2776000001</v>
      </c>
      <c r="G19" s="608">
        <v>1771669.1460000002</v>
      </c>
      <c r="H19" s="609">
        <f t="shared" si="1"/>
        <v>2938880.4236000003</v>
      </c>
      <c r="J19" s="602"/>
      <c r="K19" s="602"/>
      <c r="L19" s="602"/>
      <c r="M19" s="602"/>
      <c r="N19" s="602"/>
      <c r="O19" s="602"/>
    </row>
    <row r="20" spans="1:15">
      <c r="A20" s="365">
        <v>5</v>
      </c>
      <c r="B20" s="345" t="s">
        <v>754</v>
      </c>
      <c r="C20" s="608">
        <v>-351630.19999999995</v>
      </c>
      <c r="D20" s="608">
        <v>-1704650.2665000001</v>
      </c>
      <c r="E20" s="609">
        <f t="shared" si="0"/>
        <v>-2056280.4665000001</v>
      </c>
      <c r="F20" s="608">
        <v>-457316.93999999994</v>
      </c>
      <c r="G20" s="608">
        <v>-1102361.5229</v>
      </c>
      <c r="H20" s="609">
        <f t="shared" si="1"/>
        <v>-1559678.4628999999</v>
      </c>
      <c r="J20" s="602"/>
      <c r="K20" s="602"/>
      <c r="L20" s="602"/>
      <c r="M20" s="602"/>
      <c r="N20" s="602"/>
      <c r="O20" s="602"/>
    </row>
    <row r="21" spans="1:15" ht="38.65" customHeight="1">
      <c r="A21" s="365">
        <v>6</v>
      </c>
      <c r="B21" s="345" t="s">
        <v>755</v>
      </c>
      <c r="C21" s="608">
        <v>0</v>
      </c>
      <c r="D21" s="608">
        <v>0</v>
      </c>
      <c r="E21" s="609">
        <f t="shared" si="0"/>
        <v>0</v>
      </c>
      <c r="F21" s="608">
        <v>0</v>
      </c>
      <c r="G21" s="608">
        <v>0</v>
      </c>
      <c r="H21" s="609">
        <f t="shared" si="1"/>
        <v>0</v>
      </c>
      <c r="J21" s="602"/>
      <c r="K21" s="602"/>
      <c r="L21" s="602"/>
      <c r="M21" s="602"/>
      <c r="N21" s="602"/>
      <c r="O21" s="602"/>
    </row>
    <row r="22" spans="1:15" ht="27.4" customHeight="1">
      <c r="A22" s="365">
        <v>7</v>
      </c>
      <c r="B22" s="345" t="s">
        <v>756</v>
      </c>
      <c r="C22" s="608">
        <v>0</v>
      </c>
      <c r="D22" s="608">
        <v>0</v>
      </c>
      <c r="E22" s="609">
        <f t="shared" si="0"/>
        <v>0</v>
      </c>
      <c r="F22" s="608">
        <v>0</v>
      </c>
      <c r="G22" s="608">
        <v>0</v>
      </c>
      <c r="H22" s="609">
        <f t="shared" si="1"/>
        <v>0</v>
      </c>
      <c r="J22" s="602"/>
      <c r="K22" s="602"/>
      <c r="L22" s="602"/>
      <c r="M22" s="602"/>
      <c r="N22" s="602"/>
      <c r="O22" s="602"/>
    </row>
    <row r="23" spans="1:15" ht="37.15" customHeight="1">
      <c r="A23" s="365">
        <v>8</v>
      </c>
      <c r="B23" s="346" t="s">
        <v>757</v>
      </c>
      <c r="C23" s="608">
        <v>-47400</v>
      </c>
      <c r="D23" s="608">
        <v>0</v>
      </c>
      <c r="E23" s="609">
        <f t="shared" si="0"/>
        <v>-47400</v>
      </c>
      <c r="F23" s="608">
        <v>-53950</v>
      </c>
      <c r="G23" s="608">
        <v>0</v>
      </c>
      <c r="H23" s="609">
        <f t="shared" si="1"/>
        <v>-53950</v>
      </c>
      <c r="J23" s="602"/>
      <c r="K23" s="602"/>
      <c r="L23" s="602"/>
      <c r="M23" s="602"/>
      <c r="N23" s="602"/>
      <c r="O23" s="602"/>
    </row>
    <row r="24" spans="1:15" ht="34.5" customHeight="1">
      <c r="A24" s="365">
        <v>9</v>
      </c>
      <c r="B24" s="346" t="s">
        <v>758</v>
      </c>
      <c r="C24" s="608">
        <v>0</v>
      </c>
      <c r="D24" s="608">
        <v>0</v>
      </c>
      <c r="E24" s="609">
        <f t="shared" si="0"/>
        <v>0</v>
      </c>
      <c r="F24" s="608">
        <v>0</v>
      </c>
      <c r="G24" s="608">
        <v>0</v>
      </c>
      <c r="H24" s="609">
        <f t="shared" si="1"/>
        <v>0</v>
      </c>
      <c r="J24" s="602"/>
      <c r="K24" s="602"/>
      <c r="L24" s="602"/>
      <c r="M24" s="602"/>
      <c r="N24" s="602"/>
      <c r="O24" s="602"/>
    </row>
    <row r="25" spans="1:15">
      <c r="A25" s="365">
        <v>10</v>
      </c>
      <c r="B25" s="345" t="s">
        <v>759</v>
      </c>
      <c r="C25" s="608">
        <v>2381843.4404190029</v>
      </c>
      <c r="D25" s="608">
        <v>0</v>
      </c>
      <c r="E25" s="609">
        <f t="shared" si="0"/>
        <v>2381843.4404190029</v>
      </c>
      <c r="F25" s="608">
        <v>1696904.8714510028</v>
      </c>
      <c r="G25" s="608">
        <v>0</v>
      </c>
      <c r="H25" s="609">
        <f t="shared" si="1"/>
        <v>1696904.8714510028</v>
      </c>
      <c r="J25" s="602"/>
      <c r="K25" s="602"/>
      <c r="L25" s="602"/>
      <c r="M25" s="602"/>
      <c r="N25" s="602"/>
      <c r="O25" s="602"/>
    </row>
    <row r="26" spans="1:15" ht="27" customHeight="1">
      <c r="A26" s="365">
        <v>11</v>
      </c>
      <c r="B26" s="347" t="s">
        <v>760</v>
      </c>
      <c r="C26" s="608">
        <v>258796.27000000002</v>
      </c>
      <c r="D26" s="608">
        <v>0</v>
      </c>
      <c r="E26" s="609">
        <f t="shared" si="0"/>
        <v>258796.27000000002</v>
      </c>
      <c r="F26" s="608">
        <v>343125.67</v>
      </c>
      <c r="G26" s="608">
        <v>0</v>
      </c>
      <c r="H26" s="609">
        <f t="shared" si="1"/>
        <v>343125.67</v>
      </c>
      <c r="J26" s="602"/>
      <c r="K26" s="602"/>
      <c r="L26" s="602"/>
      <c r="M26" s="602"/>
      <c r="N26" s="602"/>
      <c r="O26" s="602"/>
    </row>
    <row r="27" spans="1:15">
      <c r="A27" s="365">
        <v>12</v>
      </c>
      <c r="B27" s="345" t="s">
        <v>761</v>
      </c>
      <c r="C27" s="608">
        <v>116470.96999999999</v>
      </c>
      <c r="D27" s="608">
        <v>2312.3777</v>
      </c>
      <c r="E27" s="609">
        <f t="shared" si="0"/>
        <v>118783.34769999998</v>
      </c>
      <c r="F27" s="608">
        <v>86845.11</v>
      </c>
      <c r="G27" s="608">
        <v>8626.4657999999999</v>
      </c>
      <c r="H27" s="609">
        <f t="shared" si="1"/>
        <v>95471.575800000006</v>
      </c>
      <c r="J27" s="602"/>
      <c r="K27" s="602"/>
      <c r="L27" s="602"/>
      <c r="M27" s="602"/>
      <c r="N27" s="602"/>
      <c r="O27" s="602"/>
    </row>
    <row r="28" spans="1:15">
      <c r="A28" s="365">
        <v>13</v>
      </c>
      <c r="B28" s="348" t="s">
        <v>762</v>
      </c>
      <c r="C28" s="608">
        <v>-1287265.2719359165</v>
      </c>
      <c r="D28" s="608">
        <v>-1152252.1068</v>
      </c>
      <c r="E28" s="609">
        <f t="shared" si="0"/>
        <v>-2439517.3787359167</v>
      </c>
      <c r="F28" s="608">
        <v>-1548988.6191688946</v>
      </c>
      <c r="G28" s="608">
        <v>-882066.34459999995</v>
      </c>
      <c r="H28" s="609">
        <f t="shared" si="1"/>
        <v>-2431054.9637688948</v>
      </c>
      <c r="J28" s="602"/>
      <c r="K28" s="602"/>
      <c r="L28" s="602"/>
      <c r="M28" s="602"/>
      <c r="N28" s="602"/>
      <c r="O28" s="602"/>
    </row>
    <row r="29" spans="1:15">
      <c r="A29" s="365">
        <v>14</v>
      </c>
      <c r="B29" s="349" t="s">
        <v>763</v>
      </c>
      <c r="C29" s="608">
        <f>SUM(C30:C31)</f>
        <v>-7960620.2199999997</v>
      </c>
      <c r="D29" s="608">
        <f>SUM(D30:D31)</f>
        <v>-58716.280399999814</v>
      </c>
      <c r="E29" s="609">
        <f t="shared" si="0"/>
        <v>-8019336.5003999993</v>
      </c>
      <c r="F29" s="608">
        <f>SUM(F30:F31)</f>
        <v>-8155155.4799999995</v>
      </c>
      <c r="G29" s="608">
        <f>SUM(G30:G31)</f>
        <v>-75293.688900000066</v>
      </c>
      <c r="H29" s="609">
        <f t="shared" si="1"/>
        <v>-8230449.1688999999</v>
      </c>
      <c r="J29" s="602"/>
      <c r="K29" s="602"/>
      <c r="L29" s="602"/>
      <c r="M29" s="602"/>
      <c r="N29" s="602"/>
      <c r="O29" s="602"/>
    </row>
    <row r="30" spans="1:15">
      <c r="A30" s="365">
        <v>14.1</v>
      </c>
      <c r="B30" s="327" t="s">
        <v>764</v>
      </c>
      <c r="C30" s="608">
        <v>-6549274.0999999996</v>
      </c>
      <c r="D30" s="608">
        <v>0</v>
      </c>
      <c r="E30" s="609">
        <f t="shared" si="0"/>
        <v>-6549274.0999999996</v>
      </c>
      <c r="F30" s="608">
        <v>-6405175.0299999993</v>
      </c>
      <c r="G30" s="608">
        <v>0</v>
      </c>
      <c r="H30" s="609">
        <f t="shared" si="1"/>
        <v>-6405175.0299999993</v>
      </c>
      <c r="J30" s="602"/>
      <c r="K30" s="602"/>
      <c r="L30" s="602"/>
      <c r="M30" s="602"/>
      <c r="N30" s="602"/>
      <c r="O30" s="602"/>
    </row>
    <row r="31" spans="1:15">
      <c r="A31" s="365">
        <v>14.2</v>
      </c>
      <c r="B31" s="327" t="s">
        <v>765</v>
      </c>
      <c r="C31" s="608">
        <v>-1411346.12</v>
      </c>
      <c r="D31" s="608">
        <v>-58716.280399999814</v>
      </c>
      <c r="E31" s="609">
        <f t="shared" si="0"/>
        <v>-1470062.4003999999</v>
      </c>
      <c r="F31" s="608">
        <v>-1749980.4500000004</v>
      </c>
      <c r="G31" s="608">
        <v>-75293.688900000066</v>
      </c>
      <c r="H31" s="609">
        <f t="shared" si="1"/>
        <v>-1825274.1389000006</v>
      </c>
      <c r="J31" s="602"/>
      <c r="K31" s="602"/>
      <c r="L31" s="602"/>
      <c r="M31" s="602"/>
      <c r="N31" s="602"/>
      <c r="O31" s="602"/>
    </row>
    <row r="32" spans="1:15">
      <c r="A32" s="365">
        <v>15</v>
      </c>
      <c r="B32" s="350" t="s">
        <v>766</v>
      </c>
      <c r="C32" s="608">
        <v>-2028182.7020607812</v>
      </c>
      <c r="D32" s="608">
        <v>0</v>
      </c>
      <c r="E32" s="609">
        <f t="shared" si="0"/>
        <v>-2028182.7020607812</v>
      </c>
      <c r="F32" s="608">
        <v>-1420241.312408068</v>
      </c>
      <c r="G32" s="608">
        <v>0</v>
      </c>
      <c r="H32" s="609">
        <f t="shared" si="1"/>
        <v>-1420241.312408068</v>
      </c>
      <c r="J32" s="602"/>
      <c r="K32" s="602"/>
      <c r="L32" s="602"/>
      <c r="M32" s="602"/>
      <c r="N32" s="602"/>
      <c r="O32" s="602"/>
    </row>
    <row r="33" spans="1:15" ht="22.5" customHeight="1">
      <c r="A33" s="365">
        <v>16</v>
      </c>
      <c r="B33" s="323" t="s">
        <v>767</v>
      </c>
      <c r="C33" s="608">
        <v>-419171.99423990946</v>
      </c>
      <c r="D33" s="608">
        <v>213156.66369304137</v>
      </c>
      <c r="E33" s="609">
        <f t="shared" si="0"/>
        <v>-206015.33054686809</v>
      </c>
      <c r="F33" s="608">
        <v>-168939.36943566482</v>
      </c>
      <c r="G33" s="608">
        <v>-801897.22467836621</v>
      </c>
      <c r="H33" s="609">
        <f t="shared" si="1"/>
        <v>-970836.59411403106</v>
      </c>
      <c r="J33" s="602"/>
      <c r="K33" s="602"/>
      <c r="L33" s="602"/>
      <c r="M33" s="602"/>
      <c r="N33" s="602"/>
      <c r="O33" s="602"/>
    </row>
    <row r="34" spans="1:15">
      <c r="A34" s="365">
        <v>17</v>
      </c>
      <c r="B34" s="345" t="s">
        <v>768</v>
      </c>
      <c r="C34" s="608">
        <f>SUM(C35:C36)</f>
        <v>1085.6090003874633</v>
      </c>
      <c r="D34" s="608">
        <f>SUM(D35:D36)</f>
        <v>-135808.48695607611</v>
      </c>
      <c r="E34" s="609">
        <f t="shared" si="0"/>
        <v>-134722.87795568866</v>
      </c>
      <c r="F34" s="608">
        <f>SUM(F35:F36)</f>
        <v>223258.08274712518</v>
      </c>
      <c r="G34" s="608">
        <f>SUM(G35:G36)</f>
        <v>-128957.42891109943</v>
      </c>
      <c r="H34" s="609">
        <f t="shared" si="1"/>
        <v>94300.653836025755</v>
      </c>
      <c r="J34" s="602"/>
      <c r="K34" s="602"/>
      <c r="L34" s="602"/>
      <c r="M34" s="602"/>
      <c r="N34" s="602"/>
      <c r="O34" s="602"/>
    </row>
    <row r="35" spans="1:15">
      <c r="A35" s="365">
        <v>17.100000000000001</v>
      </c>
      <c r="B35" s="351" t="s">
        <v>769</v>
      </c>
      <c r="C35" s="608">
        <v>-26090.337890313785</v>
      </c>
      <c r="D35" s="608">
        <v>-123573.46544484363</v>
      </c>
      <c r="E35" s="609">
        <f t="shared" si="0"/>
        <v>-149663.80333515743</v>
      </c>
      <c r="F35" s="608">
        <v>242943.09111999522</v>
      </c>
      <c r="G35" s="608">
        <v>-117491.71369667104</v>
      </c>
      <c r="H35" s="609">
        <f t="shared" si="1"/>
        <v>125451.37742332419</v>
      </c>
      <c r="J35" s="602"/>
      <c r="K35" s="602"/>
      <c r="L35" s="602"/>
      <c r="M35" s="602"/>
      <c r="N35" s="602"/>
      <c r="O35" s="602"/>
    </row>
    <row r="36" spans="1:15">
      <c r="A36" s="365">
        <v>17.2</v>
      </c>
      <c r="B36" s="327" t="s">
        <v>770</v>
      </c>
      <c r="C36" s="608">
        <v>27175.946890701249</v>
      </c>
      <c r="D36" s="608">
        <v>-12235.021511232473</v>
      </c>
      <c r="E36" s="609">
        <f t="shared" si="0"/>
        <v>14940.925379468776</v>
      </c>
      <c r="F36" s="608">
        <v>-19685.008372870056</v>
      </c>
      <c r="G36" s="608">
        <v>-11465.715214428394</v>
      </c>
      <c r="H36" s="609">
        <f t="shared" si="1"/>
        <v>-31150.723587298449</v>
      </c>
      <c r="J36" s="602"/>
      <c r="K36" s="602"/>
      <c r="L36" s="602"/>
      <c r="M36" s="602"/>
      <c r="N36" s="602"/>
      <c r="O36" s="602"/>
    </row>
    <row r="37" spans="1:15" ht="41.65" customHeight="1">
      <c r="A37" s="365">
        <v>18</v>
      </c>
      <c r="B37" s="352" t="s">
        <v>771</v>
      </c>
      <c r="C37" s="608">
        <f>SUM(C38:C39)</f>
        <v>-2606417.7297740844</v>
      </c>
      <c r="D37" s="608">
        <f>SUM(D38:D39)</f>
        <v>-483697.13803730806</v>
      </c>
      <c r="E37" s="609">
        <f t="shared" si="0"/>
        <v>-3090114.8678113925</v>
      </c>
      <c r="F37" s="608">
        <f>SUM(F38:F39)</f>
        <v>-3982098.2188939545</v>
      </c>
      <c r="G37" s="608">
        <f>SUM(G38:G39)</f>
        <v>4078543.3191266125</v>
      </c>
      <c r="H37" s="609">
        <f t="shared" si="1"/>
        <v>96445.100232657976</v>
      </c>
      <c r="J37" s="602"/>
      <c r="K37" s="602"/>
      <c r="L37" s="602"/>
      <c r="M37" s="602"/>
      <c r="N37" s="602"/>
      <c r="O37" s="602"/>
    </row>
    <row r="38" spans="1:15" ht="21">
      <c r="A38" s="365">
        <v>18.100000000000001</v>
      </c>
      <c r="B38" s="335" t="s">
        <v>772</v>
      </c>
      <c r="C38" s="608">
        <v>0</v>
      </c>
      <c r="D38" s="608">
        <v>0</v>
      </c>
      <c r="E38" s="609">
        <f t="shared" si="0"/>
        <v>0</v>
      </c>
      <c r="F38" s="608">
        <v>0</v>
      </c>
      <c r="G38" s="608">
        <v>0</v>
      </c>
      <c r="H38" s="609">
        <f t="shared" si="1"/>
        <v>0</v>
      </c>
      <c r="J38" s="602"/>
      <c r="K38" s="602"/>
      <c r="L38" s="602"/>
      <c r="M38" s="602"/>
      <c r="N38" s="602"/>
      <c r="O38" s="602"/>
    </row>
    <row r="39" spans="1:15">
      <c r="A39" s="365">
        <v>18.2</v>
      </c>
      <c r="B39" s="335" t="s">
        <v>773</v>
      </c>
      <c r="C39" s="608">
        <v>-2606417.7297740844</v>
      </c>
      <c r="D39" s="608">
        <v>-483697.13803730806</v>
      </c>
      <c r="E39" s="609">
        <f t="shared" si="0"/>
        <v>-3090114.8678113925</v>
      </c>
      <c r="F39" s="608">
        <v>-3982098.2188939545</v>
      </c>
      <c r="G39" s="608">
        <v>4078543.3191266125</v>
      </c>
      <c r="H39" s="609">
        <f t="shared" si="1"/>
        <v>96445.100232657976</v>
      </c>
      <c r="J39" s="602"/>
      <c r="K39" s="602"/>
      <c r="L39" s="602"/>
      <c r="M39" s="602"/>
      <c r="N39" s="602"/>
      <c r="O39" s="602"/>
    </row>
    <row r="40" spans="1:15" ht="24.4" customHeight="1">
      <c r="A40" s="365">
        <v>19</v>
      </c>
      <c r="B40" s="352" t="s">
        <v>774</v>
      </c>
      <c r="C40" s="608">
        <v>0</v>
      </c>
      <c r="D40" s="608">
        <v>0</v>
      </c>
      <c r="E40" s="609">
        <f t="shared" si="0"/>
        <v>0</v>
      </c>
      <c r="F40" s="608">
        <v>0</v>
      </c>
      <c r="G40" s="608">
        <v>0</v>
      </c>
      <c r="H40" s="609">
        <f t="shared" si="1"/>
        <v>0</v>
      </c>
      <c r="J40" s="602"/>
      <c r="K40" s="602"/>
      <c r="L40" s="602"/>
      <c r="M40" s="602"/>
      <c r="N40" s="602"/>
      <c r="O40" s="602"/>
    </row>
    <row r="41" spans="1:15" ht="25.15" customHeight="1">
      <c r="A41" s="365">
        <v>20</v>
      </c>
      <c r="B41" s="352" t="s">
        <v>775</v>
      </c>
      <c r="C41" s="608">
        <v>-1.0477378964424133E-9</v>
      </c>
      <c r="D41" s="608">
        <v>0</v>
      </c>
      <c r="E41" s="609">
        <f t="shared" si="0"/>
        <v>-1.0477378964424133E-9</v>
      </c>
      <c r="F41" s="608">
        <v>-3.4924596548080444E-9</v>
      </c>
      <c r="G41" s="608">
        <v>0</v>
      </c>
      <c r="H41" s="609">
        <f t="shared" si="1"/>
        <v>-3.4924596548080444E-9</v>
      </c>
      <c r="J41" s="602"/>
      <c r="K41" s="602"/>
      <c r="L41" s="602"/>
      <c r="M41" s="602"/>
      <c r="N41" s="602"/>
      <c r="O41" s="602"/>
    </row>
    <row r="42" spans="1:15" ht="33" customHeight="1">
      <c r="A42" s="365">
        <v>21</v>
      </c>
      <c r="B42" s="353" t="s">
        <v>776</v>
      </c>
      <c r="C42" s="608">
        <v>0</v>
      </c>
      <c r="D42" s="608">
        <v>0</v>
      </c>
      <c r="E42" s="609">
        <f t="shared" si="0"/>
        <v>0</v>
      </c>
      <c r="F42" s="608">
        <v>0</v>
      </c>
      <c r="G42" s="608">
        <v>0</v>
      </c>
      <c r="H42" s="609">
        <f t="shared" si="1"/>
        <v>0</v>
      </c>
      <c r="J42" s="602"/>
      <c r="K42" s="602"/>
      <c r="L42" s="602"/>
      <c r="M42" s="602"/>
      <c r="N42" s="602"/>
      <c r="O42" s="602"/>
    </row>
    <row r="43" spans="1:15">
      <c r="A43" s="365">
        <v>22</v>
      </c>
      <c r="B43" s="354" t="s">
        <v>777</v>
      </c>
      <c r="C43" s="608">
        <f>SUM(C6,C13,C18,C19,C20,C21,C22,C23,C24,C25,C26,C27,C28,C29,C32,C33,C34,C37,C40,C41,C42)</f>
        <v>1986914.3456801721</v>
      </c>
      <c r="D43" s="608">
        <f>SUM(D6,D13,D18,D19,D20,D21,D22,D23,D24,D25,D26,D27,D28,D29,D32,D33,D34,D37,D40,D41,D42)</f>
        <v>5823570.0692578759</v>
      </c>
      <c r="E43" s="609">
        <f t="shared" si="0"/>
        <v>7810484.4149380475</v>
      </c>
      <c r="F43" s="608">
        <f>SUM(F6,F13,F18,F19,F20,F21,F22,F23,F24,F25,F26,F27,F28,F29,F32,F33,F34,F37,F40,F41,F42)</f>
        <v>-1895072.0172721173</v>
      </c>
      <c r="G43" s="608">
        <f>SUM(G6,G13,G18,G19,G20,G21,G22,G23,G24,G25,G26,G27,G28,G29,G32,G33,G34,G37,G40,G41,G42)</f>
        <v>11612350.142942458</v>
      </c>
      <c r="H43" s="609">
        <f t="shared" si="1"/>
        <v>9717278.1256703418</v>
      </c>
      <c r="J43" s="602"/>
      <c r="K43" s="602"/>
      <c r="L43" s="602"/>
      <c r="M43" s="602"/>
      <c r="N43" s="602"/>
      <c r="O43" s="602"/>
    </row>
    <row r="44" spans="1:15">
      <c r="A44" s="365">
        <v>23</v>
      </c>
      <c r="B44" s="354" t="s">
        <v>778</v>
      </c>
      <c r="C44" s="608">
        <v>-1844830.7141121852</v>
      </c>
      <c r="D44" s="608">
        <v>0</v>
      </c>
      <c r="E44" s="609">
        <f t="shared" si="0"/>
        <v>-1844830.7141121852</v>
      </c>
      <c r="F44" s="608">
        <v>-2036869.9290576468</v>
      </c>
      <c r="G44" s="608">
        <v>0</v>
      </c>
      <c r="H44" s="609">
        <f t="shared" si="1"/>
        <v>-2036869.9290576468</v>
      </c>
      <c r="J44" s="602"/>
      <c r="K44" s="602"/>
      <c r="L44" s="602"/>
      <c r="M44" s="602"/>
      <c r="N44" s="602"/>
      <c r="O44" s="602"/>
    </row>
    <row r="45" spans="1:15">
      <c r="A45" s="365">
        <v>24</v>
      </c>
      <c r="B45" s="354" t="s">
        <v>779</v>
      </c>
      <c r="C45" s="612">
        <f>C43+C44</f>
        <v>142083.63156798691</v>
      </c>
      <c r="D45" s="612">
        <f>D43+D44</f>
        <v>5823570.0692578759</v>
      </c>
      <c r="E45" s="609">
        <f t="shared" si="0"/>
        <v>5965653.7008258626</v>
      </c>
      <c r="F45" s="612">
        <f>F43+F44</f>
        <v>-3931941.9463297641</v>
      </c>
      <c r="G45" s="612">
        <f>G43+G44</f>
        <v>11612350.142942458</v>
      </c>
      <c r="H45" s="609">
        <f>F45+G45</f>
        <v>7680408.1966126943</v>
      </c>
      <c r="J45" s="602"/>
      <c r="K45" s="602"/>
      <c r="L45" s="602"/>
      <c r="M45" s="602"/>
      <c r="N45" s="602"/>
      <c r="O45" s="602"/>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O47"/>
  <sheetViews>
    <sheetView showGridLines="0" zoomScale="80" zoomScaleNormal="80" workbookViewId="0"/>
  </sheetViews>
  <sheetFormatPr defaultRowHeight="15"/>
  <cols>
    <col min="1" max="1" width="8.7109375" style="363"/>
    <col min="2" max="2" width="87.7109375" bestFit="1" customWidth="1"/>
    <col min="3" max="3" width="13.42578125" style="602" bestFit="1" customWidth="1"/>
    <col min="4" max="5" width="15.140625" style="602" bestFit="1" customWidth="1"/>
    <col min="6" max="6" width="13.42578125" style="602" bestFit="1" customWidth="1"/>
    <col min="7" max="8" width="15.140625" style="602" bestFit="1" customWidth="1"/>
  </cols>
  <sheetData>
    <row r="1" spans="1:15" ht="15.75">
      <c r="A1" s="13" t="s">
        <v>97</v>
      </c>
      <c r="B1" s="221" t="str">
        <f>Info!C2</f>
        <v>სს "ბანკი ქართუ"</v>
      </c>
      <c r="C1" s="600"/>
      <c r="D1" s="601"/>
      <c r="E1" s="601"/>
      <c r="F1" s="601"/>
      <c r="G1" s="601"/>
    </row>
    <row r="2" spans="1:15" ht="15.75">
      <c r="A2" s="13" t="s">
        <v>98</v>
      </c>
      <c r="B2" s="593">
        <f>'1. key ratios'!B2</f>
        <v>46112</v>
      </c>
      <c r="C2" s="600"/>
      <c r="D2" s="601"/>
      <c r="E2" s="601"/>
      <c r="F2" s="601"/>
      <c r="G2" s="601"/>
    </row>
    <row r="3" spans="1:15" ht="15.75">
      <c r="A3" s="13"/>
      <c r="B3" s="12"/>
      <c r="C3" s="600"/>
      <c r="D3" s="601"/>
      <c r="E3" s="601"/>
      <c r="F3" s="601"/>
      <c r="G3" s="601"/>
    </row>
    <row r="4" spans="1:15" ht="15.75">
      <c r="A4" s="736" t="s">
        <v>25</v>
      </c>
      <c r="B4" s="745" t="s">
        <v>140</v>
      </c>
      <c r="C4" s="746" t="s">
        <v>103</v>
      </c>
      <c r="D4" s="746"/>
      <c r="E4" s="746"/>
      <c r="F4" s="746" t="s">
        <v>104</v>
      </c>
      <c r="G4" s="746"/>
      <c r="H4" s="747"/>
    </row>
    <row r="5" spans="1:15">
      <c r="A5" s="736"/>
      <c r="B5" s="745"/>
      <c r="C5" s="611" t="s">
        <v>26</v>
      </c>
      <c r="D5" s="611" t="s">
        <v>77</v>
      </c>
      <c r="E5" s="611" t="s">
        <v>66</v>
      </c>
      <c r="F5" s="611" t="s">
        <v>26</v>
      </c>
      <c r="G5" s="611" t="s">
        <v>77</v>
      </c>
      <c r="H5" s="614" t="s">
        <v>66</v>
      </c>
    </row>
    <row r="6" spans="1:15" ht="15.75">
      <c r="A6" s="355">
        <v>1</v>
      </c>
      <c r="B6" s="356" t="s">
        <v>780</v>
      </c>
      <c r="C6" s="613">
        <v>0</v>
      </c>
      <c r="D6" s="613">
        <v>0</v>
      </c>
      <c r="E6" s="615">
        <f t="shared" ref="E6:E43" si="0">C6+D6</f>
        <v>0</v>
      </c>
      <c r="F6" s="613">
        <v>0</v>
      </c>
      <c r="G6" s="613">
        <v>0</v>
      </c>
      <c r="H6" s="616">
        <f t="shared" ref="H6:H43" si="1">F6+G6</f>
        <v>0</v>
      </c>
      <c r="J6" s="599"/>
      <c r="K6" s="599"/>
      <c r="L6" s="599"/>
      <c r="M6" s="599"/>
      <c r="N6" s="599"/>
      <c r="O6" s="599"/>
    </row>
    <row r="7" spans="1:15" ht="15.75">
      <c r="A7" s="355">
        <v>2</v>
      </c>
      <c r="B7" s="356" t="s">
        <v>166</v>
      </c>
      <c r="C7" s="613">
        <v>0</v>
      </c>
      <c r="D7" s="613">
        <v>0</v>
      </c>
      <c r="E7" s="615">
        <f t="shared" si="0"/>
        <v>0</v>
      </c>
      <c r="F7" s="613">
        <v>0</v>
      </c>
      <c r="G7" s="613">
        <v>0</v>
      </c>
      <c r="H7" s="616">
        <f t="shared" si="1"/>
        <v>0</v>
      </c>
      <c r="J7" s="599"/>
      <c r="K7" s="599"/>
      <c r="L7" s="599"/>
      <c r="M7" s="599"/>
      <c r="N7" s="599"/>
      <c r="O7" s="599"/>
    </row>
    <row r="8" spans="1:15" ht="15.75">
      <c r="A8" s="355">
        <v>3</v>
      </c>
      <c r="B8" s="356" t="s">
        <v>168</v>
      </c>
      <c r="C8" s="613">
        <f>C9+C10</f>
        <v>192544107.73137188</v>
      </c>
      <c r="D8" s="613">
        <f>D9+D10</f>
        <v>429208911.96989793</v>
      </c>
      <c r="E8" s="615">
        <f t="shared" si="0"/>
        <v>621753019.70126987</v>
      </c>
      <c r="F8" s="613">
        <f>F9+F10</f>
        <v>133618660.49992223</v>
      </c>
      <c r="G8" s="613">
        <f>G9+G10</f>
        <v>435451708.00232792</v>
      </c>
      <c r="H8" s="616">
        <f t="shared" si="1"/>
        <v>569070368.50225019</v>
      </c>
      <c r="J8" s="599"/>
      <c r="K8" s="599"/>
      <c r="L8" s="599"/>
      <c r="M8" s="599"/>
      <c r="N8" s="599"/>
      <c r="O8" s="599"/>
    </row>
    <row r="9" spans="1:15" ht="15.75">
      <c r="A9" s="355">
        <v>3.1</v>
      </c>
      <c r="B9" s="357" t="s">
        <v>781</v>
      </c>
      <c r="C9" s="613">
        <v>3685571.7569999998</v>
      </c>
      <c r="D9" s="613">
        <v>306186.90999999997</v>
      </c>
      <c r="E9" s="615">
        <f t="shared" si="0"/>
        <v>3991758.6669999999</v>
      </c>
      <c r="F9" s="613">
        <v>4518649.03</v>
      </c>
      <c r="G9" s="613">
        <v>313842.15000000002</v>
      </c>
      <c r="H9" s="616">
        <f t="shared" si="1"/>
        <v>4832491.1800000006</v>
      </c>
      <c r="J9" s="599"/>
      <c r="K9" s="599"/>
      <c r="L9" s="599"/>
      <c r="M9" s="599"/>
      <c r="N9" s="599"/>
      <c r="O9" s="599"/>
    </row>
    <row r="10" spans="1:15" ht="15.75">
      <c r="A10" s="355">
        <v>3.2</v>
      </c>
      <c r="B10" s="357" t="s">
        <v>782</v>
      </c>
      <c r="C10" s="613">
        <v>188858535.97437188</v>
      </c>
      <c r="D10" s="613">
        <v>428902725.0598979</v>
      </c>
      <c r="E10" s="615">
        <f t="shared" si="0"/>
        <v>617761261.03426981</v>
      </c>
      <c r="F10" s="613">
        <v>129100011.46992223</v>
      </c>
      <c r="G10" s="613">
        <v>435137865.85232794</v>
      </c>
      <c r="H10" s="616">
        <f t="shared" si="1"/>
        <v>564237877.32225013</v>
      </c>
      <c r="J10" s="599"/>
      <c r="K10" s="599"/>
      <c r="L10" s="599"/>
      <c r="M10" s="599"/>
      <c r="N10" s="599"/>
      <c r="O10" s="599"/>
    </row>
    <row r="11" spans="1:15" ht="25.5">
      <c r="A11" s="355">
        <v>4</v>
      </c>
      <c r="B11" s="356" t="s">
        <v>167</v>
      </c>
      <c r="C11" s="613">
        <f>C12+C13</f>
        <v>0</v>
      </c>
      <c r="D11" s="613">
        <f>D12+D13</f>
        <v>0</v>
      </c>
      <c r="E11" s="615">
        <f t="shared" si="0"/>
        <v>0</v>
      </c>
      <c r="F11" s="613">
        <f>F12+F13</f>
        <v>0</v>
      </c>
      <c r="G11" s="613">
        <f>G12+G13</f>
        <v>0</v>
      </c>
      <c r="H11" s="616">
        <f t="shared" si="1"/>
        <v>0</v>
      </c>
      <c r="J11" s="599"/>
      <c r="K11" s="599"/>
      <c r="L11" s="599"/>
      <c r="M11" s="599"/>
      <c r="N11" s="599"/>
      <c r="O11" s="599"/>
    </row>
    <row r="12" spans="1:15" ht="15.75">
      <c r="A12" s="355">
        <v>4.0999999999999996</v>
      </c>
      <c r="B12" s="357" t="s">
        <v>783</v>
      </c>
      <c r="C12" s="613">
        <v>0</v>
      </c>
      <c r="D12" s="613">
        <v>0</v>
      </c>
      <c r="E12" s="615">
        <f t="shared" si="0"/>
        <v>0</v>
      </c>
      <c r="F12" s="613">
        <v>0</v>
      </c>
      <c r="G12" s="613">
        <v>0</v>
      </c>
      <c r="H12" s="616">
        <f t="shared" si="1"/>
        <v>0</v>
      </c>
      <c r="J12" s="599"/>
      <c r="K12" s="599"/>
      <c r="L12" s="599"/>
      <c r="M12" s="599"/>
      <c r="N12" s="599"/>
      <c r="O12" s="599"/>
    </row>
    <row r="13" spans="1:15" ht="15.75">
      <c r="A13" s="355">
        <v>4.2</v>
      </c>
      <c r="B13" s="357" t="s">
        <v>784</v>
      </c>
      <c r="C13" s="613">
        <v>0</v>
      </c>
      <c r="D13" s="613">
        <v>0</v>
      </c>
      <c r="E13" s="615">
        <f t="shared" si="0"/>
        <v>0</v>
      </c>
      <c r="F13" s="613">
        <v>0</v>
      </c>
      <c r="G13" s="613">
        <v>0</v>
      </c>
      <c r="H13" s="616">
        <f t="shared" si="1"/>
        <v>0</v>
      </c>
      <c r="J13" s="599"/>
      <c r="K13" s="599"/>
      <c r="L13" s="599"/>
      <c r="M13" s="599"/>
      <c r="N13" s="599"/>
      <c r="O13" s="599"/>
    </row>
    <row r="14" spans="1:15" ht="15.75">
      <c r="A14" s="355">
        <v>5</v>
      </c>
      <c r="B14" s="358" t="s">
        <v>785</v>
      </c>
      <c r="C14" s="613">
        <f>C15+C16+C17+C23+C24+C25+C26</f>
        <v>315416995.20693213</v>
      </c>
      <c r="D14" s="613">
        <f>D15+D16+D17+D23+D24+D25+D26</f>
        <v>2739401117.6133366</v>
      </c>
      <c r="E14" s="615">
        <f t="shared" si="0"/>
        <v>3054818112.8202686</v>
      </c>
      <c r="F14" s="613">
        <f>F15+F16+F17+F23+F24+F25+F26</f>
        <v>330307384.18007255</v>
      </c>
      <c r="G14" s="613">
        <f>G15+G16+G17+G23+G24+G25+G26</f>
        <v>2647751679.2730246</v>
      </c>
      <c r="H14" s="616">
        <f t="shared" si="1"/>
        <v>2978059063.4530973</v>
      </c>
      <c r="J14" s="599"/>
      <c r="K14" s="599"/>
      <c r="L14" s="599"/>
      <c r="M14" s="599"/>
      <c r="N14" s="599"/>
      <c r="O14" s="599"/>
    </row>
    <row r="15" spans="1:15" ht="15.75">
      <c r="A15" s="355">
        <v>5.0999999999999996</v>
      </c>
      <c r="B15" s="359" t="s">
        <v>786</v>
      </c>
      <c r="C15" s="613">
        <v>58815261.739999995</v>
      </c>
      <c r="D15" s="613">
        <v>69229597.859760016</v>
      </c>
      <c r="E15" s="615">
        <f t="shared" si="0"/>
        <v>128044859.59976001</v>
      </c>
      <c r="F15" s="613">
        <v>49907497.089999996</v>
      </c>
      <c r="G15" s="613">
        <v>29282328.700715996</v>
      </c>
      <c r="H15" s="616">
        <f t="shared" si="1"/>
        <v>79189825.790715992</v>
      </c>
      <c r="J15" s="599"/>
      <c r="K15" s="599"/>
      <c r="L15" s="599"/>
      <c r="M15" s="599"/>
      <c r="N15" s="599"/>
      <c r="O15" s="599"/>
    </row>
    <row r="16" spans="1:15" ht="15.75">
      <c r="A16" s="355">
        <v>5.2</v>
      </c>
      <c r="B16" s="359" t="s">
        <v>787</v>
      </c>
      <c r="C16" s="613">
        <v>0</v>
      </c>
      <c r="D16" s="613">
        <v>0</v>
      </c>
      <c r="E16" s="615">
        <f t="shared" si="0"/>
        <v>0</v>
      </c>
      <c r="F16" s="613">
        <v>0</v>
      </c>
      <c r="G16" s="613">
        <v>0</v>
      </c>
      <c r="H16" s="616">
        <f t="shared" si="1"/>
        <v>0</v>
      </c>
      <c r="J16" s="599"/>
      <c r="K16" s="599"/>
      <c r="L16" s="599"/>
      <c r="M16" s="599"/>
      <c r="N16" s="599"/>
      <c r="O16" s="599"/>
    </row>
    <row r="17" spans="1:15" ht="15.75">
      <c r="A17" s="355">
        <v>5.3</v>
      </c>
      <c r="B17" s="359" t="s">
        <v>788</v>
      </c>
      <c r="C17" s="613">
        <f>C18+C19+C20+C21+C22</f>
        <v>9910329.5999999996</v>
      </c>
      <c r="D17" s="613">
        <f>D18+D19+D20+D21+D22</f>
        <v>1805253107.855962</v>
      </c>
      <c r="E17" s="615">
        <f t="shared" si="0"/>
        <v>1815163437.4559619</v>
      </c>
      <c r="F17" s="613">
        <v>6000102.2199999997</v>
      </c>
      <c r="G17" s="613">
        <v>1874999397.0909352</v>
      </c>
      <c r="H17" s="616">
        <f t="shared" si="1"/>
        <v>1880999499.3109353</v>
      </c>
      <c r="J17" s="599"/>
      <c r="K17" s="599"/>
      <c r="L17" s="599"/>
      <c r="M17" s="599"/>
      <c r="N17" s="599"/>
      <c r="O17" s="599"/>
    </row>
    <row r="18" spans="1:15" ht="15.75">
      <c r="A18" s="355" t="s">
        <v>169</v>
      </c>
      <c r="B18" s="360" t="s">
        <v>789</v>
      </c>
      <c r="C18" s="613">
        <v>0</v>
      </c>
      <c r="D18" s="613">
        <v>218341720.24689811</v>
      </c>
      <c r="E18" s="615">
        <f t="shared" si="0"/>
        <v>218341720.24689811</v>
      </c>
      <c r="F18" s="613">
        <v>139471.92000000001</v>
      </c>
      <c r="G18" s="613">
        <v>199622108.76126915</v>
      </c>
      <c r="H18" s="616">
        <f t="shared" si="1"/>
        <v>199761580.68126914</v>
      </c>
      <c r="J18" s="599"/>
      <c r="K18" s="599"/>
      <c r="L18" s="599"/>
      <c r="M18" s="599"/>
      <c r="N18" s="599"/>
      <c r="O18" s="599"/>
    </row>
    <row r="19" spans="1:15" ht="15.75">
      <c r="A19" s="355" t="s">
        <v>170</v>
      </c>
      <c r="B19" s="361" t="s">
        <v>790</v>
      </c>
      <c r="C19" s="613">
        <v>4867132.8</v>
      </c>
      <c r="D19" s="613">
        <v>764555924.35414815</v>
      </c>
      <c r="E19" s="615">
        <f t="shared" si="0"/>
        <v>769423057.1541481</v>
      </c>
      <c r="F19" s="613">
        <v>816353.5</v>
      </c>
      <c r="G19" s="613">
        <v>962772763.29233229</v>
      </c>
      <c r="H19" s="616">
        <f t="shared" si="1"/>
        <v>963589116.79233229</v>
      </c>
      <c r="J19" s="599"/>
      <c r="K19" s="599"/>
      <c r="L19" s="599"/>
      <c r="M19" s="599"/>
      <c r="N19" s="599"/>
      <c r="O19" s="599"/>
    </row>
    <row r="20" spans="1:15" ht="15.75">
      <c r="A20" s="355" t="s">
        <v>171</v>
      </c>
      <c r="B20" s="361" t="s">
        <v>791</v>
      </c>
      <c r="C20" s="613">
        <v>0</v>
      </c>
      <c r="D20" s="613">
        <v>159441378.5526</v>
      </c>
      <c r="E20" s="615">
        <f t="shared" si="0"/>
        <v>159441378.5526</v>
      </c>
      <c r="F20" s="613">
        <v>0</v>
      </c>
      <c r="G20" s="613">
        <v>163307253.26570001</v>
      </c>
      <c r="H20" s="616">
        <f t="shared" si="1"/>
        <v>163307253.26570001</v>
      </c>
      <c r="J20" s="599"/>
      <c r="K20" s="599"/>
      <c r="L20" s="599"/>
      <c r="M20" s="599"/>
      <c r="N20" s="599"/>
      <c r="O20" s="599"/>
    </row>
    <row r="21" spans="1:15" ht="15.75">
      <c r="A21" s="355" t="s">
        <v>172</v>
      </c>
      <c r="B21" s="361" t="s">
        <v>792</v>
      </c>
      <c r="C21" s="613">
        <v>5043196.8</v>
      </c>
      <c r="D21" s="613">
        <v>618882035.34560692</v>
      </c>
      <c r="E21" s="615">
        <f t="shared" si="0"/>
        <v>623925232.14560688</v>
      </c>
      <c r="F21" s="613">
        <v>5044276.8</v>
      </c>
      <c r="G21" s="613">
        <v>512081282.5968169</v>
      </c>
      <c r="H21" s="616">
        <f t="shared" si="1"/>
        <v>517125559.39681691</v>
      </c>
      <c r="J21" s="599"/>
      <c r="K21" s="599"/>
      <c r="L21" s="599"/>
      <c r="M21" s="599"/>
      <c r="N21" s="599"/>
      <c r="O21" s="599"/>
    </row>
    <row r="22" spans="1:15" ht="15.75">
      <c r="A22" s="355" t="s">
        <v>173</v>
      </c>
      <c r="B22" s="361" t="s">
        <v>510</v>
      </c>
      <c r="C22" s="613">
        <v>0</v>
      </c>
      <c r="D22" s="613">
        <v>44032049.356708668</v>
      </c>
      <c r="E22" s="615">
        <f t="shared" si="0"/>
        <v>44032049.356708668</v>
      </c>
      <c r="F22" s="613">
        <v>0</v>
      </c>
      <c r="G22" s="613">
        <v>37215989.174816579</v>
      </c>
      <c r="H22" s="616">
        <f t="shared" si="1"/>
        <v>37215989.174816579</v>
      </c>
      <c r="J22" s="599"/>
      <c r="K22" s="599"/>
      <c r="L22" s="599"/>
      <c r="M22" s="599"/>
      <c r="N22" s="599"/>
      <c r="O22" s="599"/>
    </row>
    <row r="23" spans="1:15" ht="15.75">
      <c r="A23" s="355">
        <v>5.4</v>
      </c>
      <c r="B23" s="359" t="s">
        <v>793</v>
      </c>
      <c r="C23" s="613">
        <v>175276837.86693215</v>
      </c>
      <c r="D23" s="613">
        <v>464970556.42335033</v>
      </c>
      <c r="E23" s="615">
        <f t="shared" si="0"/>
        <v>640247394.29028249</v>
      </c>
      <c r="F23" s="613">
        <v>200185218.87007254</v>
      </c>
      <c r="G23" s="613">
        <v>367193820.42095304</v>
      </c>
      <c r="H23" s="616">
        <f t="shared" si="1"/>
        <v>567379039.29102564</v>
      </c>
      <c r="J23" s="599"/>
      <c r="K23" s="599"/>
      <c r="L23" s="599"/>
      <c r="M23" s="599"/>
      <c r="N23" s="599"/>
      <c r="O23" s="599"/>
    </row>
    <row r="24" spans="1:15" ht="15.75">
      <c r="A24" s="355">
        <v>5.5</v>
      </c>
      <c r="B24" s="359" t="s">
        <v>794</v>
      </c>
      <c r="C24" s="613">
        <v>19126543</v>
      </c>
      <c r="D24" s="613">
        <v>363213861.01246405</v>
      </c>
      <c r="E24" s="615">
        <f t="shared" si="0"/>
        <v>382340404.01246405</v>
      </c>
      <c r="F24" s="613">
        <v>19126543</v>
      </c>
      <c r="G24" s="613">
        <v>351704747.80612004</v>
      </c>
      <c r="H24" s="616">
        <f t="shared" si="1"/>
        <v>370831290.80612004</v>
      </c>
      <c r="J24" s="599"/>
      <c r="K24" s="599"/>
      <c r="L24" s="599"/>
      <c r="M24" s="599"/>
      <c r="N24" s="599"/>
      <c r="O24" s="599"/>
    </row>
    <row r="25" spans="1:15" ht="15.75">
      <c r="A25" s="355">
        <v>5.6</v>
      </c>
      <c r="B25" s="359" t="s">
        <v>795</v>
      </c>
      <c r="C25" s="613">
        <v>0</v>
      </c>
      <c r="D25" s="613">
        <v>4049700.0000000005</v>
      </c>
      <c r="E25" s="615">
        <f t="shared" si="0"/>
        <v>4049700.0000000005</v>
      </c>
      <c r="F25" s="613">
        <v>0</v>
      </c>
      <c r="G25" s="613">
        <v>4150950</v>
      </c>
      <c r="H25" s="616">
        <f t="shared" si="1"/>
        <v>4150950</v>
      </c>
      <c r="J25" s="599"/>
      <c r="K25" s="599"/>
      <c r="L25" s="599"/>
      <c r="M25" s="599"/>
      <c r="N25" s="599"/>
      <c r="O25" s="599"/>
    </row>
    <row r="26" spans="1:15" ht="15.75">
      <c r="A26" s="355">
        <v>5.7</v>
      </c>
      <c r="B26" s="359" t="s">
        <v>510</v>
      </c>
      <c r="C26" s="613">
        <v>52288023</v>
      </c>
      <c r="D26" s="613">
        <v>32684294.461799979</v>
      </c>
      <c r="E26" s="615">
        <f t="shared" si="0"/>
        <v>84972317.461799979</v>
      </c>
      <c r="F26" s="613">
        <v>55088023</v>
      </c>
      <c r="G26" s="613">
        <v>20420435.254299998</v>
      </c>
      <c r="H26" s="616">
        <f t="shared" si="1"/>
        <v>75508458.254299998</v>
      </c>
      <c r="J26" s="599"/>
      <c r="K26" s="599"/>
      <c r="L26" s="599"/>
      <c r="M26" s="599"/>
      <c r="N26" s="599"/>
      <c r="O26" s="599"/>
    </row>
    <row r="27" spans="1:15" ht="15.75">
      <c r="A27" s="355">
        <v>6</v>
      </c>
      <c r="B27" s="358" t="s">
        <v>796</v>
      </c>
      <c r="C27" s="613">
        <v>22779788.859999999</v>
      </c>
      <c r="D27" s="613">
        <v>22059652.716668002</v>
      </c>
      <c r="E27" s="615">
        <f t="shared" si="0"/>
        <v>44839441.576668002</v>
      </c>
      <c r="F27" s="613">
        <v>20135701.550000001</v>
      </c>
      <c r="G27" s="613">
        <v>31752865.143855006</v>
      </c>
      <c r="H27" s="616">
        <f t="shared" si="1"/>
        <v>51888566.693855003</v>
      </c>
      <c r="J27" s="599"/>
      <c r="K27" s="599"/>
      <c r="L27" s="599"/>
      <c r="M27" s="599"/>
      <c r="N27" s="599"/>
      <c r="O27" s="599"/>
    </row>
    <row r="28" spans="1:15" ht="15.75">
      <c r="A28" s="355">
        <v>7</v>
      </c>
      <c r="B28" s="358" t="s">
        <v>797</v>
      </c>
      <c r="C28" s="613">
        <v>49609682.800000004</v>
      </c>
      <c r="D28" s="613">
        <v>107301638.17999999</v>
      </c>
      <c r="E28" s="615">
        <f t="shared" si="0"/>
        <v>156911320.97999999</v>
      </c>
      <c r="F28" s="613">
        <v>55929431.839999996</v>
      </c>
      <c r="G28" s="613">
        <v>95767296.299999997</v>
      </c>
      <c r="H28" s="616">
        <f t="shared" si="1"/>
        <v>151696728.13999999</v>
      </c>
      <c r="J28" s="599"/>
      <c r="K28" s="599"/>
      <c r="L28" s="599"/>
      <c r="M28" s="599"/>
      <c r="N28" s="599"/>
      <c r="O28" s="599"/>
    </row>
    <row r="29" spans="1:15" ht="15.75">
      <c r="A29" s="355">
        <v>8</v>
      </c>
      <c r="B29" s="358" t="s">
        <v>798</v>
      </c>
      <c r="C29" s="613">
        <v>0</v>
      </c>
      <c r="D29" s="613">
        <v>0</v>
      </c>
      <c r="E29" s="615">
        <f t="shared" si="0"/>
        <v>0</v>
      </c>
      <c r="F29" s="613">
        <v>0</v>
      </c>
      <c r="G29" s="613">
        <v>0</v>
      </c>
      <c r="H29" s="616">
        <f t="shared" si="1"/>
        <v>0</v>
      </c>
      <c r="J29" s="599"/>
      <c r="K29" s="599"/>
      <c r="L29" s="599"/>
      <c r="M29" s="599"/>
      <c r="N29" s="599"/>
      <c r="O29" s="599"/>
    </row>
    <row r="30" spans="1:15" ht="15.75">
      <c r="A30" s="355">
        <v>9</v>
      </c>
      <c r="B30" s="356" t="s">
        <v>174</v>
      </c>
      <c r="C30" s="613">
        <f>C31+C32+C33+C34+C35+C36+C37</f>
        <v>0</v>
      </c>
      <c r="D30" s="613">
        <f>D31+D32+D33+D34+D35+D36+D37</f>
        <v>0</v>
      </c>
      <c r="E30" s="615">
        <f t="shared" si="0"/>
        <v>0</v>
      </c>
      <c r="F30" s="613">
        <f>F31+F32+F33+F34+F35+F36+F37</f>
        <v>0</v>
      </c>
      <c r="G30" s="613">
        <f>G31+G32+G33+G34+G35+G36+G37</f>
        <v>0</v>
      </c>
      <c r="H30" s="616">
        <f t="shared" si="1"/>
        <v>0</v>
      </c>
      <c r="J30" s="599"/>
      <c r="K30" s="599"/>
      <c r="L30" s="599"/>
      <c r="M30" s="599"/>
      <c r="N30" s="599"/>
      <c r="O30" s="599"/>
    </row>
    <row r="31" spans="1:15" ht="25.5">
      <c r="A31" s="355">
        <v>9.1</v>
      </c>
      <c r="B31" s="357" t="s">
        <v>799</v>
      </c>
      <c r="C31" s="613">
        <v>0</v>
      </c>
      <c r="D31" s="613">
        <v>0</v>
      </c>
      <c r="E31" s="615">
        <f t="shared" si="0"/>
        <v>0</v>
      </c>
      <c r="F31" s="613">
        <v>0</v>
      </c>
      <c r="G31" s="613">
        <v>0</v>
      </c>
      <c r="H31" s="616">
        <f t="shared" si="1"/>
        <v>0</v>
      </c>
      <c r="J31" s="599"/>
      <c r="K31" s="599"/>
      <c r="L31" s="599"/>
      <c r="M31" s="599"/>
      <c r="N31" s="599"/>
      <c r="O31" s="599"/>
    </row>
    <row r="32" spans="1:15" ht="25.5">
      <c r="A32" s="355">
        <v>9.1999999999999993</v>
      </c>
      <c r="B32" s="357" t="s">
        <v>800</v>
      </c>
      <c r="C32" s="613">
        <v>0</v>
      </c>
      <c r="D32" s="613">
        <v>0</v>
      </c>
      <c r="E32" s="615">
        <f t="shared" si="0"/>
        <v>0</v>
      </c>
      <c r="F32" s="613">
        <v>0</v>
      </c>
      <c r="G32" s="613">
        <v>0</v>
      </c>
      <c r="H32" s="616">
        <f t="shared" si="1"/>
        <v>0</v>
      </c>
      <c r="J32" s="599"/>
      <c r="K32" s="599"/>
      <c r="L32" s="599"/>
      <c r="M32" s="599"/>
      <c r="N32" s="599"/>
      <c r="O32" s="599"/>
    </row>
    <row r="33" spans="1:15" ht="25.5">
      <c r="A33" s="355">
        <v>9.3000000000000007</v>
      </c>
      <c r="B33" s="357" t="s">
        <v>801</v>
      </c>
      <c r="C33" s="613">
        <v>0</v>
      </c>
      <c r="D33" s="613">
        <v>0</v>
      </c>
      <c r="E33" s="615">
        <f t="shared" si="0"/>
        <v>0</v>
      </c>
      <c r="F33" s="613">
        <v>0</v>
      </c>
      <c r="G33" s="613">
        <v>0</v>
      </c>
      <c r="H33" s="616">
        <f t="shared" si="1"/>
        <v>0</v>
      </c>
      <c r="J33" s="599"/>
      <c r="K33" s="599"/>
      <c r="L33" s="599"/>
      <c r="M33" s="599"/>
      <c r="N33" s="599"/>
      <c r="O33" s="599"/>
    </row>
    <row r="34" spans="1:15" ht="15.75">
      <c r="A34" s="355">
        <v>9.4</v>
      </c>
      <c r="B34" s="357" t="s">
        <v>802</v>
      </c>
      <c r="C34" s="613">
        <v>0</v>
      </c>
      <c r="D34" s="613">
        <v>0</v>
      </c>
      <c r="E34" s="615">
        <f t="shared" si="0"/>
        <v>0</v>
      </c>
      <c r="F34" s="613">
        <v>0</v>
      </c>
      <c r="G34" s="613">
        <v>0</v>
      </c>
      <c r="H34" s="616">
        <f t="shared" si="1"/>
        <v>0</v>
      </c>
      <c r="J34" s="599"/>
      <c r="K34" s="599"/>
      <c r="L34" s="599"/>
      <c r="M34" s="599"/>
      <c r="N34" s="599"/>
      <c r="O34" s="599"/>
    </row>
    <row r="35" spans="1:15" ht="15.75">
      <c r="A35" s="355">
        <v>9.5</v>
      </c>
      <c r="B35" s="357" t="s">
        <v>803</v>
      </c>
      <c r="C35" s="613">
        <v>0</v>
      </c>
      <c r="D35" s="613">
        <v>0</v>
      </c>
      <c r="E35" s="615">
        <f t="shared" si="0"/>
        <v>0</v>
      </c>
      <c r="F35" s="613">
        <v>0</v>
      </c>
      <c r="G35" s="613">
        <v>0</v>
      </c>
      <c r="H35" s="616">
        <f t="shared" si="1"/>
        <v>0</v>
      </c>
      <c r="J35" s="599"/>
      <c r="K35" s="599"/>
      <c r="L35" s="599"/>
      <c r="M35" s="599"/>
      <c r="N35" s="599"/>
      <c r="O35" s="599"/>
    </row>
    <row r="36" spans="1:15" ht="25.5">
      <c r="A36" s="355">
        <v>9.6</v>
      </c>
      <c r="B36" s="357" t="s">
        <v>804</v>
      </c>
      <c r="C36" s="613">
        <v>0</v>
      </c>
      <c r="D36" s="613">
        <v>0</v>
      </c>
      <c r="E36" s="615">
        <f t="shared" si="0"/>
        <v>0</v>
      </c>
      <c r="F36" s="613">
        <v>0</v>
      </c>
      <c r="G36" s="613">
        <v>0</v>
      </c>
      <c r="H36" s="616">
        <f t="shared" si="1"/>
        <v>0</v>
      </c>
      <c r="J36" s="599"/>
      <c r="K36" s="599"/>
      <c r="L36" s="599"/>
      <c r="M36" s="599"/>
      <c r="N36" s="599"/>
      <c r="O36" s="599"/>
    </row>
    <row r="37" spans="1:15" ht="25.5">
      <c r="A37" s="355">
        <v>9.6999999999999993</v>
      </c>
      <c r="B37" s="357" t="s">
        <v>805</v>
      </c>
      <c r="C37" s="613">
        <v>0</v>
      </c>
      <c r="D37" s="613">
        <v>0</v>
      </c>
      <c r="E37" s="615">
        <f t="shared" si="0"/>
        <v>0</v>
      </c>
      <c r="F37" s="613">
        <v>0</v>
      </c>
      <c r="G37" s="613">
        <v>0</v>
      </c>
      <c r="H37" s="616">
        <f t="shared" si="1"/>
        <v>0</v>
      </c>
      <c r="J37" s="599"/>
      <c r="K37" s="599"/>
      <c r="L37" s="599"/>
      <c r="M37" s="599"/>
      <c r="N37" s="599"/>
      <c r="O37" s="599"/>
    </row>
    <row r="38" spans="1:15" ht="15.75">
      <c r="A38" s="355">
        <v>10</v>
      </c>
      <c r="B38" s="358" t="s">
        <v>806</v>
      </c>
      <c r="C38" s="617">
        <f>C41+C42</f>
        <v>47652081.279431753</v>
      </c>
      <c r="D38" s="617">
        <f>D41+D42</f>
        <v>79360758.261253998</v>
      </c>
      <c r="E38" s="615">
        <f t="shared" si="0"/>
        <v>127012839.54068574</v>
      </c>
      <c r="F38" s="617">
        <f>F41+F42</f>
        <v>29616228.979431756</v>
      </c>
      <c r="G38" s="617">
        <f>G41+G42</f>
        <v>81054538.202010006</v>
      </c>
      <c r="H38" s="616">
        <f t="shared" si="1"/>
        <v>110670767.18144175</v>
      </c>
      <c r="J38" s="599"/>
      <c r="K38" s="599"/>
      <c r="L38" s="599"/>
      <c r="M38" s="599"/>
      <c r="N38" s="599"/>
      <c r="O38" s="599"/>
    </row>
    <row r="39" spans="1:15" ht="15.75">
      <c r="A39" s="355">
        <v>10.1</v>
      </c>
      <c r="B39" s="357" t="s">
        <v>807</v>
      </c>
      <c r="C39" s="613">
        <v>0</v>
      </c>
      <c r="D39" s="613">
        <v>0</v>
      </c>
      <c r="E39" s="615">
        <f t="shared" si="0"/>
        <v>0</v>
      </c>
      <c r="F39" s="613">
        <v>584.51</v>
      </c>
      <c r="G39" s="613">
        <v>1176940.6165</v>
      </c>
      <c r="H39" s="616">
        <f t="shared" si="1"/>
        <v>1177525.1265</v>
      </c>
      <c r="J39" s="599"/>
      <c r="K39" s="599"/>
      <c r="L39" s="599"/>
      <c r="M39" s="599"/>
      <c r="N39" s="599"/>
      <c r="O39" s="599"/>
    </row>
    <row r="40" spans="1:15" ht="25.5">
      <c r="A40" s="355">
        <v>10.199999999999999</v>
      </c>
      <c r="B40" s="357" t="s">
        <v>808</v>
      </c>
      <c r="C40" s="613">
        <v>0</v>
      </c>
      <c r="D40" s="613">
        <v>0</v>
      </c>
      <c r="E40" s="615">
        <f t="shared" si="0"/>
        <v>0</v>
      </c>
      <c r="F40" s="613">
        <v>421.62</v>
      </c>
      <c r="G40" s="613">
        <v>2.8199999999999999E-2</v>
      </c>
      <c r="H40" s="616">
        <f t="shared" si="1"/>
        <v>421.64820000000003</v>
      </c>
      <c r="J40" s="599"/>
      <c r="K40" s="599"/>
      <c r="L40" s="599"/>
      <c r="M40" s="599"/>
      <c r="N40" s="599"/>
      <c r="O40" s="599"/>
    </row>
    <row r="41" spans="1:15" ht="25.5">
      <c r="A41" s="355">
        <v>10.3</v>
      </c>
      <c r="B41" s="357" t="s">
        <v>809</v>
      </c>
      <c r="C41" s="613">
        <v>23817343.230000004</v>
      </c>
      <c r="D41" s="613">
        <v>31894168.825399995</v>
      </c>
      <c r="E41" s="615">
        <f t="shared" si="0"/>
        <v>55711512.055399999</v>
      </c>
      <c r="F41" s="613">
        <v>12657252.300000003</v>
      </c>
      <c r="G41" s="613">
        <v>32871590.113699988</v>
      </c>
      <c r="H41" s="616">
        <f t="shared" si="1"/>
        <v>45528842.413699992</v>
      </c>
      <c r="J41" s="599"/>
      <c r="K41" s="599"/>
      <c r="L41" s="599"/>
      <c r="M41" s="599"/>
      <c r="N41" s="599"/>
      <c r="O41" s="599"/>
    </row>
    <row r="42" spans="1:15" ht="25.5">
      <c r="A42" s="355">
        <v>10.4</v>
      </c>
      <c r="B42" s="357" t="s">
        <v>810</v>
      </c>
      <c r="C42" s="613">
        <v>23834738.049431749</v>
      </c>
      <c r="D42" s="613">
        <v>47466589.435854003</v>
      </c>
      <c r="E42" s="615">
        <f t="shared" si="0"/>
        <v>71301327.485285759</v>
      </c>
      <c r="F42" s="613">
        <v>16958976.679431751</v>
      </c>
      <c r="G42" s="613">
        <v>48182948.088310011</v>
      </c>
      <c r="H42" s="616">
        <f t="shared" si="1"/>
        <v>65141924.767741762</v>
      </c>
      <c r="J42" s="599"/>
      <c r="K42" s="599"/>
      <c r="L42" s="599"/>
      <c r="M42" s="599"/>
      <c r="N42" s="599"/>
      <c r="O42" s="599"/>
    </row>
    <row r="43" spans="1:15" ht="15.75">
      <c r="A43" s="355">
        <v>11</v>
      </c>
      <c r="B43" s="362" t="s">
        <v>175</v>
      </c>
      <c r="C43" s="613">
        <v>0</v>
      </c>
      <c r="D43" s="613">
        <v>0</v>
      </c>
      <c r="E43" s="615">
        <f t="shared" si="0"/>
        <v>0</v>
      </c>
      <c r="F43" s="613">
        <v>0</v>
      </c>
      <c r="G43" s="613">
        <v>0</v>
      </c>
      <c r="H43" s="616">
        <f t="shared" si="1"/>
        <v>0</v>
      </c>
      <c r="J43" s="599"/>
      <c r="K43" s="599"/>
      <c r="L43" s="599"/>
      <c r="M43" s="599"/>
      <c r="N43" s="599"/>
      <c r="O43" s="599"/>
    </row>
    <row r="44" spans="1:15" ht="15.75">
      <c r="C44" s="618"/>
      <c r="D44" s="618"/>
      <c r="E44" s="618"/>
      <c r="F44" s="618"/>
      <c r="G44" s="618"/>
      <c r="H44" s="618"/>
    </row>
    <row r="45" spans="1:15" ht="15.75">
      <c r="C45" s="618"/>
      <c r="D45" s="618"/>
      <c r="E45" s="618"/>
      <c r="F45" s="618"/>
      <c r="G45" s="618"/>
      <c r="H45" s="618"/>
    </row>
    <row r="46" spans="1:15" ht="15.75">
      <c r="C46" s="618"/>
      <c r="D46" s="618"/>
      <c r="E46" s="618"/>
      <c r="F46" s="618"/>
      <c r="G46" s="618"/>
      <c r="H46" s="618"/>
    </row>
    <row r="47" spans="1:15" ht="15.75">
      <c r="C47" s="618"/>
      <c r="D47" s="618"/>
      <c r="E47" s="618"/>
      <c r="F47" s="618"/>
      <c r="G47" s="618"/>
      <c r="H47" s="61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M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28515625" defaultRowHeight="12.75"/>
  <cols>
    <col min="1" max="1" width="9.5703125" style="1" bestFit="1" customWidth="1"/>
    <col min="2" max="2" width="93.5703125" style="1" customWidth="1"/>
    <col min="3" max="4" width="14.85546875" style="1" bestFit="1" customWidth="1"/>
    <col min="5" max="7" width="14.85546875" style="8" bestFit="1" customWidth="1"/>
    <col min="8" max="11" width="9.7109375" style="8" customWidth="1"/>
    <col min="12" max="12" width="14.42578125" style="8" bestFit="1" customWidth="1"/>
    <col min="13" max="13" width="14.85546875" style="8" bestFit="1" customWidth="1"/>
    <col min="14" max="16384" width="9.28515625" style="8"/>
  </cols>
  <sheetData>
    <row r="1" spans="1:13" ht="15">
      <c r="A1" s="13" t="s">
        <v>97</v>
      </c>
      <c r="B1" s="12" t="str">
        <f>Info!C2</f>
        <v>სს "ბანკი ქართუ"</v>
      </c>
      <c r="C1" s="12"/>
    </row>
    <row r="2" spans="1:13" ht="15">
      <c r="A2" s="13" t="s">
        <v>98</v>
      </c>
      <c r="B2" s="593">
        <f>'1. key ratios'!B2</f>
        <v>46112</v>
      </c>
      <c r="C2" s="12"/>
    </row>
    <row r="3" spans="1:13" ht="15">
      <c r="A3" s="13"/>
      <c r="B3" s="12"/>
      <c r="C3" s="12"/>
    </row>
    <row r="4" spans="1:13" ht="15" customHeight="1" thickBot="1">
      <c r="A4" s="117" t="s">
        <v>242</v>
      </c>
      <c r="B4" s="118" t="s">
        <v>96</v>
      </c>
      <c r="C4" s="119" t="s">
        <v>76</v>
      </c>
    </row>
    <row r="5" spans="1:13" ht="15" customHeight="1">
      <c r="A5" s="115" t="s">
        <v>25</v>
      </c>
      <c r="B5" s="116"/>
      <c r="C5" s="236" t="str">
        <f>INT((MONTH($B$2))/3)&amp;"Q"&amp;"-"&amp;YEAR($B$2)</f>
        <v>1Q-2026</v>
      </c>
      <c r="D5" s="236" t="str">
        <f>IF(INT(MONTH($B$2))=3, "4"&amp;"Q"&amp;"-"&amp;YEAR($B$2)-1, IF(INT(MONTH($B$2))=6, "1"&amp;"Q"&amp;"-"&amp;YEAR($B$2), IF(INT(MONTH($B$2))=9, "2"&amp;"Q"&amp;"-"&amp;YEAR($B$2),IF(INT(MONTH($B$2))=12, "3"&amp;"Q"&amp;"-"&amp;YEAR($B$2), 0))))</f>
        <v>4Q-2025</v>
      </c>
      <c r="E5" s="236" t="str">
        <f>IF(INT(MONTH($B$2))=3, "3"&amp;"Q"&amp;"-"&amp;YEAR($B$2)-1, IF(INT(MONTH($B$2))=6, "4"&amp;"Q"&amp;"-"&amp;YEAR($B$2)-1, IF(INT(MONTH($B$2))=9, "1"&amp;"Q"&amp;"-"&amp;YEAR($B$2),IF(INT(MONTH($B$2))=12, "2"&amp;"Q"&amp;"-"&amp;YEAR($B$2), 0))))</f>
        <v>3Q-2025</v>
      </c>
      <c r="F5" s="236" t="str">
        <f>IF(INT(MONTH($B$2))=3, "2"&amp;"Q"&amp;"-"&amp;YEAR($B$2)-1, IF(INT(MONTH($B$2))=6, "3"&amp;"Q"&amp;"-"&amp;YEAR($B$2)-1, IF(INT(MONTH($B$2))=9, "4"&amp;"Q"&amp;"-"&amp;YEAR($B$2)-1,IF(INT(MONTH($B$2))=12, "1"&amp;"Q"&amp;"-"&amp;YEAR($B$2), 0))))</f>
        <v>2Q-2025</v>
      </c>
      <c r="G5" s="236" t="str">
        <f>IF(INT(MONTH($B$2))=3, "1"&amp;"Q"&amp;"-"&amp;YEAR($B$2)-1, IF(INT(MONTH($B$2))=6, "2"&amp;"Q"&amp;"-"&amp;YEAR($B$2)-1, IF(INT(MONTH($B$2))=9, "3"&amp;"Q"&amp;"-"&amp;YEAR($B$2)-1,IF(INT(MONTH($B$2))=12, "4"&amp;"Q"&amp;"-"&amp;YEAR($B$2)-1, 0))))</f>
        <v>1Q-2025</v>
      </c>
    </row>
    <row r="6" spans="1:13" ht="15" customHeight="1">
      <c r="A6" s="203">
        <v>1</v>
      </c>
      <c r="B6" s="227" t="s">
        <v>101</v>
      </c>
      <c r="C6" s="620">
        <f>C7+C9+C10</f>
        <v>1657796015.115701</v>
      </c>
      <c r="D6" s="621">
        <f>D7+D9+D10</f>
        <v>1701940639.5537131</v>
      </c>
      <c r="E6" s="622">
        <f t="shared" ref="E6:G6" si="0">E7+E9+E10</f>
        <v>1583275996.1325924</v>
      </c>
      <c r="F6" s="620">
        <f t="shared" si="0"/>
        <v>1546178675.9586229</v>
      </c>
      <c r="G6" s="623">
        <f t="shared" si="0"/>
        <v>1561412237.4625614</v>
      </c>
      <c r="I6" s="619"/>
      <c r="J6" s="619"/>
      <c r="K6" s="619"/>
      <c r="L6" s="619"/>
      <c r="M6" s="619"/>
    </row>
    <row r="7" spans="1:13" ht="15" customHeight="1">
      <c r="A7" s="203">
        <v>1.1000000000000001</v>
      </c>
      <c r="B7" s="204" t="s">
        <v>995</v>
      </c>
      <c r="C7" s="624">
        <v>1551343499.6659472</v>
      </c>
      <c r="D7" s="625">
        <v>1596719296.8236492</v>
      </c>
      <c r="E7" s="624">
        <v>1474941429.1883688</v>
      </c>
      <c r="F7" s="624">
        <v>1439561050.5917597</v>
      </c>
      <c r="G7" s="626">
        <v>1456185478.304728</v>
      </c>
      <c r="I7" s="619"/>
      <c r="J7" s="619"/>
      <c r="K7" s="619"/>
      <c r="L7" s="619"/>
      <c r="M7" s="619"/>
    </row>
    <row r="8" spans="1:13" ht="25.5">
      <c r="A8" s="203" t="s">
        <v>146</v>
      </c>
      <c r="B8" s="205" t="s">
        <v>239</v>
      </c>
      <c r="C8" s="624">
        <v>24430750</v>
      </c>
      <c r="D8" s="625">
        <v>24430750</v>
      </c>
      <c r="E8" s="624">
        <v>24430750</v>
      </c>
      <c r="F8" s="624">
        <v>24430750</v>
      </c>
      <c r="G8" s="626">
        <v>23805750</v>
      </c>
      <c r="I8" s="619"/>
      <c r="J8" s="619"/>
      <c r="K8" s="619"/>
      <c r="L8" s="619"/>
      <c r="M8" s="619"/>
    </row>
    <row r="9" spans="1:13" ht="15" customHeight="1">
      <c r="A9" s="203">
        <v>1.2</v>
      </c>
      <c r="B9" s="204" t="s">
        <v>21</v>
      </c>
      <c r="C9" s="624">
        <v>106452515.44975366</v>
      </c>
      <c r="D9" s="625">
        <v>105221342.73006397</v>
      </c>
      <c r="E9" s="624">
        <v>108334566.94422363</v>
      </c>
      <c r="F9" s="624">
        <v>106617625.36686328</v>
      </c>
      <c r="G9" s="626">
        <v>105226759.15783325</v>
      </c>
      <c r="I9" s="619"/>
      <c r="J9" s="619"/>
      <c r="K9" s="619"/>
      <c r="L9" s="619"/>
      <c r="M9" s="619"/>
    </row>
    <row r="10" spans="1:13" ht="15" customHeight="1">
      <c r="A10" s="203">
        <v>1.3</v>
      </c>
      <c r="B10" s="228" t="s">
        <v>73</v>
      </c>
      <c r="C10" s="624">
        <v>0</v>
      </c>
      <c r="D10" s="625">
        <v>0</v>
      </c>
      <c r="E10" s="624">
        <v>0</v>
      </c>
      <c r="F10" s="624">
        <v>0</v>
      </c>
      <c r="G10" s="626">
        <v>0</v>
      </c>
      <c r="I10" s="619"/>
      <c r="J10" s="619"/>
      <c r="K10" s="619"/>
      <c r="L10" s="619"/>
      <c r="M10" s="619"/>
    </row>
    <row r="11" spans="1:13" ht="15" customHeight="1">
      <c r="A11" s="203">
        <v>2</v>
      </c>
      <c r="B11" s="227" t="s">
        <v>102</v>
      </c>
      <c r="C11" s="624">
        <v>14034817.810596703</v>
      </c>
      <c r="D11" s="625">
        <v>12040783.402729165</v>
      </c>
      <c r="E11" s="624">
        <v>13442670.803512827</v>
      </c>
      <c r="F11" s="624">
        <v>9408596.4323391113</v>
      </c>
      <c r="G11" s="626">
        <v>13332341.836037362</v>
      </c>
      <c r="I11" s="619"/>
      <c r="J11" s="619"/>
      <c r="K11" s="619"/>
      <c r="L11" s="619"/>
      <c r="M11" s="619"/>
    </row>
    <row r="12" spans="1:13" ht="15" customHeight="1">
      <c r="A12" s="203">
        <v>3</v>
      </c>
      <c r="B12" s="227" t="s">
        <v>100</v>
      </c>
      <c r="C12" s="624">
        <v>181710208.44506806</v>
      </c>
      <c r="D12" s="625">
        <v>181710208.44506806</v>
      </c>
      <c r="E12" s="624">
        <v>158841985.05413476</v>
      </c>
      <c r="F12" s="624">
        <v>158841985.05413476</v>
      </c>
      <c r="G12" s="626">
        <v>158841985.05413476</v>
      </c>
      <c r="I12" s="619"/>
      <c r="J12" s="619"/>
      <c r="K12" s="619"/>
      <c r="L12" s="619"/>
      <c r="M12" s="619"/>
    </row>
    <row r="13" spans="1:13" ht="15" customHeight="1" thickBot="1">
      <c r="A13" s="63">
        <v>4</v>
      </c>
      <c r="B13" s="229" t="s">
        <v>147</v>
      </c>
      <c r="C13" s="627">
        <f>C6+C11+C12</f>
        <v>1853541041.3713658</v>
      </c>
      <c r="D13" s="628">
        <f>D6+D11+D12</f>
        <v>1895691631.4015105</v>
      </c>
      <c r="E13" s="629">
        <f t="shared" ref="E13:G13" si="1">E6+E11+E12</f>
        <v>1755560651.9902401</v>
      </c>
      <c r="F13" s="627">
        <f t="shared" si="1"/>
        <v>1714429257.445097</v>
      </c>
      <c r="G13" s="630">
        <f t="shared" si="1"/>
        <v>1733586564.3527336</v>
      </c>
      <c r="I13" s="619"/>
      <c r="J13" s="619"/>
      <c r="K13" s="619"/>
      <c r="L13" s="619"/>
      <c r="M13" s="619"/>
    </row>
    <row r="14" spans="1:13">
      <c r="B14" s="17"/>
    </row>
    <row r="15" spans="1:13">
      <c r="B15" s="17"/>
    </row>
    <row r="16" spans="1:13">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11" sqref="B11"/>
    </sheetView>
  </sheetViews>
  <sheetFormatPr defaultRowHeight="15"/>
  <cols>
    <col min="1" max="1" width="9.5703125" style="1" bestFit="1" customWidth="1"/>
    <col min="2" max="2" width="58.7109375" style="1" customWidth="1"/>
    <col min="3" max="3" width="99.5703125" style="1" customWidth="1"/>
  </cols>
  <sheetData>
    <row r="1" spans="1:8">
      <c r="A1" s="1" t="s">
        <v>97</v>
      </c>
      <c r="B1" s="1" t="str">
        <f>Info!C2</f>
        <v>სს "ბანკი ქართუ"</v>
      </c>
    </row>
    <row r="2" spans="1:8">
      <c r="A2" s="1" t="s">
        <v>98</v>
      </c>
      <c r="B2" s="593">
        <f>'1. key ratios'!B2</f>
        <v>46112</v>
      </c>
    </row>
    <row r="4" spans="1:8" ht="31.5" customHeight="1" thickBot="1">
      <c r="A4" s="131" t="s">
        <v>243</v>
      </c>
      <c r="B4" s="23" t="s">
        <v>80</v>
      </c>
      <c r="C4" s="9"/>
    </row>
    <row r="5" spans="1:8" ht="15.75">
      <c r="A5" s="7"/>
      <c r="B5" s="223" t="s">
        <v>81</v>
      </c>
      <c r="C5" s="234" t="s">
        <v>419</v>
      </c>
    </row>
    <row r="6" spans="1:8">
      <c r="A6" s="10">
        <v>1</v>
      </c>
      <c r="B6" s="24" t="s">
        <v>1006</v>
      </c>
      <c r="C6" s="230" t="s">
        <v>1007</v>
      </c>
    </row>
    <row r="7" spans="1:8">
      <c r="A7" s="10">
        <v>2</v>
      </c>
      <c r="B7" s="24" t="s">
        <v>1008</v>
      </c>
      <c r="C7" s="230" t="s">
        <v>1009</v>
      </c>
    </row>
    <row r="8" spans="1:8">
      <c r="A8" s="10">
        <v>3</v>
      </c>
      <c r="B8" s="24" t="s">
        <v>1010</v>
      </c>
      <c r="C8" s="230" t="s">
        <v>1011</v>
      </c>
    </row>
    <row r="9" spans="1:8">
      <c r="A9" s="10">
        <v>4</v>
      </c>
      <c r="B9" s="24" t="s">
        <v>1012</v>
      </c>
      <c r="C9" s="230" t="s">
        <v>1009</v>
      </c>
    </row>
    <row r="10" spans="1:8">
      <c r="A10" s="10">
        <v>5</v>
      </c>
      <c r="B10" s="24" t="s">
        <v>1013</v>
      </c>
      <c r="C10" s="230" t="s">
        <v>1011</v>
      </c>
    </row>
    <row r="11" spans="1:8">
      <c r="A11" s="10">
        <v>6</v>
      </c>
      <c r="B11" s="24"/>
      <c r="C11" s="230"/>
    </row>
    <row r="12" spans="1:8">
      <c r="A12" s="10">
        <v>7</v>
      </c>
      <c r="B12" s="24"/>
      <c r="C12" s="230"/>
      <c r="H12" s="2"/>
    </row>
    <row r="13" spans="1:8">
      <c r="A13" s="10">
        <v>8</v>
      </c>
      <c r="B13" s="24"/>
      <c r="C13" s="230"/>
    </row>
    <row r="14" spans="1:8">
      <c r="A14" s="10">
        <v>9</v>
      </c>
      <c r="B14" s="24"/>
      <c r="C14" s="230"/>
    </row>
    <row r="15" spans="1:8">
      <c r="A15" s="10">
        <v>10</v>
      </c>
      <c r="B15" s="24"/>
      <c r="C15" s="230"/>
    </row>
    <row r="16" spans="1:8">
      <c r="A16" s="10"/>
      <c r="B16" s="748"/>
      <c r="C16" s="749"/>
    </row>
    <row r="17" spans="1:3">
      <c r="A17" s="10"/>
      <c r="B17" s="224" t="s">
        <v>82</v>
      </c>
      <c r="C17" s="235" t="s">
        <v>420</v>
      </c>
    </row>
    <row r="18" spans="1:3" ht="15.75">
      <c r="A18" s="10">
        <v>1</v>
      </c>
      <c r="B18" s="20" t="s">
        <v>1014</v>
      </c>
      <c r="C18" s="232" t="s">
        <v>1015</v>
      </c>
    </row>
    <row r="19" spans="1:3" ht="15.75">
      <c r="A19" s="10">
        <v>2</v>
      </c>
      <c r="B19" s="20" t="s">
        <v>1016</v>
      </c>
      <c r="C19" s="232" t="s">
        <v>1017</v>
      </c>
    </row>
    <row r="20" spans="1:3" ht="15.75">
      <c r="A20" s="10">
        <v>3</v>
      </c>
      <c r="B20" s="20" t="s">
        <v>1018</v>
      </c>
      <c r="C20" s="232" t="s">
        <v>1019</v>
      </c>
    </row>
    <row r="21" spans="1:3" ht="15.75">
      <c r="A21" s="10">
        <v>4</v>
      </c>
      <c r="B21" s="20" t="s">
        <v>1020</v>
      </c>
      <c r="C21" s="232" t="s">
        <v>1021</v>
      </c>
    </row>
    <row r="22" spans="1:3" ht="15.75">
      <c r="A22" s="10">
        <v>5</v>
      </c>
      <c r="B22" s="20" t="s">
        <v>1022</v>
      </c>
      <c r="C22" s="232" t="s">
        <v>1023</v>
      </c>
    </row>
    <row r="23" spans="1:3" ht="15.75">
      <c r="A23" s="10">
        <v>6</v>
      </c>
      <c r="B23" s="20" t="s">
        <v>1024</v>
      </c>
      <c r="C23" s="232" t="s">
        <v>1025</v>
      </c>
    </row>
    <row r="24" spans="1:3" ht="15.75">
      <c r="A24" s="10">
        <v>7</v>
      </c>
      <c r="B24" s="20"/>
      <c r="C24" s="232"/>
    </row>
    <row r="25" spans="1:3" ht="15.75">
      <c r="A25" s="10">
        <v>8</v>
      </c>
      <c r="B25" s="20"/>
      <c r="C25" s="232"/>
    </row>
    <row r="26" spans="1:3" ht="15.75">
      <c r="A26" s="10">
        <v>9</v>
      </c>
      <c r="B26" s="20"/>
      <c r="C26" s="232"/>
    </row>
    <row r="27" spans="1:3" ht="15.75" customHeight="1">
      <c r="A27" s="10">
        <v>10</v>
      </c>
      <c r="B27" s="20"/>
      <c r="C27" s="233"/>
    </row>
    <row r="28" spans="1:3" ht="15.75" customHeight="1">
      <c r="A28" s="10"/>
      <c r="B28" s="20"/>
      <c r="C28" s="21"/>
    </row>
    <row r="29" spans="1:3" ht="30" customHeight="1">
      <c r="A29" s="10"/>
      <c r="B29" s="750" t="s">
        <v>83</v>
      </c>
      <c r="C29" s="751"/>
    </row>
    <row r="30" spans="1:3">
      <c r="A30" s="10">
        <v>1</v>
      </c>
      <c r="B30" s="24" t="s">
        <v>1026</v>
      </c>
      <c r="C30" s="631">
        <v>1</v>
      </c>
    </row>
    <row r="31" spans="1:3" ht="15.75" customHeight="1">
      <c r="A31" s="10"/>
      <c r="B31" s="24"/>
      <c r="C31" s="25"/>
    </row>
    <row r="32" spans="1:3" ht="29.25" customHeight="1">
      <c r="A32" s="10"/>
      <c r="B32" s="750" t="s">
        <v>163</v>
      </c>
      <c r="C32" s="751"/>
    </row>
    <row r="33" spans="1:3">
      <c r="A33" s="10">
        <v>1</v>
      </c>
      <c r="B33" s="24" t="s">
        <v>1027</v>
      </c>
      <c r="C33" s="632">
        <v>0.35</v>
      </c>
    </row>
    <row r="34" spans="1:3" ht="16.5" thickBot="1">
      <c r="A34" s="11"/>
      <c r="B34" s="26"/>
      <c r="C34" s="231"/>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I53"/>
  <sheetViews>
    <sheetView showGridLines="0" zoomScale="80" zoomScaleNormal="80" workbookViewId="0">
      <pane xSplit="1" ySplit="5" topLeftCell="B6" activePane="bottomRight" state="frozen"/>
      <selection activeCell="B2" sqref="B2"/>
      <selection pane="topRight" activeCell="B2" sqref="B2"/>
      <selection pane="bottomLeft" activeCell="B2" sqref="B2"/>
      <selection pane="bottomRight"/>
    </sheetView>
  </sheetViews>
  <sheetFormatPr defaultRowHeight="15"/>
  <cols>
    <col min="1" max="1" width="9.5703125" style="1" bestFit="1" customWidth="1"/>
    <col min="2" max="2" width="47.5703125" style="1" customWidth="1"/>
    <col min="3" max="3" width="28" style="1" customWidth="1"/>
    <col min="4" max="4" width="25.7109375" style="1" customWidth="1"/>
    <col min="5" max="5" width="18.7109375" style="1" customWidth="1"/>
    <col min="6" max="6" width="12" bestFit="1" customWidth="1"/>
    <col min="7" max="7" width="17" bestFit="1" customWidth="1"/>
  </cols>
  <sheetData>
    <row r="1" spans="1:9" ht="15.75">
      <c r="A1" s="13" t="s">
        <v>97</v>
      </c>
      <c r="B1" s="12" t="str">
        <f>Info!C2</f>
        <v>სს "ბანკი ქართუ"</v>
      </c>
    </row>
    <row r="2" spans="1:9" s="13" customFormat="1" ht="15.75" customHeight="1">
      <c r="A2" s="13" t="s">
        <v>98</v>
      </c>
      <c r="B2" s="593">
        <f>'1. key ratios'!B2</f>
        <v>46112</v>
      </c>
    </row>
    <row r="3" spans="1:9" s="13" customFormat="1" ht="15.75" customHeight="1"/>
    <row r="4" spans="1:9" s="13" customFormat="1" ht="15.75" customHeight="1" thickBot="1">
      <c r="A4" s="132" t="s">
        <v>244</v>
      </c>
      <c r="B4" s="133" t="s">
        <v>157</v>
      </c>
      <c r="C4" s="97"/>
      <c r="D4" s="97"/>
      <c r="E4" s="98" t="s">
        <v>76</v>
      </c>
    </row>
    <row r="5" spans="1:9" s="59" customFormat="1" ht="17.649999999999999" customHeight="1">
      <c r="A5" s="181"/>
      <c r="B5" s="182"/>
      <c r="C5" s="96" t="s">
        <v>0</v>
      </c>
      <c r="D5" s="96" t="s">
        <v>1</v>
      </c>
      <c r="E5" s="183" t="s">
        <v>2</v>
      </c>
    </row>
    <row r="6" spans="1:9" ht="14.65" customHeight="1">
      <c r="A6" s="184"/>
      <c r="B6" s="752" t="s">
        <v>133</v>
      </c>
      <c r="C6" s="752" t="s">
        <v>824</v>
      </c>
      <c r="D6" s="753" t="s">
        <v>132</v>
      </c>
      <c r="E6" s="754"/>
    </row>
    <row r="7" spans="1:9" ht="99.6" customHeight="1">
      <c r="A7" s="184"/>
      <c r="B7" s="752"/>
      <c r="C7" s="752"/>
      <c r="D7" s="179" t="s">
        <v>131</v>
      </c>
      <c r="E7" s="180" t="s">
        <v>341</v>
      </c>
    </row>
    <row r="8" spans="1:9" ht="22.5" customHeight="1">
      <c r="A8" s="365">
        <v>1</v>
      </c>
      <c r="B8" s="318" t="s">
        <v>811</v>
      </c>
      <c r="C8" s="635">
        <f>SUM(C9:C11)</f>
        <v>611108459.22650898</v>
      </c>
      <c r="D8" s="635">
        <f t="shared" ref="D8:E8" si="0">SUM(D9:D11)</f>
        <v>0</v>
      </c>
      <c r="E8" s="635">
        <f t="shared" si="0"/>
        <v>611108459.22650898</v>
      </c>
      <c r="G8" s="633"/>
      <c r="H8" s="633"/>
      <c r="I8" s="633"/>
    </row>
    <row r="9" spans="1:9">
      <c r="A9" s="365">
        <v>1.1000000000000001</v>
      </c>
      <c r="B9" s="319" t="s">
        <v>85</v>
      </c>
      <c r="C9" s="635">
        <v>36956636.684</v>
      </c>
      <c r="D9" s="635">
        <v>0</v>
      </c>
      <c r="E9" s="635">
        <v>36956636.684</v>
      </c>
      <c r="G9" s="633"/>
      <c r="H9" s="633"/>
      <c r="I9" s="633"/>
    </row>
    <row r="10" spans="1:9">
      <c r="A10" s="365">
        <v>1.2</v>
      </c>
      <c r="B10" s="319" t="s">
        <v>86</v>
      </c>
      <c r="C10" s="635">
        <v>267686109.90480268</v>
      </c>
      <c r="D10" s="635">
        <v>0</v>
      </c>
      <c r="E10" s="635">
        <v>267686109.90480268</v>
      </c>
      <c r="G10" s="633"/>
      <c r="H10" s="633"/>
      <c r="I10" s="633"/>
    </row>
    <row r="11" spans="1:9">
      <c r="A11" s="365">
        <v>1.3</v>
      </c>
      <c r="B11" s="319" t="s">
        <v>87</v>
      </c>
      <c r="C11" s="635">
        <v>306465712.63770628</v>
      </c>
      <c r="D11" s="635">
        <v>0</v>
      </c>
      <c r="E11" s="635">
        <v>306465712.63770628</v>
      </c>
      <c r="G11" s="633"/>
      <c r="H11" s="633"/>
      <c r="I11" s="633"/>
    </row>
    <row r="12" spans="1:9">
      <c r="A12" s="365">
        <v>2</v>
      </c>
      <c r="B12" s="320" t="s">
        <v>698</v>
      </c>
      <c r="C12" s="635">
        <v>0</v>
      </c>
      <c r="D12" s="635">
        <v>0</v>
      </c>
      <c r="E12" s="635">
        <v>0</v>
      </c>
      <c r="G12" s="633"/>
      <c r="H12" s="633"/>
      <c r="I12" s="633"/>
    </row>
    <row r="13" spans="1:9" ht="21">
      <c r="A13" s="365">
        <v>2.1</v>
      </c>
      <c r="B13" s="321" t="s">
        <v>699</v>
      </c>
      <c r="C13" s="635">
        <v>0</v>
      </c>
      <c r="D13" s="635">
        <v>0</v>
      </c>
      <c r="E13" s="635">
        <v>0</v>
      </c>
      <c r="G13" s="633"/>
      <c r="H13" s="633"/>
      <c r="I13" s="633"/>
    </row>
    <row r="14" spans="1:9" ht="34.15" customHeight="1">
      <c r="A14" s="365">
        <v>3</v>
      </c>
      <c r="B14" s="322" t="s">
        <v>700</v>
      </c>
      <c r="C14" s="635">
        <v>0</v>
      </c>
      <c r="D14" s="635">
        <v>0</v>
      </c>
      <c r="E14" s="635">
        <v>0</v>
      </c>
      <c r="G14" s="633"/>
      <c r="H14" s="633"/>
      <c r="I14" s="633"/>
    </row>
    <row r="15" spans="1:9" ht="32.65" customHeight="1">
      <c r="A15" s="365">
        <v>4</v>
      </c>
      <c r="B15" s="323" t="s">
        <v>701</v>
      </c>
      <c r="C15" s="635">
        <v>0</v>
      </c>
      <c r="D15" s="635">
        <v>0</v>
      </c>
      <c r="E15" s="635">
        <v>0</v>
      </c>
      <c r="G15" s="633"/>
      <c r="H15" s="633"/>
      <c r="I15" s="633"/>
    </row>
    <row r="16" spans="1:9" ht="22.9" customHeight="1">
      <c r="A16" s="365">
        <v>5</v>
      </c>
      <c r="B16" s="323" t="s">
        <v>702</v>
      </c>
      <c r="C16" s="635">
        <f>SUM(C17:C19)</f>
        <v>175637.53</v>
      </c>
      <c r="D16" s="635">
        <f t="shared" ref="D16:E16" si="1">SUM(D17:D19)</f>
        <v>0</v>
      </c>
      <c r="E16" s="635">
        <f t="shared" si="1"/>
        <v>175637.53</v>
      </c>
      <c r="G16" s="633"/>
      <c r="H16" s="633"/>
      <c r="I16" s="633"/>
    </row>
    <row r="17" spans="1:9">
      <c r="A17" s="365">
        <v>5.0999999999999996</v>
      </c>
      <c r="B17" s="324" t="s">
        <v>703</v>
      </c>
      <c r="C17" s="635">
        <v>175637.53</v>
      </c>
      <c r="D17" s="635">
        <v>0</v>
      </c>
      <c r="E17" s="635">
        <v>175637.53</v>
      </c>
      <c r="G17" s="633"/>
      <c r="H17" s="633"/>
      <c r="I17" s="633"/>
    </row>
    <row r="18" spans="1:9">
      <c r="A18" s="365">
        <v>5.2</v>
      </c>
      <c r="B18" s="324" t="s">
        <v>538</v>
      </c>
      <c r="C18" s="635">
        <v>0</v>
      </c>
      <c r="D18" s="635">
        <v>0</v>
      </c>
      <c r="E18" s="635">
        <v>0</v>
      </c>
      <c r="G18" s="633"/>
      <c r="H18" s="633"/>
      <c r="I18" s="633"/>
    </row>
    <row r="19" spans="1:9">
      <c r="A19" s="365">
        <v>5.3</v>
      </c>
      <c r="B19" s="324" t="s">
        <v>704</v>
      </c>
      <c r="C19" s="635">
        <v>0</v>
      </c>
      <c r="D19" s="635">
        <v>0</v>
      </c>
      <c r="E19" s="635">
        <v>0</v>
      </c>
      <c r="G19" s="633"/>
      <c r="H19" s="633"/>
      <c r="I19" s="633"/>
    </row>
    <row r="20" spans="1:9" ht="21">
      <c r="A20" s="365">
        <v>6</v>
      </c>
      <c r="B20" s="322" t="s">
        <v>705</v>
      </c>
      <c r="C20" s="635">
        <f>SUM(C21:C22)</f>
        <v>1216977378.2976139</v>
      </c>
      <c r="D20" s="635">
        <f t="shared" ref="D20:E20" si="2">SUM(D21:D22)</f>
        <v>0</v>
      </c>
      <c r="E20" s="635">
        <f t="shared" si="2"/>
        <v>1216977378.2976139</v>
      </c>
      <c r="G20" s="633"/>
      <c r="H20" s="633"/>
      <c r="I20" s="633"/>
    </row>
    <row r="21" spans="1:9">
      <c r="A21" s="365">
        <v>6.1</v>
      </c>
      <c r="B21" s="324" t="s">
        <v>538</v>
      </c>
      <c r="C21" s="635">
        <v>75889429.706043974</v>
      </c>
      <c r="D21" s="635">
        <v>0</v>
      </c>
      <c r="E21" s="635">
        <v>75889429.706043974</v>
      </c>
      <c r="G21" s="633"/>
      <c r="H21" s="633"/>
      <c r="I21" s="633"/>
    </row>
    <row r="22" spans="1:9">
      <c r="A22" s="365">
        <v>6.2</v>
      </c>
      <c r="B22" s="324" t="s">
        <v>704</v>
      </c>
      <c r="C22" s="635">
        <v>1141087948.5915699</v>
      </c>
      <c r="D22" s="635">
        <v>0</v>
      </c>
      <c r="E22" s="635">
        <v>1141087948.5915699</v>
      </c>
      <c r="G22" s="633"/>
      <c r="H22" s="633"/>
      <c r="I22" s="633"/>
    </row>
    <row r="23" spans="1:9" ht="21">
      <c r="A23" s="365">
        <v>7</v>
      </c>
      <c r="B23" s="325" t="s">
        <v>706</v>
      </c>
      <c r="C23" s="635">
        <v>9772300</v>
      </c>
      <c r="D23" s="635">
        <v>0</v>
      </c>
      <c r="E23" s="635">
        <v>9772300</v>
      </c>
      <c r="G23" s="633"/>
      <c r="H23" s="633"/>
      <c r="I23" s="633"/>
    </row>
    <row r="24" spans="1:9" ht="21">
      <c r="A24" s="365">
        <v>8</v>
      </c>
      <c r="B24" s="326" t="s">
        <v>707</v>
      </c>
      <c r="C24" s="635">
        <v>0</v>
      </c>
      <c r="D24" s="635">
        <v>0</v>
      </c>
      <c r="E24" s="635">
        <v>0</v>
      </c>
      <c r="G24" s="633"/>
      <c r="H24" s="633"/>
      <c r="I24" s="633"/>
    </row>
    <row r="25" spans="1:9">
      <c r="A25" s="365">
        <v>9</v>
      </c>
      <c r="B25" s="323" t="s">
        <v>708</v>
      </c>
      <c r="C25" s="636">
        <f>SUM(C26:C27)</f>
        <v>24285653.962592997</v>
      </c>
      <c r="D25" s="636">
        <f t="shared" ref="D25:E25" si="3">SUM(D26:D27)</f>
        <v>0</v>
      </c>
      <c r="E25" s="636">
        <f t="shared" si="3"/>
        <v>24285653.962592997</v>
      </c>
      <c r="G25" s="633"/>
      <c r="H25" s="633"/>
      <c r="I25" s="633"/>
    </row>
    <row r="26" spans="1:9">
      <c r="A26" s="365">
        <v>9.1</v>
      </c>
      <c r="B26" s="327" t="s">
        <v>709</v>
      </c>
      <c r="C26" s="635">
        <v>24285653.962592997</v>
      </c>
      <c r="D26" s="635">
        <v>0</v>
      </c>
      <c r="E26" s="635">
        <v>24285653.962592997</v>
      </c>
      <c r="G26" s="633"/>
      <c r="H26" s="633"/>
      <c r="I26" s="633"/>
    </row>
    <row r="27" spans="1:9">
      <c r="A27" s="365">
        <v>9.1999999999999993</v>
      </c>
      <c r="B27" s="327" t="s">
        <v>710</v>
      </c>
      <c r="C27" s="635">
        <v>0</v>
      </c>
      <c r="D27" s="635">
        <v>0</v>
      </c>
      <c r="E27" s="635">
        <v>0</v>
      </c>
      <c r="G27" s="633"/>
      <c r="H27" s="633"/>
      <c r="I27" s="633"/>
    </row>
    <row r="28" spans="1:9">
      <c r="A28" s="365">
        <v>10</v>
      </c>
      <c r="B28" s="323" t="s">
        <v>36</v>
      </c>
      <c r="C28" s="636">
        <f>SUM(C29:C30)</f>
        <v>15625069.66</v>
      </c>
      <c r="D28" s="636">
        <f t="shared" ref="D28:E28" si="4">SUM(D29:D30)</f>
        <v>15625069.660000002</v>
      </c>
      <c r="E28" s="636">
        <f t="shared" si="4"/>
        <v>0</v>
      </c>
      <c r="G28" s="633"/>
      <c r="H28" s="633"/>
      <c r="I28" s="633"/>
    </row>
    <row r="29" spans="1:9">
      <c r="A29" s="365">
        <v>10.1</v>
      </c>
      <c r="B29" s="327" t="s">
        <v>711</v>
      </c>
      <c r="C29" s="635">
        <v>0</v>
      </c>
      <c r="D29" s="635">
        <v>0</v>
      </c>
      <c r="E29" s="635">
        <v>0</v>
      </c>
      <c r="G29" s="633"/>
      <c r="H29" s="633"/>
      <c r="I29" s="633"/>
    </row>
    <row r="30" spans="1:9">
      <c r="A30" s="365">
        <v>10.199999999999999</v>
      </c>
      <c r="B30" s="327" t="s">
        <v>712</v>
      </c>
      <c r="C30" s="635">
        <v>15625069.66</v>
      </c>
      <c r="D30" s="635">
        <v>15625069.660000002</v>
      </c>
      <c r="E30" s="635">
        <v>0</v>
      </c>
      <c r="G30" s="633"/>
      <c r="H30" s="633"/>
      <c r="I30" s="633"/>
    </row>
    <row r="31" spans="1:9">
      <c r="A31" s="365">
        <v>11</v>
      </c>
      <c r="B31" s="323" t="s">
        <v>713</v>
      </c>
      <c r="C31" s="636">
        <f>SUM(C32:C33)</f>
        <v>4209254.1011789693</v>
      </c>
      <c r="D31" s="636">
        <f t="shared" ref="D31:E31" si="5">SUM(D32:D33)</f>
        <v>0</v>
      </c>
      <c r="E31" s="636">
        <f t="shared" si="5"/>
        <v>4209254.1011789693</v>
      </c>
      <c r="G31" s="633"/>
      <c r="H31" s="633"/>
      <c r="I31" s="633"/>
    </row>
    <row r="32" spans="1:9">
      <c r="A32" s="365">
        <v>11.1</v>
      </c>
      <c r="B32" s="327" t="s">
        <v>714</v>
      </c>
      <c r="C32" s="635">
        <v>4209254.1011789693</v>
      </c>
      <c r="D32" s="635">
        <v>0</v>
      </c>
      <c r="E32" s="635">
        <v>4209254.1011789693</v>
      </c>
      <c r="G32" s="633"/>
      <c r="H32" s="633"/>
      <c r="I32" s="633"/>
    </row>
    <row r="33" spans="1:9">
      <c r="A33" s="365">
        <v>11.2</v>
      </c>
      <c r="B33" s="327" t="s">
        <v>715</v>
      </c>
      <c r="C33" s="635">
        <v>0</v>
      </c>
      <c r="D33" s="635">
        <v>0</v>
      </c>
      <c r="E33" s="635">
        <v>0</v>
      </c>
      <c r="G33" s="633"/>
      <c r="H33" s="633"/>
      <c r="I33" s="633"/>
    </row>
    <row r="34" spans="1:9">
      <c r="A34" s="365">
        <v>13</v>
      </c>
      <c r="B34" s="323" t="s">
        <v>88</v>
      </c>
      <c r="C34" s="635">
        <v>52191562.722066104</v>
      </c>
      <c r="D34" s="635">
        <v>0</v>
      </c>
      <c r="E34" s="635">
        <v>52191562.722066104</v>
      </c>
      <c r="G34" s="633"/>
      <c r="H34" s="633"/>
      <c r="I34" s="633"/>
    </row>
    <row r="35" spans="1:9">
      <c r="A35" s="365">
        <v>13.1</v>
      </c>
      <c r="B35" s="328" t="s">
        <v>716</v>
      </c>
      <c r="C35" s="635">
        <v>49523125.673766106</v>
      </c>
      <c r="D35" s="635">
        <v>0</v>
      </c>
      <c r="E35" s="635">
        <v>49523125.673766106</v>
      </c>
      <c r="G35" s="633"/>
      <c r="H35" s="633"/>
      <c r="I35" s="633"/>
    </row>
    <row r="36" spans="1:9">
      <c r="A36" s="365">
        <v>13.2</v>
      </c>
      <c r="B36" s="328" t="s">
        <v>717</v>
      </c>
      <c r="C36" s="635">
        <v>0</v>
      </c>
      <c r="D36" s="635">
        <v>0</v>
      </c>
      <c r="E36" s="635">
        <v>0</v>
      </c>
      <c r="G36" s="633"/>
      <c r="H36" s="633"/>
      <c r="I36" s="633"/>
    </row>
    <row r="37" spans="1:9" ht="39" thickBot="1">
      <c r="A37" s="185"/>
      <c r="B37" s="186" t="s">
        <v>308</v>
      </c>
      <c r="C37" s="637">
        <f>SUM(C8,C12,C14,C15,C16,C20,C23,C24,C25,C28,C31,C34)</f>
        <v>1934345315.4999611</v>
      </c>
      <c r="D37" s="637">
        <f t="shared" ref="D37:E37" si="6">SUM(D8,D12,D14,D15,D16,D20,D23,D24,D25,D28,D31,D34)</f>
        <v>15625069.660000002</v>
      </c>
      <c r="E37" s="637">
        <f t="shared" si="6"/>
        <v>1918720245.8399611</v>
      </c>
      <c r="G37" s="633"/>
      <c r="H37" s="633"/>
      <c r="I37" s="633"/>
    </row>
    <row r="38" spans="1:9">
      <c r="A38"/>
      <c r="B38"/>
      <c r="C38"/>
      <c r="D38"/>
      <c r="E38"/>
    </row>
    <row r="39" spans="1:9">
      <c r="A39"/>
      <c r="B39"/>
      <c r="C39"/>
      <c r="D39"/>
      <c r="E39"/>
    </row>
    <row r="41" spans="1:9" s="1" customFormat="1">
      <c r="B41" s="28"/>
      <c r="F41"/>
      <c r="G41"/>
    </row>
    <row r="42" spans="1:9" s="1" customFormat="1">
      <c r="B42" s="29"/>
      <c r="F42"/>
      <c r="G42"/>
    </row>
    <row r="43" spans="1:9" s="1" customFormat="1">
      <c r="B43" s="28"/>
      <c r="F43"/>
      <c r="G43"/>
    </row>
    <row r="44" spans="1:9" s="1" customFormat="1">
      <c r="B44" s="28"/>
      <c r="F44"/>
      <c r="G44"/>
    </row>
    <row r="45" spans="1:9" s="1" customFormat="1">
      <c r="B45" s="28"/>
      <c r="F45"/>
      <c r="G45"/>
    </row>
    <row r="46" spans="1:9" s="1" customFormat="1">
      <c r="B46" s="28"/>
      <c r="F46"/>
      <c r="G46"/>
    </row>
    <row r="47" spans="1:9" s="1" customFormat="1">
      <c r="B47" s="28"/>
      <c r="F47"/>
      <c r="G47"/>
    </row>
    <row r="48" spans="1:9" s="1" customFormat="1">
      <c r="B48" s="29"/>
      <c r="F48"/>
      <c r="G48"/>
    </row>
    <row r="49" spans="2:7" s="1" customFormat="1">
      <c r="B49" s="29"/>
      <c r="F49"/>
      <c r="G49"/>
    </row>
    <row r="50" spans="2:7" s="1" customFormat="1">
      <c r="B50" s="29"/>
      <c r="F50"/>
      <c r="G50"/>
    </row>
    <row r="51" spans="2:7" s="1" customFormat="1">
      <c r="B51" s="29"/>
      <c r="F51"/>
      <c r="G51"/>
    </row>
    <row r="52" spans="2:7" s="1" customFormat="1">
      <c r="B52" s="29"/>
      <c r="F52"/>
      <c r="G52"/>
    </row>
    <row r="53" spans="2:7" s="1" customFormat="1">
      <c r="B53" s="29"/>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showGridLines="0" zoomScale="80" zoomScaleNormal="80" workbookViewId="0">
      <pane xSplit="1" ySplit="4" topLeftCell="B5" activePane="bottomRight" state="frozen"/>
      <selection activeCell="B2" sqref="B2"/>
      <selection pane="topRight" activeCell="B2" sqref="B2"/>
      <selection pane="bottomLeft" activeCell="B2" sqref="B2"/>
      <selection pane="bottomRight"/>
    </sheetView>
  </sheetViews>
  <sheetFormatPr defaultRowHeight="15" outlineLevelRow="1"/>
  <cols>
    <col min="1" max="1" width="9.5703125" style="1" bestFit="1" customWidth="1"/>
    <col min="2" max="2" width="114.28515625" style="1"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3" t="s">
        <v>97</v>
      </c>
      <c r="B1" s="12" t="str">
        <f>Info!C2</f>
        <v>სს "ბანკი ქართუ"</v>
      </c>
    </row>
    <row r="2" spans="1:6" s="13" customFormat="1" ht="15.75" customHeight="1">
      <c r="A2" s="13" t="s">
        <v>98</v>
      </c>
      <c r="B2" s="593">
        <f>'1. key ratios'!B2</f>
        <v>46112</v>
      </c>
      <c r="C2"/>
      <c r="D2"/>
      <c r="E2"/>
      <c r="F2"/>
    </row>
    <row r="3" spans="1:6" s="13" customFormat="1" ht="15.75" customHeight="1">
      <c r="C3"/>
      <c r="D3"/>
      <c r="E3"/>
      <c r="F3"/>
    </row>
    <row r="4" spans="1:6" s="13" customFormat="1" ht="26.25" thickBot="1">
      <c r="A4" s="13" t="s">
        <v>245</v>
      </c>
      <c r="B4" s="104" t="s">
        <v>160</v>
      </c>
      <c r="C4" s="98" t="s">
        <v>76</v>
      </c>
      <c r="D4"/>
      <c r="E4"/>
      <c r="F4"/>
    </row>
    <row r="5" spans="1:6">
      <c r="A5" s="99">
        <v>1</v>
      </c>
      <c r="B5" s="100" t="s">
        <v>695</v>
      </c>
      <c r="C5" s="137">
        <f>'7. LI1'!E37</f>
        <v>1918720245.8399611</v>
      </c>
      <c r="E5" s="599"/>
    </row>
    <row r="6" spans="1:6">
      <c r="A6" s="58">
        <v>2.1</v>
      </c>
      <c r="B6" s="106" t="s">
        <v>829</v>
      </c>
      <c r="C6" s="638">
        <v>207087530.6714592</v>
      </c>
      <c r="E6" s="599"/>
    </row>
    <row r="7" spans="1:6" s="2" customFormat="1" ht="25.5" outlineLevel="1">
      <c r="A7" s="105">
        <v>2.2000000000000002</v>
      </c>
      <c r="B7" s="101" t="s">
        <v>830</v>
      </c>
      <c r="C7" s="638">
        <v>0</v>
      </c>
      <c r="E7" s="599"/>
    </row>
    <row r="8" spans="1:6" s="2" customFormat="1" ht="26.25">
      <c r="A8" s="105">
        <v>3</v>
      </c>
      <c r="B8" s="102" t="s">
        <v>696</v>
      </c>
      <c r="C8" s="138">
        <f>SUM(C5:C7)</f>
        <v>2125807776.5114202</v>
      </c>
      <c r="E8" s="599"/>
    </row>
    <row r="9" spans="1:6">
      <c r="A9" s="58">
        <v>4</v>
      </c>
      <c r="B9" s="109" t="s">
        <v>158</v>
      </c>
      <c r="C9" s="638">
        <v>0</v>
      </c>
      <c r="E9" s="599"/>
    </row>
    <row r="10" spans="1:6" s="2" customFormat="1" ht="25.5" outlineLevel="1">
      <c r="A10" s="105">
        <v>5.0999999999999996</v>
      </c>
      <c r="B10" s="101" t="s">
        <v>164</v>
      </c>
      <c r="C10" s="638">
        <v>-90622378.889180437</v>
      </c>
      <c r="E10" s="599"/>
    </row>
    <row r="11" spans="1:6" s="2" customFormat="1" ht="25.5" outlineLevel="1">
      <c r="A11" s="105">
        <v>5.2</v>
      </c>
      <c r="B11" s="101" t="s">
        <v>165</v>
      </c>
      <c r="C11" s="638">
        <v>0</v>
      </c>
      <c r="E11" s="599"/>
    </row>
    <row r="12" spans="1:6" s="2" customFormat="1">
      <c r="A12" s="105">
        <v>6</v>
      </c>
      <c r="B12" s="107" t="s">
        <v>996</v>
      </c>
      <c r="C12" s="638">
        <v>0</v>
      </c>
      <c r="E12" s="599"/>
    </row>
    <row r="13" spans="1:6" s="2" customFormat="1" ht="15.75" thickBot="1">
      <c r="A13" s="108">
        <v>7</v>
      </c>
      <c r="B13" s="103" t="s">
        <v>159</v>
      </c>
      <c r="C13" s="139">
        <f>SUM(C8:C12)</f>
        <v>2035185397.6222398</v>
      </c>
      <c r="E13" s="599"/>
    </row>
    <row r="15" spans="1:6">
      <c r="B15" s="17"/>
    </row>
    <row r="17" spans="2:9" s="1" customFormat="1">
      <c r="B17" s="30"/>
      <c r="C17"/>
      <c r="D17"/>
      <c r="E17"/>
      <c r="F17"/>
      <c r="G17"/>
      <c r="H17"/>
      <c r="I17"/>
    </row>
    <row r="18" spans="2:9" s="1" customFormat="1">
      <c r="B18" s="27"/>
      <c r="C18"/>
      <c r="D18"/>
      <c r="E18"/>
      <c r="F18"/>
      <c r="G18"/>
      <c r="H18"/>
      <c r="I18"/>
    </row>
    <row r="19" spans="2:9" s="1" customFormat="1">
      <c r="B19" s="27"/>
      <c r="C19"/>
      <c r="D19"/>
      <c r="E19"/>
      <c r="F19"/>
      <c r="G19"/>
      <c r="H19"/>
      <c r="I19"/>
    </row>
    <row r="20" spans="2:9" s="1" customFormat="1">
      <c r="B20" s="29"/>
      <c r="C20"/>
      <c r="D20"/>
      <c r="E20"/>
      <c r="F20"/>
      <c r="G20"/>
      <c r="H20"/>
      <c r="I20"/>
    </row>
    <row r="21" spans="2:9" s="1" customFormat="1">
      <c r="B21" s="28"/>
      <c r="C21"/>
      <c r="D21"/>
      <c r="E21"/>
      <c r="F21"/>
      <c r="G21"/>
      <c r="H21"/>
      <c r="I21"/>
    </row>
    <row r="22" spans="2:9" s="1" customFormat="1">
      <c r="B22" s="29"/>
      <c r="C22"/>
      <c r="D22"/>
      <c r="E22"/>
      <c r="F22"/>
      <c r="G22"/>
      <c r="H22"/>
      <c r="I22"/>
    </row>
    <row r="23" spans="2:9" s="1" customFormat="1">
      <c r="B23" s="28"/>
      <c r="C23"/>
      <c r="D23"/>
      <c r="E23"/>
      <c r="F23"/>
      <c r="G23"/>
      <c r="H23"/>
      <c r="I23"/>
    </row>
    <row r="24" spans="2:9" s="1" customFormat="1">
      <c r="B24" s="28"/>
      <c r="C24"/>
      <c r="D24"/>
      <c r="E24"/>
      <c r="F24"/>
      <c r="G24"/>
      <c r="H24"/>
      <c r="I24"/>
    </row>
    <row r="25" spans="2:9" s="1" customFormat="1">
      <c r="B25" s="28"/>
      <c r="C25"/>
      <c r="D25"/>
      <c r="E25"/>
      <c r="F25"/>
      <c r="G25"/>
      <c r="H25"/>
      <c r="I25"/>
    </row>
    <row r="26" spans="2:9" s="1" customFormat="1">
      <c r="B26" s="28"/>
      <c r="C26"/>
      <c r="D26"/>
      <c r="E26"/>
      <c r="F26"/>
      <c r="G26"/>
      <c r="H26"/>
      <c r="I26"/>
    </row>
    <row r="27" spans="2:9" s="1" customFormat="1">
      <c r="B27" s="28"/>
      <c r="C27"/>
      <c r="D27"/>
      <c r="E27"/>
      <c r="F27"/>
      <c r="G27"/>
      <c r="H27"/>
      <c r="I27"/>
    </row>
    <row r="28" spans="2:9" s="1" customFormat="1">
      <c r="B28" s="29"/>
      <c r="C28"/>
      <c r="D28"/>
      <c r="E28"/>
      <c r="F28"/>
      <c r="G28"/>
      <c r="H28"/>
      <c r="I28"/>
    </row>
    <row r="29" spans="2:9" s="1" customFormat="1">
      <c r="B29" s="29"/>
      <c r="C29"/>
      <c r="D29"/>
      <c r="E29"/>
      <c r="F29"/>
      <c r="G29"/>
      <c r="H29"/>
      <c r="I29"/>
    </row>
    <row r="30" spans="2:9" s="1" customFormat="1">
      <c r="B30" s="29"/>
      <c r="C30"/>
      <c r="D30"/>
      <c r="E30"/>
      <c r="F30"/>
      <c r="G30"/>
      <c r="H30"/>
      <c r="I30"/>
    </row>
    <row r="31" spans="2:9" s="1" customFormat="1">
      <c r="B31" s="29"/>
      <c r="C31"/>
      <c r="D31"/>
      <c r="E31"/>
      <c r="F31"/>
      <c r="G31"/>
      <c r="H31"/>
      <c r="I31"/>
    </row>
    <row r="32" spans="2:9" s="1" customFormat="1">
      <c r="B32" s="29"/>
      <c r="C32"/>
      <c r="D32"/>
      <c r="E32"/>
      <c r="F32"/>
      <c r="G32"/>
      <c r="H32"/>
      <c r="I32"/>
    </row>
    <row r="33" spans="2:9" s="1" customFormat="1">
      <c r="B33" s="29"/>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CA02C2B3-6690-489B-845B-648AF82E8F0B}">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2026-04-30T13:16:39Z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