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A036E7B8-49C5-49CC-8457-AC0DE23243B6}" xr6:coauthVersionLast="47" xr6:coauthVersionMax="47" xr10:uidLastSave="{00000000-0000-0000-0000-000000000000}"/>
  <bookViews>
    <workbookView xWindow="-120" yWindow="-120" windowWidth="38640" windowHeight="21120"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80" l="1"/>
  <c r="E33" i="80"/>
  <c r="D33" i="80"/>
  <c r="C33" i="80"/>
  <c r="K24" i="36" l="1"/>
  <c r="J24" i="36"/>
  <c r="I24" i="36"/>
  <c r="H24" i="36"/>
  <c r="G24" i="36"/>
  <c r="F24" i="36"/>
  <c r="K23" i="36"/>
  <c r="J23" i="36"/>
  <c r="I23" i="36"/>
  <c r="H23" i="36"/>
  <c r="G23" i="36"/>
  <c r="F23" i="36"/>
  <c r="H20" i="74"/>
  <c r="H19" i="74"/>
  <c r="H18" i="74"/>
  <c r="H16" i="74"/>
  <c r="H15" i="74"/>
  <c r="H12" i="74"/>
  <c r="H11" i="74"/>
  <c r="H10" i="74"/>
  <c r="H9" i="74"/>
  <c r="C22" i="74"/>
  <c r="H25" i="36" l="1"/>
  <c r="J25" i="36"/>
  <c r="K25" i="36"/>
  <c r="G25" i="36"/>
  <c r="I25" i="36"/>
  <c r="F25" i="36"/>
  <c r="G63" i="92"/>
  <c r="F63" i="92"/>
  <c r="F59" i="92"/>
  <c r="G59" i="92"/>
  <c r="C31" i="79"/>
  <c r="B2" i="37"/>
  <c r="B1" i="37"/>
  <c r="B2" i="107"/>
  <c r="B1" i="107"/>
  <c r="D6" i="107" l="1"/>
  <c r="E6" i="107"/>
  <c r="F6" i="107"/>
  <c r="C6" i="107"/>
  <c r="D6" i="37"/>
  <c r="D8" i="37"/>
  <c r="D7" i="37"/>
  <c r="E7" i="37"/>
  <c r="E6" i="37" s="1"/>
  <c r="E8" i="37"/>
  <c r="D9" i="37"/>
  <c r="E9" i="37"/>
  <c r="Q13" i="37"/>
  <c r="Q12" i="37"/>
  <c r="Q11" i="37"/>
  <c r="Q10" i="37" s="1"/>
  <c r="C38" i="94" l="1"/>
  <c r="Q33" i="37" l="1"/>
  <c r="I33" i="37"/>
  <c r="Q32" i="37"/>
  <c r="I32" i="37"/>
  <c r="Q31" i="37"/>
  <c r="I31" i="37"/>
  <c r="I30" i="37"/>
  <c r="Q29" i="37"/>
  <c r="I29" i="37"/>
  <c r="Q28" i="37"/>
  <c r="I28" i="37"/>
  <c r="Q27" i="37"/>
  <c r="Q26" i="37" s="1"/>
  <c r="I27" i="37"/>
  <c r="I26" i="37"/>
  <c r="Q25" i="37"/>
  <c r="I25" i="37"/>
  <c r="Q24" i="37"/>
  <c r="I24" i="37"/>
  <c r="Q23" i="37"/>
  <c r="I23" i="37"/>
  <c r="I22" i="37"/>
  <c r="Q21" i="37"/>
  <c r="Q9" i="37" s="1"/>
  <c r="I21" i="37"/>
  <c r="Q20" i="37"/>
  <c r="I20" i="37"/>
  <c r="Q19" i="37"/>
  <c r="I19" i="37"/>
  <c r="I18" i="37"/>
  <c r="Q17" i="37"/>
  <c r="I17" i="37"/>
  <c r="Q16" i="37"/>
  <c r="Q8" i="37" s="1"/>
  <c r="I16" i="37"/>
  <c r="Q15" i="37"/>
  <c r="I15" i="37"/>
  <c r="I14" i="37"/>
  <c r="I13" i="37"/>
  <c r="I12" i="37"/>
  <c r="I11" i="37"/>
  <c r="I10" i="37"/>
  <c r="P9" i="37"/>
  <c r="O9" i="37"/>
  <c r="N9" i="37"/>
  <c r="M9" i="37"/>
  <c r="L9" i="37"/>
  <c r="K9" i="37"/>
  <c r="J9" i="37"/>
  <c r="G9" i="37"/>
  <c r="F9" i="37"/>
  <c r="I9" i="37" s="1"/>
  <c r="C9" i="37"/>
  <c r="P8" i="37"/>
  <c r="O8" i="37"/>
  <c r="N8" i="37"/>
  <c r="M8" i="37"/>
  <c r="L8" i="37"/>
  <c r="K8" i="37"/>
  <c r="J8" i="37"/>
  <c r="G8" i="37"/>
  <c r="F8" i="37"/>
  <c r="I8" i="37" s="1"/>
  <c r="C8" i="37"/>
  <c r="P7" i="37"/>
  <c r="O7" i="37"/>
  <c r="N7" i="37"/>
  <c r="N6" i="37" s="1"/>
  <c r="N34" i="37" s="1"/>
  <c r="M7" i="37"/>
  <c r="L7" i="37"/>
  <c r="K7" i="37"/>
  <c r="K6" i="37" s="1"/>
  <c r="J7" i="37"/>
  <c r="G7" i="37"/>
  <c r="F7" i="37"/>
  <c r="C7" i="37"/>
  <c r="K34" i="37"/>
  <c r="E34" i="37"/>
  <c r="C13" i="79" s="1"/>
  <c r="D34" i="37"/>
  <c r="C26" i="79"/>
  <c r="C22" i="79"/>
  <c r="C8" i="79"/>
  <c r="G6" i="37" l="1"/>
  <c r="G34" i="37" s="1"/>
  <c r="C11" i="79" s="1"/>
  <c r="F6" i="37"/>
  <c r="F34" i="37" s="1"/>
  <c r="I34" i="37" s="1"/>
  <c r="C12" i="79" s="1"/>
  <c r="Q14" i="37"/>
  <c r="Q7" i="37"/>
  <c r="Q6" i="37" s="1"/>
  <c r="Q34" i="37" s="1"/>
  <c r="I7" i="37"/>
  <c r="I6" i="37" s="1"/>
  <c r="J6" i="37"/>
  <c r="J34" i="37" s="1"/>
  <c r="C6" i="37"/>
  <c r="C34" i="37" s="1"/>
  <c r="L6" i="37"/>
  <c r="L34" i="37" s="1"/>
  <c r="M6" i="37"/>
  <c r="M34" i="37" s="1"/>
  <c r="Q18" i="37"/>
  <c r="O6" i="37"/>
  <c r="O34" i="37" s="1"/>
  <c r="Q30" i="37"/>
  <c r="P6" i="37"/>
  <c r="P34" i="37" s="1"/>
  <c r="Q22" i="37"/>
  <c r="C14" i="79" l="1"/>
  <c r="C10" i="79"/>
  <c r="H8" i="74"/>
  <c r="G38" i="94"/>
  <c r="F38" i="94"/>
  <c r="C32" i="79" l="1"/>
  <c r="D38" i="94"/>
  <c r="C34" i="79" l="1"/>
  <c r="B2" i="106"/>
  <c r="B1" i="106"/>
  <c r="B1" i="105"/>
  <c r="B2" i="105"/>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C18" i="99" l="1"/>
  <c r="D15" i="98"/>
  <c r="C15" i="98"/>
  <c r="H34" i="97"/>
  <c r="H21" i="96"/>
  <c r="H22" i="95"/>
  <c r="C62" i="69"/>
  <c r="C58" i="69"/>
  <c r="C46" i="69"/>
  <c r="C40" i="69"/>
  <c r="C29" i="69"/>
  <c r="C26" i="69"/>
  <c r="C23" i="69"/>
  <c r="C18" i="69"/>
  <c r="C14" i="69"/>
  <c r="C6" i="69"/>
  <c r="D8" i="72"/>
  <c r="E8" i="72"/>
  <c r="D16" i="72"/>
  <c r="E16" i="72"/>
  <c r="D20" i="72"/>
  <c r="E20" i="72"/>
  <c r="D25" i="72"/>
  <c r="E25" i="72"/>
  <c r="D28" i="72"/>
  <c r="E28" i="72"/>
  <c r="D31" i="72"/>
  <c r="E31" i="72"/>
  <c r="C31" i="72"/>
  <c r="C28" i="72"/>
  <c r="C25" i="72"/>
  <c r="C20" i="72"/>
  <c r="C16" i="72"/>
  <c r="C8" i="72"/>
  <c r="C67" i="69" l="1"/>
  <c r="C52" i="69"/>
  <c r="C35" i="69"/>
  <c r="D37" i="72"/>
  <c r="E37" i="72"/>
  <c r="C37" i="72"/>
  <c r="H43" i="94"/>
  <c r="E43" i="94"/>
  <c r="H42" i="94"/>
  <c r="E42" i="94"/>
  <c r="H41" i="94"/>
  <c r="E41" i="94"/>
  <c r="H40" i="94"/>
  <c r="E40" i="94"/>
  <c r="H39" i="94"/>
  <c r="E39" i="94"/>
  <c r="E38" i="94"/>
  <c r="H37" i="94"/>
  <c r="E37" i="94"/>
  <c r="H36" i="94"/>
  <c r="E36" i="94"/>
  <c r="H35" i="94"/>
  <c r="E35" i="94"/>
  <c r="H34" i="94"/>
  <c r="E34" i="94"/>
  <c r="H33" i="94"/>
  <c r="E33" i="94"/>
  <c r="H32" i="94"/>
  <c r="E32" i="94"/>
  <c r="H31" i="94"/>
  <c r="E31" i="94"/>
  <c r="G30" i="94"/>
  <c r="F30"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C17" i="94"/>
  <c r="H16" i="94"/>
  <c r="E16" i="94"/>
  <c r="H15" i="94"/>
  <c r="E15" i="94"/>
  <c r="G14" i="94"/>
  <c r="F14" i="94"/>
  <c r="H13" i="94"/>
  <c r="E13" i="94"/>
  <c r="H12" i="94"/>
  <c r="E12" i="94"/>
  <c r="G11" i="94"/>
  <c r="F11" i="94"/>
  <c r="D11" i="94"/>
  <c r="C11" i="94"/>
  <c r="H10" i="94"/>
  <c r="E10" i="94"/>
  <c r="H9" i="94"/>
  <c r="E9" i="94"/>
  <c r="G8" i="94"/>
  <c r="F8" i="94"/>
  <c r="D8" i="94"/>
  <c r="C8" i="94"/>
  <c r="H7" i="94"/>
  <c r="E7" i="94"/>
  <c r="H6" i="94"/>
  <c r="E6" i="94"/>
  <c r="H44" i="93"/>
  <c r="E44" i="93"/>
  <c r="H42" i="93"/>
  <c r="E42" i="93"/>
  <c r="H41" i="93"/>
  <c r="E41" i="93"/>
  <c r="H40" i="93"/>
  <c r="E40" i="93"/>
  <c r="H39" i="93"/>
  <c r="E39" i="93"/>
  <c r="H38" i="93"/>
  <c r="E38" i="93"/>
  <c r="G37" i="93"/>
  <c r="F37" i="93"/>
  <c r="D37" i="93"/>
  <c r="C37" i="93"/>
  <c r="H36" i="93"/>
  <c r="E36" i="93"/>
  <c r="H35" i="93"/>
  <c r="E35" i="93"/>
  <c r="G34" i="93"/>
  <c r="F34" i="93"/>
  <c r="D34" i="93"/>
  <c r="C34" i="93"/>
  <c r="H33" i="93"/>
  <c r="E33" i="93"/>
  <c r="H32" i="93"/>
  <c r="E32" i="93"/>
  <c r="H31" i="93"/>
  <c r="E31" i="93"/>
  <c r="H30" i="93"/>
  <c r="E30" i="93"/>
  <c r="G29" i="93"/>
  <c r="F29"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D13" i="93"/>
  <c r="C13" i="93"/>
  <c r="H12" i="93"/>
  <c r="E12" i="93"/>
  <c r="H11" i="93"/>
  <c r="E11" i="93"/>
  <c r="H10" i="93"/>
  <c r="E10" i="93"/>
  <c r="H9" i="93"/>
  <c r="E9" i="93"/>
  <c r="H8" i="93"/>
  <c r="E8" i="93"/>
  <c r="H7" i="93"/>
  <c r="E7" i="93"/>
  <c r="G6" i="93"/>
  <c r="F6" i="93"/>
  <c r="D6" i="93"/>
  <c r="C6" i="93"/>
  <c r="G68" i="92"/>
  <c r="F68" i="92"/>
  <c r="H67" i="92"/>
  <c r="E67" i="92"/>
  <c r="H66" i="92"/>
  <c r="E66" i="92"/>
  <c r="H65" i="92"/>
  <c r="E65" i="92"/>
  <c r="H64" i="92"/>
  <c r="E64" i="92"/>
  <c r="H63" i="92"/>
  <c r="D63" i="92"/>
  <c r="C63" i="92"/>
  <c r="H62" i="92"/>
  <c r="E62" i="92"/>
  <c r="H61" i="92"/>
  <c r="E61" i="92"/>
  <c r="H60" i="92"/>
  <c r="E60" i="92"/>
  <c r="H59" i="92"/>
  <c r="D59" i="92"/>
  <c r="C59" i="92"/>
  <c r="H58" i="92"/>
  <c r="E58" i="92"/>
  <c r="H57" i="92"/>
  <c r="E57" i="92"/>
  <c r="H56" i="92"/>
  <c r="E56" i="92"/>
  <c r="H55" i="92"/>
  <c r="E55" i="92"/>
  <c r="H52" i="92"/>
  <c r="E52" i="92"/>
  <c r="H51" i="92"/>
  <c r="E51" i="92"/>
  <c r="H50" i="92"/>
  <c r="E50" i="92"/>
  <c r="H49" i="92"/>
  <c r="E49" i="92"/>
  <c r="H48" i="92"/>
  <c r="E48" i="92"/>
  <c r="G47" i="92"/>
  <c r="F47" i="92"/>
  <c r="D47" i="92"/>
  <c r="C47" i="92"/>
  <c r="H46" i="92"/>
  <c r="E46" i="92"/>
  <c r="H45" i="92"/>
  <c r="E45" i="92"/>
  <c r="H44" i="92"/>
  <c r="E44" i="92"/>
  <c r="H43" i="92"/>
  <c r="E43" i="92"/>
  <c r="H42" i="92"/>
  <c r="E42" i="92"/>
  <c r="G41" i="92"/>
  <c r="F41" i="92"/>
  <c r="D41" i="92"/>
  <c r="C41" i="92"/>
  <c r="H40" i="92"/>
  <c r="E40" i="92"/>
  <c r="H39" i="92"/>
  <c r="E39" i="92"/>
  <c r="H38" i="92"/>
  <c r="E38" i="92"/>
  <c r="H35" i="92"/>
  <c r="E35" i="92"/>
  <c r="H34" i="92"/>
  <c r="E34" i="92"/>
  <c r="H33" i="92"/>
  <c r="E33" i="92"/>
  <c r="H32" i="92"/>
  <c r="E32" i="92"/>
  <c r="H31" i="92"/>
  <c r="E31" i="92"/>
  <c r="G30" i="92"/>
  <c r="F30" i="92"/>
  <c r="D30" i="92"/>
  <c r="C30" i="92"/>
  <c r="H29" i="92"/>
  <c r="E29" i="92"/>
  <c r="H28" i="92"/>
  <c r="E28" i="92"/>
  <c r="G27" i="92"/>
  <c r="F27" i="92"/>
  <c r="D27" i="92"/>
  <c r="C27" i="92"/>
  <c r="H26" i="92"/>
  <c r="E26" i="92"/>
  <c r="H25" i="92"/>
  <c r="E25" i="92"/>
  <c r="G24" i="92"/>
  <c r="F24" i="92"/>
  <c r="D24" i="92"/>
  <c r="C24" i="92"/>
  <c r="H23" i="92"/>
  <c r="E23" i="92"/>
  <c r="H22" i="92"/>
  <c r="E22" i="92"/>
  <c r="H21" i="92"/>
  <c r="E21" i="92"/>
  <c r="H20" i="92"/>
  <c r="E20" i="92"/>
  <c r="G19" i="92"/>
  <c r="F19" i="92"/>
  <c r="D19" i="92"/>
  <c r="C19" i="92"/>
  <c r="H18" i="92"/>
  <c r="E18" i="92"/>
  <c r="H17" i="92"/>
  <c r="E17" i="92"/>
  <c r="H16" i="92"/>
  <c r="E16" i="92"/>
  <c r="G15" i="92"/>
  <c r="F15" i="92"/>
  <c r="D15" i="92"/>
  <c r="C15" i="92"/>
  <c r="H14" i="92"/>
  <c r="E14" i="92"/>
  <c r="H13" i="92"/>
  <c r="E13" i="92"/>
  <c r="H12" i="92"/>
  <c r="E12" i="92"/>
  <c r="H11" i="92"/>
  <c r="E11" i="92"/>
  <c r="H10" i="92"/>
  <c r="E10" i="92"/>
  <c r="H9" i="92"/>
  <c r="E9" i="92"/>
  <c r="H8" i="92"/>
  <c r="E8" i="92"/>
  <c r="G7" i="92"/>
  <c r="F7" i="92"/>
  <c r="D7" i="92"/>
  <c r="C7" i="92"/>
  <c r="H19" i="92" l="1"/>
  <c r="E30" i="92"/>
  <c r="H15" i="92"/>
  <c r="E24" i="92"/>
  <c r="H7" i="92"/>
  <c r="C68" i="69"/>
  <c r="H30" i="94"/>
  <c r="C14" i="94"/>
  <c r="D14" i="94"/>
  <c r="H34" i="93"/>
  <c r="E34" i="93"/>
  <c r="H29" i="93"/>
  <c r="H13" i="93"/>
  <c r="E13" i="93"/>
  <c r="F43" i="93"/>
  <c r="E63" i="92"/>
  <c r="D68" i="92"/>
  <c r="C68" i="92"/>
  <c r="H47" i="92"/>
  <c r="E47" i="92"/>
  <c r="H41" i="92"/>
  <c r="E41" i="92"/>
  <c r="H30" i="92"/>
  <c r="H27" i="92"/>
  <c r="E15" i="92"/>
  <c r="G43" i="93"/>
  <c r="G36" i="92"/>
  <c r="C36" i="92"/>
  <c r="F36" i="92"/>
  <c r="H37" i="93"/>
  <c r="E59" i="92"/>
  <c r="C43" i="93"/>
  <c r="D36" i="92"/>
  <c r="E6" i="93"/>
  <c r="D53" i="92"/>
  <c r="G53" i="92"/>
  <c r="E19" i="92"/>
  <c r="E27" i="92"/>
  <c r="E29" i="93"/>
  <c r="E37" i="93"/>
  <c r="H8" i="94"/>
  <c r="E8" i="94"/>
  <c r="H38" i="94"/>
  <c r="E30" i="94"/>
  <c r="E11" i="94"/>
  <c r="E17" i="94"/>
  <c r="H11" i="94"/>
  <c r="H14" i="94"/>
  <c r="H6" i="93"/>
  <c r="D43" i="93"/>
  <c r="C53" i="92"/>
  <c r="H68" i="92"/>
  <c r="F53" i="92"/>
  <c r="E7" i="92"/>
  <c r="H24" i="92"/>
  <c r="G69" i="92" l="1"/>
  <c r="H36" i="92"/>
  <c r="E14" i="94"/>
  <c r="F69" i="92"/>
  <c r="C45" i="93"/>
  <c r="D45" i="93"/>
  <c r="F45" i="93"/>
  <c r="H43" i="93"/>
  <c r="G45" i="93"/>
  <c r="E68" i="92"/>
  <c r="H69" i="92"/>
  <c r="H53" i="92"/>
  <c r="D69" i="92"/>
  <c r="E36" i="92"/>
  <c r="E43" i="93"/>
  <c r="C69" i="92"/>
  <c r="E53" i="92"/>
  <c r="E45" i="93" l="1"/>
  <c r="H45" i="93"/>
  <c r="E69" i="92"/>
  <c r="B1" i="80"/>
  <c r="G14" i="80"/>
  <c r="F14" i="80"/>
  <c r="E14" i="80"/>
  <c r="D14" i="80"/>
  <c r="C14" i="80"/>
  <c r="G11" i="80"/>
  <c r="F11" i="80"/>
  <c r="E11" i="80"/>
  <c r="D11" i="80"/>
  <c r="C11" i="80"/>
  <c r="G8" i="80"/>
  <c r="F8" i="80"/>
  <c r="E8" i="80"/>
  <c r="D8" i="80"/>
  <c r="C8" i="80"/>
  <c r="G37" i="80" l="1"/>
  <c r="G21" i="80"/>
  <c r="G6" i="71"/>
  <c r="F6" i="71"/>
  <c r="E6" i="71"/>
  <c r="D6" i="71"/>
  <c r="C6" i="71"/>
  <c r="G39" i="80" l="1"/>
  <c r="D13" i="71"/>
  <c r="E13" i="71"/>
  <c r="F13" i="71"/>
  <c r="G13" i="71"/>
  <c r="C13" i="71"/>
  <c r="B1" i="79"/>
  <c r="B1" i="36"/>
  <c r="B1" i="74"/>
  <c r="B1" i="64"/>
  <c r="B1" i="35"/>
  <c r="B1" i="69"/>
  <c r="B1" i="77"/>
  <c r="B1" i="28"/>
  <c r="B1" i="73"/>
  <c r="B1" i="72"/>
  <c r="B1" i="52"/>
  <c r="B1" i="71"/>
  <c r="B1" i="6"/>
  <c r="B18" i="105" l="1"/>
  <c r="C21" i="77"/>
  <c r="D16" i="77"/>
  <c r="D17" i="77"/>
  <c r="D15" i="77"/>
  <c r="D12" i="77"/>
  <c r="D13" i="77"/>
  <c r="D11" i="77"/>
  <c r="D8" i="77"/>
  <c r="D9" i="77"/>
  <c r="D7" i="77"/>
  <c r="C20" i="77"/>
  <c r="C19" i="77"/>
  <c r="D21" i="77" l="1"/>
  <c r="D19" i="77"/>
  <c r="D20" i="77"/>
  <c r="H14" i="74" l="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V7" i="64" l="1"/>
  <c r="H13" i="74"/>
  <c r="H17" i="74"/>
  <c r="H21" i="74"/>
  <c r="T21" i="64" l="1"/>
  <c r="U21" i="64"/>
  <c r="V9" i="64"/>
  <c r="D22" i="74" l="1"/>
  <c r="E22" i="74"/>
  <c r="H22" i="74" l="1"/>
  <c r="C8" i="73"/>
  <c r="C44" i="28"/>
  <c r="C13" i="73" l="1"/>
  <c r="C32" i="28"/>
  <c r="C31" i="28" l="1"/>
  <c r="C21" i="64"/>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36" i="28"/>
  <c r="C12" i="28"/>
  <c r="C42" i="28" l="1"/>
  <c r="C53" i="28"/>
  <c r="B10" i="105"/>
  <c r="B9" i="105"/>
  <c r="C6" i="28"/>
  <c r="C29" i="28" l="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8" i="105" l="1"/>
  <c r="B7" i="105" s="1"/>
  <c r="C5" i="71"/>
  <c r="E5" i="71"/>
  <c r="F5" i="71"/>
  <c r="D5" i="71"/>
  <c r="B6" i="105" l="1"/>
  <c r="B16" i="105"/>
  <c r="B14" i="105" s="1"/>
  <c r="B21" i="105" l="1"/>
  <c r="B23" i="105"/>
  <c r="B22" i="10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<sst xmlns="http://schemas.openxmlformats.org/spreadsheetml/2006/main" count="1643" uniqueCount="1032">
  <si>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</si>
  <si>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</si>
  <si>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</si>
  <si>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</si>
  <si>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</si>
  <si>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</si>
  <si>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</si>
  <si>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</si>
  <si>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</si>
  <si>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</si>
  <si>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</si>
  <si>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</si>
  <si>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</si>
  <si>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</si>
  <si>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</si>
  <si>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</si>
  <si>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</si>
  <si>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</si>
  <si>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</si>
  <si>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</si>
  <si>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</si>
  <si>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</si>
  <si>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</si>
  <si>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</si>
  <si>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</si>
  <si>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</si>
  <si>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</si>
  <si>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</si>
  <si>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</si>
  <si>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</si>
  <si>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</si>
  <si>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</si>
  <si>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</si>
  <si>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</si>
  <si>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</si>
  <si>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</si>
  <si>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</si>
  <si>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</si>
  <si>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</si>
  <si>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</si>
  <si>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</si>
  <si>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</si>
  <si>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</si>
  <si>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</si>
  <si>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</si>
  <si>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</si>
  <si>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</si>
  <si>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</si>
  <si>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</si>
  <si>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</si>
  <si>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</si>
  <si>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</si>
  <si>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</si>
  <si>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</si>
  <si>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</si>
  <si>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</si>
  <si>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</si>
  <si>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</si>
  <si>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</si>
  <si>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</si>
  <si>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</si>
  <si>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</si>
  <si>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</si>
  <si>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</si>
  <si>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</si>
  <si>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</si>
  <si>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</si>
  <si>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</si>
  <si>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</si>
  <si>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</si>
  <si>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</si>
  <si>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</si>
  <si>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</si>
  <si>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</si>
  <si>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</si>
  <si>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</si>
  <si>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</si>
  <si>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</si>
  <si>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</si>
  <si>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</si>
  <si>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</si>
  <si>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</si>
  <si>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</si>
  <si>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</si>
  <si>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</si>
  <si>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</si>
  <si>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</si>
  <si>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</si>
  <si>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</si>
  <si>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</si>
  <si>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</si>
  <si>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</si>
  <si>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</si>
  <si>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</si>
  <si>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</si>
  <si>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</si>
  <si>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</si>
  <si>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</si>
  <si>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</si>
  <si>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</si>
  <si>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</si>
  <si>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</si>
  <si>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</si>
  <si>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</si>
  <si>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</si>
  <si>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</si>
  <si>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</si>
  <si>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</si>
  <si>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</si>
  <si>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</si>
  <si>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</si>
  <si>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</si>
  <si>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</si>
  <si>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</si>
  <si>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</si>
  <si>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</si>
  <si>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</si>
  <si>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</si>
  <si>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</si>
  <si>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</si>
  <si>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</si>
  <si>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</si>
  <si>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</si>
  <si>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</si>
  <si>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</si>
  <si>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</si>
  <si>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</si>
  <si>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</si>
  <si>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</si>
  <si>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</si>
  <si>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</si>
  <si>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</si>
  <si>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</si>
  <si>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</si>
  <si>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</si>
  <si>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</si>
  <si>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</si>
  <si>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</si>
  <si>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</si>
  <si>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</si>
  <si>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</si>
  <si>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</si>
  <si>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</si>
  <si>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</si>
  <si>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</si>
  <si>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</si>
  <si>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</si>
  <si>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</si>
  <si>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</si>
  <si>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</si>
  <si>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</si>
  <si>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</si>
  <si>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</si>
  <si>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</si>
  <si>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</si>
  <si>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</si>
  <si>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</si>
  <si>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</si>
  <si>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</si>
  <si>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</si>
  <si>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</si>
  <si>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</si>
  <si>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</si>
  <si>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</si>
  <si>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</si>
  <si>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</si>
  <si>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</si>
  <si>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</si>
  <si>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</si>
  <si>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</si>
  <si>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</si>
  <si>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</si>
  <si>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</si>
  <si>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</si>
  <si>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</si>
  <si>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</si>
  <si>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</si>
  <si>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</si>
  <si>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</si>
  <si>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</si>
  <si>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</si>
  <si>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</si>
  <si>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</si>
  <si>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</si>
  <si>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</si>
  <si>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</si>
  <si>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</si>
  <si>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</si>
  <si>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</si>
  <si>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</si>
  <si>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</si>
  <si>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</si>
  <si>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</si>
  <si>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</si>
  <si>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</si>
  <si>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</si>
  <si>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</si>
  <si>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</si>
  <si>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</si>
  <si>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</si>
  <si>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</si>
  <si>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</si>
  <si>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</si>
  <si>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</si>
  <si>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</si>
  <si>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</si>
  <si>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</si>
  <si>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</si>
  <si>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</si>
  <si>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</si>
  <si>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</si>
  <si>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</si>
  <si>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</si>
  <si>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</si>
  <si>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</si>
  <si>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</si>
  <si>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</si>
  <si>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</si>
  <si>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</si>
  <si>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</si>
  <si>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</si>
  <si>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</si>
  <si>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</si>
  <si>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</si>
  <si>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</si>
  <si>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</si>
  <si>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</si>
  <si>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</si>
  <si>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</si>
  <si>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</si>
  <si>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</si>
  <si>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</si>
  <si>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</si>
  <si>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</si>
  <si>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</si>
  <si>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</si>
  <si>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</si>
  <si>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</si>
  <si>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</si>
  <si>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</si>
  <si>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</si>
  <si>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</si>
  <si>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</si>
  <si>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</si>
  <si>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</si>
  <si>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</si>
  <si>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</si>
  <si>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</si>
  <si>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</si>
  <si>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</si>
  <si>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</si>
  <si>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</si>
  <si>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</si>
  <si>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</si>
  <si>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</si>
  <si>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</si>
  <si>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</si>
  <si>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</si>
  <si>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</si>
  <si>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</si>
  <si>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</si>
  <si>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</si>
  <si>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</si>
  <si>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</si>
  <si>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</si>
  <si>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</si>
  <si>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</si>
  <si>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</si>
  <si>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</si>
  <si>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</si>
  <si>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</si>
  <si>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</si>
  <si>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</si>
  <si>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</si>
  <si>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</si>
  <si>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</si>
  <si>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</si>
  <si>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</si>
  <si>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</si>
  <si>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</si>
  <si>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</si>
  <si>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</si>
  <si>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</si>
  <si>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</si>
  <si>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</si>
  <si>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</si>
  <si>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</si>
  <si>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</si>
  <si>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</si>
  <si>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</si>
  <si>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</si>
  <si>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</si>
  <si>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</si>
  <si>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</si>
  <si>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</si>
  <si>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</si>
  <si>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</si>
  <si>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</si>
  <si>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</si>
  <si>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</si>
  <si>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</si>
  <si>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</si>
  <si>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</si>
  <si>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</si>
  <si>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</si>
  <si>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</si>
  <si>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</si>
  <si>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</si>
  <si>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</si>
  <si>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</si>
  <si>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</si>
  <si>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</si>
  <si>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</si>
  <si>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</si>
  <si>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</si>
  <si>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</si>
  <si>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</si>
  <si>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</si>
  <si>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</si>
  <si>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</si>
  <si>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</si>
  <si>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</si>
  <si>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</si>
  <si>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</si>
  <si>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</si>
  <si>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</si>
  <si>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</si>
  <si>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</si>
  <si>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</si>
  <si>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</si>
  <si>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</si>
  <si>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</si>
  <si>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</si>
  <si>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</si>
  <si>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</si>
  <si>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</si>
  <si>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</si>
  <si>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</si>
  <si>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</si>
  <si>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</si>
  <si>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</si>
  <si>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</si>
  <si>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</si>
  <si>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</si>
  <si>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</si>
  <si>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</si>
  <si>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</si>
  <si>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</si>
  <si>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</si>
  <si>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</si>
  <si>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</si>
  <si>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</si>
  <si>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</si>
  <si>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</si>
  <si>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</si>
  <si>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</si>
  <si>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</si>
  <si>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</si>
  <si>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</si>
  <si>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</si>
  <si>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</si>
  <si>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</si>
  <si>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</si>
  <si>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</si>
  <si>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</si>
  <si>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</si>
  <si>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</si>
  <si>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</si>
  <si>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</si>
  <si>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</si>
  <si>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</si>
  <si>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</si>
  <si>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</si>
  <si>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</si>
  <si>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</si>
  <si>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</si>
  <si>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</si>
  <si>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</si>
  <si>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</si>
  <si>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</si>
  <si>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</si>
  <si>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</si>
  <si>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</si>
  <si>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</si>
  <si>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</si>
  <si>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</si>
  <si>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</si>
  <si>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</si>
  <si>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</si>
  <si>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</si>
  <si>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</si>
  <si>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</si>
  <si>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</si>
  <si>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</si>
  <si>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</si>
  <si>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</si>
  <si>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</si>
  <si>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</si>
  <si>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</si>
  <si>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</si>
  <si>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</si>
  <si>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</si>
  <si>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</si>
  <si>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</si>
  <si>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</si>
  <si>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</si>
  <si>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</si>
  <si>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</si>
  <si>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</si>
  <si>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</si>
  <si>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</si>
  <si>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</si>
  <si>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</si>
  <si>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</si>
  <si>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</si>
  <si>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</si>
  <si>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</si>
  <si>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</si>
  <si>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</si>
  <si>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</si>
  <si>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</si>
  <si>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</si>
  <si>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</si>
  <si>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</si>
  <si>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</si>
  <si>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</si>
  <si>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</si>
  <si>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</si>
  <si>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</si>
  <si>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</si>
  <si>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</si>
  <si>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</si>
  <si>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</si>
  <si>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</si>
  <si>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</si>
  <si>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</si>
  <si>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</si>
  <si>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</si>
  <si>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</si>
  <si>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</si>
  <si>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</si>
  <si>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</si>
  <si>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</si>
  <si>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</si>
  <si>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</si>
  <si>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</si>
  <si>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</si>
  <si>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</si>
  <si>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</si>
  <si>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</si>
  <si>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</si>
  <si>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</si>
  <si>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</si>
  <si>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</si>
  <si>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</si>
  <si>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</si>
  <si>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</si>
  <si>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</si>
  <si>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</si>
  <si>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</si>
  <si>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</si>
  <si>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</si>
  <si>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</si>
  <si>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</si>
  <si>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</si>
  <si>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</si>
  <si>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</si>
  <si>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</si>
  <si>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</si>
  <si>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</si>
  <si>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</si>
  <si>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</si>
  <si>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</si>
  <si>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</si>
  <si>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</si>
  <si>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</si>
  <si>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</si>
  <si>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</si>
  <si>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</si>
  <si>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</si>
  <si>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</si>
  <si>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</si>
  <si>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</si>
  <si>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</si>
  <si>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</si>
  <si>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</si>
  <si>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</si>
  <si>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</si>
  <si>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</si>
  <si>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</si>
  <si>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</si>
  <si>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</si>
  <si>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</si>
  <si>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</si>
  <si>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</si>
  <si>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</si>
  <si>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</si>
  <si>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</si>
  <si>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</si>
  <si>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</si>
  <si>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</si>
  <si>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</si>
  <si>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</si>
  <si>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</si>
  <si>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</si>
  <si>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</si>
  <si>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</si>
  <si>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</si>
  <si>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</si>
  <si>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</si>
  <si>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</si>
  <si>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</si>
  <si>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</si>
  <si>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</si>
  <si>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</si>
  <si>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</si>
  <si>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</si>
  <si>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</si>
  <si>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</si>
  <si>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</si>
  <si>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</si>
  <si>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</si>
  <si>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</si>
  <si>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</si>
  <si>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</si>
  <si>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</si>
  <si>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</si>
  <si>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</si>
  <si>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</si>
  <si>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</si>
  <si>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</si>
  <si>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</si>
  <si>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</si>
  <si>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</si>
  <si>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</si>
  <si>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</si>
  <si>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</si>
  <si>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</si>
  <si>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</si>
  <si>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</si>
  <si>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</si>
  <si>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</si>
  <si>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</si>
  <si>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</si>
  <si>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</si>
  <si>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</si>
  <si>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</si>
  <si>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</si>
  <si>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</si>
  <si>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</si>
  <si>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</si>
  <si>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</si>
  <si>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</si>
  <si>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</si>
  <si>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</si>
  <si>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</si>
  <si>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</si>
  <si>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</si>
  <si>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</si>
  <si>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</si>
  <si>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</si>
  <si>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</si>
  <si>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</si>
  <si>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</si>
  <si>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</si>
  <si>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</si>
  <si>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</si>
  <si>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</si>
  <si>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</si>
  <si>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</si>
  <si>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</si>
  <si>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</si>
  <si>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</si>
  <si>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</si>
  <si>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</si>
  <si>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</si>
  <si>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</si>
  <si>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</si>
  <si>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</si>
  <si>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</si>
  <si>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</si>
  <si>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</si>
  <si>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</si>
  <si>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</si>
  <si>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</si>
  <si>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</si>
  <si>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</si>
  <si>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</si>
  <si>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</si>
  <si>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</si>
  <si>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</si>
  <si>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</si>
  <si>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</si>
  <si>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</si>
  <si>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</si>
  <si>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</si>
  <si>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</si>
  <si>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</si>
  <si>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</si>
  <si>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</si>
  <si>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</si>
  <si>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</si>
  <si>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</si>
  <si>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</si>
  <si>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</si>
  <si>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</si>
  <si>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</si>
  <si>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</si>
  <si>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</si>
  <si>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</si>
  <si>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</si>
  <si>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</si>
  <si>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</si>
  <si>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</si>
  <si>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</si>
  <si>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</si>
  <si>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</si>
  <si>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</si>
  <si>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</si>
  <si>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</si>
  <si>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</si>
  <si>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</si>
  <si>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</si>
  <si>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</si>
  <si>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</si>
  <si>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</si>
  <si>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</si>
  <si>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</si>
  <si>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</si>
  <si>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</si>
  <si>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</si>
  <si>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</si>
  <si>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</si>
  <si>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</si>
  <si>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</si>
  <si>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</si>
  <si>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</si>
  <si>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</si>
  <si>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</si>
  <si>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</si>
  <si>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</si>
  <si>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</si>
  <si>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</si>
  <si>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</si>
  <si>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</si>
  <si>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</si>
  <si>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</si>
  <si>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</si>
  <si>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</si>
  <si>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</si>
  <si>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</si>
  <si>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</si>
  <si>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</si>
  <si>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</si>
  <si>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</si>
  <si>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</si>
  <si>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</si>
  <si>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</si>
  <si>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</si>
  <si>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</si>
  <si>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</si>
  <si>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</si>
  <si>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</si>
  <si>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</si>
  <si>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</si>
  <si>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</si>
  <si>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</si>
  <si>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</si>
  <si>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</si>
  <si>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</si>
  <si>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</si>
  <si>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</si>
  <si>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</si>
  <si>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</si>
  <si>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</si>
  <si>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</si>
  <si>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</si>
  <si>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</si>
  <si>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</si>
  <si>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</si>
  <si>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</si>
  <si>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</si>
  <si>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</si>
  <si>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</si>
  <si>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</si>
  <si>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</si>
  <si>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</si>
  <si>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</si>
  <si>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</si>
  <si>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</si>
  <si>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</si>
  <si>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</si>
  <si>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</si>
  <si>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</si>
  <si>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</si>
  <si>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</si>
  <si>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</si>
  <si>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</si>
  <si>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</si>
  <si>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</si>
  <si>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</si>
  <si>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</si>
  <si>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</si>
  <si>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</si>
  <si>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</si>
  <si>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</si>
  <si>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</si>
  <si>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</si>
  <si>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</si>
  <si>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</si>
  <si>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</si>
  <si>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</si>
  <si>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</si>
  <si>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</si>
  <si>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</si>
  <si>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</si>
  <si>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</si>
  <si>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</si>
  <si>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</si>
  <si>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</si>
  <si>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</si>
  <si>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</si>
  <si>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</si>
  <si>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</si>
  <si>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</si>
  <si>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</si>
  <si>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</si>
  <si>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</si>
  <si>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</si>
  <si>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</si>
  <si>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</si>
  <si>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</si>
  <si>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</si>
  <si>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</si>
  <si>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</si>
  <si>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</si>
  <si>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</si>
  <si>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</si>
  <si>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</si>
  <si>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</si>
  <si>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</si>
  <si>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</si>
  <si>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</si>
  <si>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</si>
  <si>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</si>
  <si>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</si>
  <si>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</si>
  <si>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</si>
  <si>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</si>
  <si>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</si>
  <si>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</si>
  <si>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</si>
  <si>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</si>
  <si>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</si>
  <si>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</si>
  <si>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</si>
  <si>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</si>
  <si>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</si>
  <si>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</si>
  <si>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</si>
  <si>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</si>
  <si>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</si>
  <si>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</si>
  <si>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</si>
  <si>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</si>
  <si>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</si>
  <si>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</si>
  <si>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</si>
  <si>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</si>
  <si>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</si>
  <si>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</si>
  <si>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</si>
  <si>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</si>
  <si>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</si>
  <si>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</si>
  <si>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</si>
  <si>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</si>
  <si>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</si>
  <si>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</si>
  <si>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</si>
  <si>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</si>
  <si>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</si>
  <si>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</si>
  <si>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</si>
  <si>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</si>
  <si>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</si>
  <si>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</si>
  <si>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</si>
  <si>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</si>
  <si>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</si>
  <si>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</si>
  <si>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</si>
  <si>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</si>
  <si>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</si>
  <si>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</si>
  <si>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</si>
  <si>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</si>
  <si>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</si>
  <si>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</si>
  <si>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</si>
  <si>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</si>
  <si>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</si>
  <si>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</si>
  <si>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</si>
  <si>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</si>
  <si>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</si>
  <si>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</si>
  <si>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</si>
  <si>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</si>
  <si>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</si>
  <si>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</si>
  <si>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</si>
  <si>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</si>
  <si>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</si>
  <si>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</si>
  <si>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</si>
  <si>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</si>
  <si>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</si>
  <si>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</si>
  <si>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</si>
  <si>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</si>
  <si>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</si>
  <si>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</si>
  <si>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</si>
  <si>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</si>
  <si>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</si>
  <si>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</si>
  <si>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</si>
  <si>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</si>
  <si>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</si>
  <si>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</si>
  <si>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</si>
  <si>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</si>
  <si>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</si>
  <si>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</si>
  <si>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</si>
  <si>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</si>
  <si>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</si>
  <si>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</si>
  <si>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</si>
  <si>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</si>
  <si>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</si>
  <si>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</si>
  <si>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</si>
  <si>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</si>
  <si>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</si>
  <si>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</si>
  <si>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</si>
  <si>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</si>
  <si>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</si>
  <si>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</si>
  <si>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</si>
  <si>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</si>
  <si>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</si>
  <si>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</si>
  <si>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</si>
  <si>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</si>
  <si>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</si>
  <si>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</si>
  <si>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</si>
  <si>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</si>
  <si>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</si>
  <si>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</si>
  <si>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</si>
  <si>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</si>
  <si>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</si>
  <si>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</si>
  <si>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</si>
  <si>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</si>
  <si>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</si>
  <si>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</si>
  <si>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</si>
  <si>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</si>
  <si>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</si>
  <si>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</si>
  <si>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</si>
  <si>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</si>
  <si>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</si>
  <si>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</si>
  <si>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</si>
  <si>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</si>
  <si>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</si>
  <si>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</si>
  <si>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</si>
  <si>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</si>
  <si>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</si>
  <si>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</si>
  <si>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</si>
  <si>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</si>
  <si>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</si>
  <si>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</si>
  <si>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</si>
  <si>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</si>
  <si>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</si>
  <si>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</si>
  <si>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</si>
  <si>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</si>
  <si>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</si>
  <si>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</si>
  <si>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</si>
  <si>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</si>
  <si>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</si>
  <si>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</si>
  <si>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</si>
  <si>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</si>
  <si>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</si>
  <si>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</si>
  <si>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</si>
  <si>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</si>
  <si>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</si>
  <si>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</si>
  <si>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</si>
  <si>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</si>
  <si>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</si>
  <si>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</si>
  <si>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</si>
  <si>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</si>
  <si>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</si>
  <si>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</si>
  <si>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</si>
  <si>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</si>
  <si>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</si>
  <si>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</si>
  <si>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</si>
  <si>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</si>
  <si>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</si>
  <si>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</si>
  <si>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</si>
  <si>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</si>
  <si>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</si>
  <si>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</si>
  <si>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</si>
  <si>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</si>
  <si>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</si>
  <si>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</si>
  <si>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</si>
  <si>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</si>
  <si>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</si>
  <si>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</si>
  <si>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</si>
  <si>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</si>
  <si>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</si>
  <si>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</si>
  <si>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</si>
  <si>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</si>
  <si>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</si>
  <si>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</si>
  <si>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</si>
  <si>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</si>
  <si>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</si>
  <si>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</si>
  <si>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</si>
  <si>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</si>
  <si>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</si>
  <si>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</si>
  <si>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</si>
  <si>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</si>
  <si>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</si>
  <si>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</si>
  <si>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</si>
  <si>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</si>
  <si>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</si>
  <si>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</si>
  <si>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</si>
  <si>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</si>
  <si>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</si>
  <si>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</si>
  <si>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</si>
  <si>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</si>
  <si>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</si>
  <si>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</si>
  <si>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</si>
  <si>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</si>
  <si>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</si>
  <si>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</si>
  <si>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</si>
  <si>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</si>
  <si>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</si>
  <si>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</si>
  <si>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</si>
  <si>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</si>
  <si>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</si>
  <si>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</si>
  <si>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</si>
  <si>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</si>
  <si>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</si>
  <si>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</si>
  <si>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</si>
  <si>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</si>
  <si>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</si>
  <si>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</si>
  <si>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</si>
  <si>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</si>
  <si>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</si>
  <si>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</si>
  <si>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</si>
  <si>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</si>
  <si>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</si>
  <si>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</si>
  <si>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</si>
  <si>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</si>
  <si>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</si>
  <si>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"ბანკი ქართუ"</t>
  </si>
  <si>
    <t>ნ. ხაინდრავა</t>
  </si>
  <si>
    <t>ზ.გელენიძე</t>
  </si>
  <si>
    <t>www.cartubank.ge</t>
  </si>
  <si>
    <t>ნატო ხაინდრავა</t>
  </si>
  <si>
    <t>არადამოუკიდებელი თავმჯდომარე</t>
  </si>
  <si>
    <t>ლაშა მეგრელიძე</t>
  </si>
  <si>
    <t>დამოუკიდებელი წევრი</t>
  </si>
  <si>
    <t xml:space="preserve">ბესიკ დემეტრაშვილი                                                                                  </t>
  </si>
  <si>
    <t>არადამოუკიდებელი წევრი</t>
  </si>
  <si>
    <t>ზაზა ვერძეული</t>
  </si>
  <si>
    <t xml:space="preserve">ირინა ქინქლაძე </t>
  </si>
  <si>
    <t>ზურაბ გელენიძე</t>
  </si>
  <si>
    <t>გენერალური დირექტორი</t>
  </si>
  <si>
    <t>გივი ლებანიძე</t>
  </si>
  <si>
    <t>გენერალური დირექტორის მოადგილე - ფინანსური დირექტორი</t>
  </si>
  <si>
    <t>ბექა კვარაცხელია</t>
  </si>
  <si>
    <t>გენერალური დირექტორის მოადგილე - რისკების დირექტორი</t>
  </si>
  <si>
    <t>ზურაბ გოგუა</t>
  </si>
  <si>
    <t>გენერალური დირექტორის მოადგილე - კომერციული დირექტორი</t>
  </si>
  <si>
    <t>გიორგი კორსანტია</t>
  </si>
  <si>
    <t>გენერალური დირექტორის მოადგილე - ინფორმაციული ტექნოლოგიების დირექტორი</t>
  </si>
  <si>
    <t>ვახტანგ მაჭავარიანი</t>
  </si>
  <si>
    <t>გენერალური დირექტორის მოადგილე - ოპერაციების დირექტორი</t>
  </si>
  <si>
    <t xml:space="preserve">ა(ა)იპ საერთაშორისო საქველმოქმედო ფონდი "ქართუ"                                                     </t>
  </si>
  <si>
    <t xml:space="preserve">უტა ივანიშვილი </t>
  </si>
  <si>
    <t>ცხრილი 9 (Capital), N28 &amp; N38</t>
  </si>
  <si>
    <t xml:space="preserve"> ცხრილი 9 (Capital), N2</t>
  </si>
  <si>
    <t>ცხრილი 9 (Capital), N27</t>
  </si>
  <si>
    <t xml:space="preserve"> ცხრილი 9 (Capital), N5 &amp;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</si>
</sst>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9"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41"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68"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0" applyNumberFormat="0" applyFill="0" applyAlignment="0" applyProtection="0"/>
    <xf numFmtId="169" fontId="55" fillId="0" borderId="40" applyNumberFormat="0" applyFill="0" applyAlignment="0" applyProtection="0"/>
    <xf numFmtId="0"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0" fontId="55" fillId="0" borderId="40" applyNumberFormat="0" applyFill="0" applyAlignment="0" applyProtection="0"/>
    <xf numFmtId="0" fontId="56" fillId="0" borderId="41" applyNumberFormat="0" applyFill="0" applyAlignment="0" applyProtection="0"/>
    <xf numFmtId="169"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7" fillId="0" borderId="42" applyNumberFormat="0" applyFill="0" applyAlignment="0" applyProtection="0"/>
    <xf numFmtId="169"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9"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0" fontId="66" fillId="42" borderId="37"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3"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0" fontId="69" fillId="0" borderId="43"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0" fontId="69"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4"/>
    <xf numFmtId="169" fontId="26" fillId="0" borderId="44"/>
    <xf numFmtId="168" fontId="26"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9"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9"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9"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25" fillId="0" borderId="48"/>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9"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9"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9"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68"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9"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cellStyleXfs>
  <cellXfs count="907">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5" xfId="0" applyFont="1" applyBorder="1"/>
    <xf numFmtId="0" fontId="12" fillId="0" borderId="0" xfId="0" applyFont="1"/>
    <xf numFmtId="0" fontId="9" fillId="0" borderId="0" xfId="0" applyFont="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0"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0" xfId="0" applyFont="1" applyBorder="1"/>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8"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Protection="1">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Alignment="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3" xfId="0" applyFont="1" applyBorder="1"/>
    <xf numFmtId="0" fontId="20" fillId="0" borderId="21" xfId="0" applyFont="1" applyBorder="1" applyAlignment="1">
      <alignment horizontal="center" vertical="center" wrapText="1"/>
    </xf>
    <xf numFmtId="0" fontId="4" fillId="0" borderId="54" xfId="0" applyFont="1" applyBorder="1"/>
    <xf numFmtId="0" fontId="7" fillId="0" borderId="15"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0" fontId="7" fillId="0" borderId="18"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8" xfId="9" applyFont="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67" fontId="23" fillId="0" borderId="59" xfId="0" applyNumberFormat="1" applyFont="1" applyBorder="1" applyAlignment="1">
      <alignment horizontal="center"/>
    </xf>
    <xf numFmtId="167" fontId="23" fillId="0" borderId="57" xfId="0" applyNumberFormat="1" applyFont="1" applyBorder="1" applyAlignment="1">
      <alignment horizontal="center"/>
    </xf>
    <xf numFmtId="167" fontId="19" fillId="0" borderId="57" xfId="0" applyNumberFormat="1" applyFont="1" applyBorder="1" applyAlignment="1">
      <alignment horizontal="center"/>
    </xf>
    <xf numFmtId="167" fontId="23" fillId="0" borderId="60" xfId="0" applyNumberFormat="1" applyFont="1" applyBorder="1" applyAlignment="1">
      <alignment horizontal="center"/>
    </xf>
    <xf numFmtId="167" fontId="23" fillId="0" borderId="61"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2" xfId="0" applyFont="1" applyBorder="1"/>
    <xf numFmtId="0" fontId="4" fillId="0" borderId="16" xfId="0" applyFont="1" applyBorder="1"/>
    <xf numFmtId="0" fontId="4" fillId="0" borderId="21" xfId="0" applyFont="1" applyBorder="1"/>
    <xf numFmtId="0" fontId="7" fillId="3" borderId="18" xfId="5" applyFont="1" applyFill="1" applyBorder="1" applyAlignment="1" applyProtection="1">
      <alignment horizontal="right" vertical="center"/>
      <protection locked="0"/>
    </xf>
    <xf numFmtId="0" fontId="15" fillId="3" borderId="22" xfId="16" applyFont="1" applyFill="1" applyBorder="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102" fillId="0" borderId="3" xfId="0" applyFont="1" applyBorder="1"/>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6"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7" xfId="0" applyFont="1" applyFill="1" applyBorder="1" applyAlignment="1">
      <alignment wrapText="1"/>
    </xf>
    <xf numFmtId="0" fontId="15" fillId="0" borderId="0" xfId="11" applyFont="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8"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1"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75" xfId="0" applyNumberFormat="1" applyFont="1" applyBorder="1" applyAlignment="1">
      <alignment horizontal="right" vertical="center"/>
    </xf>
    <xf numFmtId="49" fontId="106" fillId="0" borderId="78" xfId="0" applyNumberFormat="1" applyFont="1" applyBorder="1" applyAlignment="1">
      <alignment horizontal="right" vertical="center"/>
    </xf>
    <xf numFmtId="49" fontId="106" fillId="0" borderId="83" xfId="0" applyNumberFormat="1" applyFont="1" applyBorder="1" applyAlignment="1">
      <alignment horizontal="right" vertical="center"/>
    </xf>
    <xf numFmtId="0" fontId="106" fillId="0" borderId="0" xfId="0" applyFont="1" applyAlignment="1">
      <alignment horizontal="left"/>
    </xf>
    <xf numFmtId="0" fontId="106" fillId="0" borderId="83" xfId="0" applyFont="1" applyBorder="1" applyAlignment="1">
      <alignment horizontal="right" vertical="center"/>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2" xfId="0" applyNumberFormat="1" applyFont="1" applyFill="1" applyBorder="1" applyAlignment="1" applyProtection="1">
      <alignment vertical="center"/>
      <protection locked="0"/>
    </xf>
    <xf numFmtId="193" fontId="0" fillId="35" borderId="17" xfId="0" applyNumberFormat="1" applyFill="1" applyBorder="1" applyAlignment="1">
      <alignment horizontal="center" vertical="center"/>
    </xf>
    <xf numFmtId="193" fontId="0" fillId="35" borderId="19" xfId="0" applyNumberFormat="1" applyFill="1" applyBorder="1" applyAlignment="1">
      <alignment horizontal="center" vertical="center" wrapText="1"/>
    </xf>
    <xf numFmtId="193" fontId="0" fillId="35" borderId="23" xfId="0" applyNumberFormat="1" applyFill="1" applyBorder="1" applyAlignment="1">
      <alignment horizontal="center" vertical="center" wrapText="1"/>
    </xf>
    <xf numFmtId="0" fontId="4" fillId="0" borderId="25" xfId="0" applyFont="1" applyBorder="1" applyAlignment="1">
      <alignment horizontal="center" vertical="center"/>
    </xf>
    <xf numFmtId="0" fontId="4" fillId="0" borderId="25" xfId="0" applyFont="1" applyBorder="1" applyAlignment="1">
      <alignment wrapText="1"/>
    </xf>
    <xf numFmtId="0" fontId="4"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6" fillId="0" borderId="0" xfId="0" applyFont="1" applyAlignment="1">
      <alignment horizontal="center" wrapText="1"/>
    </xf>
    <xf numFmtId="9" fontId="4" fillId="0" borderId="19" xfId="20961" applyFont="1" applyBorder="1"/>
    <xf numFmtId="9" fontId="4" fillId="35" borderId="23" xfId="20961" applyFont="1" applyFill="1" applyBorder="1"/>
    <xf numFmtId="167" fontId="4" fillId="0" borderId="19" xfId="0" applyNumberFormat="1" applyFont="1" applyBorder="1"/>
    <xf numFmtId="0" fontId="9" fillId="0" borderId="15" xfId="0" applyFont="1" applyBorder="1" applyAlignment="1">
      <alignment horizontal="right" vertical="center" wrapText="1"/>
    </xf>
    <xf numFmtId="0" fontId="7" fillId="0" borderId="16" xfId="0" applyFont="1" applyBorder="1" applyAlignment="1">
      <alignment vertical="center" wrapText="1"/>
    </xf>
    <xf numFmtId="169" fontId="26" fillId="36" borderId="0" xfId="20"/>
    <xf numFmtId="169" fontId="26" fillId="36" borderId="91" xfId="20" applyBorder="1"/>
    <xf numFmtId="0" fontId="4" fillId="0" borderId="7" xfId="0" applyFont="1" applyBorder="1" applyAlignment="1">
      <alignment vertical="center"/>
    </xf>
    <xf numFmtId="0" fontId="4" fillId="0" borderId="97" xfId="0" applyFont="1" applyBorder="1" applyAlignment="1">
      <alignment vertical="center"/>
    </xf>
    <xf numFmtId="0" fontId="6" fillId="0" borderId="97" xfId="0" applyFont="1" applyBorder="1" applyAlignment="1">
      <alignment vertical="center"/>
    </xf>
    <xf numFmtId="0" fontId="4" fillId="0" borderId="16"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4" fillId="0" borderId="15"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69" fontId="26" fillId="36" borderId="28" xfId="20" applyBorder="1"/>
    <xf numFmtId="169" fontId="26" fillId="36" borderId="109" xfId="20" applyBorder="1"/>
    <xf numFmtId="169" fontId="26" fillId="36" borderId="99" xfId="20" applyBorder="1"/>
    <xf numFmtId="169" fontId="26" fillId="36" borderId="54" xfId="20" applyBorder="1"/>
    <xf numFmtId="0" fontId="4" fillId="3" borderId="62" xfId="0" applyFont="1" applyFill="1" applyBorder="1" applyAlignment="1">
      <alignment horizontal="center" vertical="center"/>
    </xf>
    <xf numFmtId="0" fontId="4" fillId="3" borderId="0" xfId="0" applyFont="1" applyFill="1" applyAlignment="1">
      <alignment vertical="center"/>
    </xf>
    <xf numFmtId="0" fontId="4" fillId="0" borderId="68" xfId="0" applyFont="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7" xfId="0" applyFont="1" applyBorder="1" applyAlignment="1">
      <alignment horizontal="center" vertical="center" wrapText="1"/>
    </xf>
    <xf numFmtId="0" fontId="106" fillId="0" borderId="85" xfId="0" applyFont="1" applyBorder="1" applyAlignment="1">
      <alignment horizontal="right" vertical="center"/>
    </xf>
    <xf numFmtId="0" fontId="4" fillId="0" borderId="112" xfId="0" applyFont="1" applyBorder="1" applyAlignment="1">
      <alignment horizontal="center" vertical="center" wrapText="1"/>
    </xf>
    <xf numFmtId="0" fontId="6" fillId="3" borderId="113" xfId="0" applyFont="1" applyFill="1" applyBorder="1" applyAlignment="1">
      <alignment vertical="center"/>
    </xf>
    <xf numFmtId="0" fontId="4" fillId="3" borderId="20" xfId="0" applyFont="1" applyFill="1" applyBorder="1" applyAlignment="1">
      <alignment vertical="center"/>
    </xf>
    <xf numFmtId="0" fontId="4" fillId="0" borderId="114" xfId="0" applyFont="1" applyBorder="1" applyAlignment="1">
      <alignment horizontal="center" vertical="center"/>
    </xf>
    <xf numFmtId="0" fontId="6" fillId="0" borderId="22" xfId="0" applyFont="1" applyBorder="1" applyAlignment="1">
      <alignment vertical="center"/>
    </xf>
    <xf numFmtId="169" fontId="26" fillId="36" borderId="24" xfId="20" applyBorder="1"/>
    <xf numFmtId="0" fontId="4" fillId="0" borderId="7" xfId="0" applyFont="1" applyBorder="1" applyAlignment="1">
      <alignment horizontal="center" vertical="center" wrapText="1"/>
    </xf>
    <xf numFmtId="0" fontId="4" fillId="0" borderId="63" xfId="0" applyFont="1" applyBorder="1" applyAlignment="1">
      <alignment horizontal="center" vertical="center" wrapText="1"/>
    </xf>
    <xf numFmtId="0" fontId="7" fillId="0" borderId="15" xfId="11" applyFont="1" applyBorder="1" applyAlignment="1">
      <alignment vertical="center"/>
    </xf>
    <xf numFmtId="0" fontId="7" fillId="0" borderId="16" xfId="11" applyFont="1" applyBorder="1" applyAlignment="1">
      <alignment vertical="center"/>
    </xf>
    <xf numFmtId="0" fontId="15" fillId="0" borderId="17" xfId="11" applyFont="1" applyBorder="1" applyAlignment="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0" fontId="7" fillId="0" borderId="0" xfId="0" applyFont="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7" xfId="0" applyFont="1" applyBorder="1" applyAlignment="1">
      <alignment horizontal="left" vertical="center" wrapText="1"/>
    </xf>
    <xf numFmtId="0" fontId="109" fillId="0" borderId="114" xfId="0" applyFont="1" applyBorder="1" applyAlignment="1">
      <alignment horizontal="right" vertical="center" wrapText="1"/>
    </xf>
    <xf numFmtId="0" fontId="109" fillId="0" borderId="97"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9" fillId="0" borderId="0" xfId="0" applyFont="1" applyAlignment="1">
      <alignment horizontal="left" vertical="center"/>
    </xf>
    <xf numFmtId="49" fontId="110" fillId="0" borderId="21" xfId="5" applyNumberFormat="1" applyFont="1" applyBorder="1" applyAlignment="1" applyProtection="1">
      <alignment horizontal="left" vertical="center"/>
      <protection locked="0"/>
    </xf>
    <xf numFmtId="0" fontId="111" fillId="0" borderId="22" xfId="9" applyFont="1" applyBorder="1" applyAlignment="1" applyProtection="1">
      <alignment horizontal="left" vertical="center" wrapText="1"/>
      <protection locked="0"/>
    </xf>
    <xf numFmtId="0" fontId="20" fillId="0" borderId="114" xfId="0" applyFont="1" applyBorder="1" applyAlignment="1">
      <alignment horizontal="center" vertical="center" wrapText="1"/>
    </xf>
    <xf numFmtId="14" fontId="7" fillId="3" borderId="97" xfId="8" quotePrefix="1" applyNumberFormat="1" applyFont="1" applyFill="1" applyBorder="1" applyAlignment="1" applyProtection="1">
      <alignment horizontal="left" vertical="center" wrapText="1" indent="2"/>
      <protection locked="0"/>
    </xf>
    <xf numFmtId="14" fontId="7" fillId="3" borderId="97" xfId="8" quotePrefix="1" applyNumberFormat="1" applyFont="1" applyFill="1" applyBorder="1" applyAlignment="1" applyProtection="1">
      <alignment horizontal="left" vertical="center" wrapText="1" indent="3"/>
      <protection locked="0"/>
    </xf>
    <xf numFmtId="0" fontId="11" fillId="0" borderId="97" xfId="17" applyFill="1" applyBorder="1" applyAlignment="1" applyProtection="1"/>
    <xf numFmtId="49" fontId="109" fillId="0" borderId="114" xfId="0" applyNumberFormat="1" applyFont="1" applyBorder="1" applyAlignment="1">
      <alignment horizontal="right" vertical="center" wrapText="1"/>
    </xf>
    <xf numFmtId="0" fontId="7" fillId="3" borderId="97" xfId="20960" applyFont="1" applyFill="1" applyBorder="1"/>
    <xf numFmtId="0" fontId="103" fillId="0" borderId="97" xfId="20960" applyFont="1" applyBorder="1" applyAlignment="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9" fillId="0" borderId="97" xfId="0" applyNumberFormat="1" applyFont="1" applyBorder="1" applyAlignment="1">
      <alignment horizontal="right" vertical="center" wrapText="1"/>
    </xf>
    <xf numFmtId="0" fontId="11" fillId="0" borderId="97" xfId="17" applyFill="1" applyBorder="1" applyAlignment="1" applyProtection="1">
      <alignment horizontal="lef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9" fillId="0" borderId="97" xfId="20961" applyNumberFormat="1" applyFont="1" applyFill="1" applyBorder="1" applyAlignment="1">
      <alignment horizontal="left" vertical="center" wrapText="1"/>
    </xf>
    <xf numFmtId="10" fontId="6" fillId="35"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1" fillId="0" borderId="22" xfId="20961" applyNumberFormat="1" applyFont="1" applyFill="1" applyBorder="1" applyAlignment="1" applyProtection="1">
      <alignment horizontal="left" vertical="center"/>
    </xf>
    <xf numFmtId="43" fontId="7" fillId="0" borderId="0" xfId="7" applyFont="1"/>
    <xf numFmtId="0" fontId="107" fillId="0" borderId="0" xfId="0" applyFont="1" applyAlignment="1">
      <alignment wrapText="1"/>
    </xf>
    <xf numFmtId="0" fontId="10" fillId="0" borderId="25" xfId="0" applyFont="1" applyBorder="1" applyAlignment="1">
      <alignment horizontal="center" wrapText="1"/>
    </xf>
    <xf numFmtId="0" fontId="10" fillId="0" borderId="8" xfId="0" applyFont="1" applyBorder="1" applyAlignment="1">
      <alignment horizontal="center" vertical="center" wrapText="1"/>
    </xf>
    <xf numFmtId="0" fontId="9" fillId="0" borderId="114" xfId="0" applyFont="1" applyBorder="1" applyAlignment="1">
      <alignment horizontal="right" vertical="center" wrapText="1"/>
    </xf>
    <xf numFmtId="0" fontId="7" fillId="0" borderId="97" xfId="0" applyFont="1" applyBorder="1" applyAlignment="1">
      <alignment vertical="center" wrapText="1"/>
    </xf>
    <xf numFmtId="0" fontId="4" fillId="0" borderId="97" xfId="0" applyFont="1" applyBorder="1" applyAlignment="1">
      <alignment vertical="center" wrapText="1"/>
    </xf>
    <xf numFmtId="0" fontId="4" fillId="0" borderId="97" xfId="0" applyFont="1" applyBorder="1" applyAlignment="1">
      <alignment horizontal="left" vertical="center" wrapText="1" indent="2"/>
    </xf>
    <xf numFmtId="0" fontId="6" fillId="0" borderId="22" xfId="0" applyFont="1" applyBorder="1" applyAlignment="1">
      <alignment vertical="center" wrapText="1"/>
    </xf>
    <xf numFmtId="0" fontId="4" fillId="0" borderId="112" xfId="0" applyFont="1" applyBorder="1"/>
    <xf numFmtId="0" fontId="4" fillId="0" borderId="23" xfId="0" applyFont="1" applyBorder="1"/>
    <xf numFmtId="0" fontId="9" fillId="0" borderId="112" xfId="0" applyFont="1" applyBorder="1"/>
    <xf numFmtId="0" fontId="9" fillId="0" borderId="112" xfId="0" applyFont="1" applyBorder="1" applyAlignment="1">
      <alignment wrapText="1"/>
    </xf>
    <xf numFmtId="0" fontId="10" fillId="0" borderId="17" xfId="0" applyFont="1" applyBorder="1" applyAlignment="1">
      <alignment horizontal="center"/>
    </xf>
    <xf numFmtId="0" fontId="10" fillId="0" borderId="112"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9" fillId="0" borderId="114" xfId="0" applyFont="1" applyBorder="1" applyAlignment="1">
      <alignment horizontal="center" vertical="center" wrapText="1"/>
    </xf>
    <xf numFmtId="0" fontId="15" fillId="0" borderId="97" xfId="0" applyFont="1" applyBorder="1" applyAlignment="1">
      <alignment horizontal="center" vertical="center" wrapText="1"/>
    </xf>
    <xf numFmtId="0" fontId="16" fillId="0" borderId="97" xfId="0" applyFont="1" applyBorder="1" applyAlignment="1">
      <alignment horizontal="left" vertical="center" wrapText="1"/>
    </xf>
    <xf numFmtId="193" fontId="7" fillId="0" borderId="97" xfId="0" applyNumberFormat="1" applyFont="1" applyBorder="1" applyAlignment="1" applyProtection="1">
      <alignment vertical="center" wrapText="1"/>
      <protection locked="0"/>
    </xf>
    <xf numFmtId="193" fontId="4" fillId="0" borderId="97" xfId="0" applyNumberFormat="1" applyFont="1" applyBorder="1" applyAlignment="1" applyProtection="1">
      <alignment vertical="center" wrapText="1"/>
      <protection locked="0"/>
    </xf>
    <xf numFmtId="193" fontId="4" fillId="0" borderId="112" xfId="0" applyNumberFormat="1" applyFont="1" applyBorder="1" applyAlignment="1" applyProtection="1">
      <alignment vertical="center" wrapText="1"/>
      <protection locked="0"/>
    </xf>
    <xf numFmtId="193" fontId="7" fillId="0" borderId="97" xfId="0" applyNumberFormat="1" applyFont="1" applyBorder="1" applyAlignment="1" applyProtection="1">
      <alignment horizontal="right" vertical="center" wrapText="1"/>
      <protection locked="0"/>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3" fontId="9" fillId="2" borderId="97" xfId="0" applyNumberFormat="1" applyFont="1" applyFill="1" applyBorder="1" applyAlignment="1" applyProtection="1">
      <alignment vertical="center"/>
      <protection locked="0"/>
    </xf>
    <xf numFmtId="193" fontId="17" fillId="2" borderId="97" xfId="0" applyNumberFormat="1" applyFont="1" applyFill="1" applyBorder="1" applyAlignment="1" applyProtection="1">
      <alignment vertical="center"/>
      <protection locked="0"/>
    </xf>
    <xf numFmtId="193" fontId="17" fillId="2" borderId="112" xfId="0" applyNumberFormat="1" applyFont="1" applyFill="1" applyBorder="1" applyAlignment="1" applyProtection="1">
      <alignment vertical="center"/>
      <protection locked="0"/>
    </xf>
    <xf numFmtId="193" fontId="9" fillId="2" borderId="112" xfId="0" applyNumberFormat="1" applyFont="1" applyFill="1" applyBorder="1" applyAlignment="1" applyProtection="1">
      <alignment vertical="center"/>
      <protection locked="0"/>
    </xf>
    <xf numFmtId="0" fontId="15" fillId="0" borderId="114" xfId="0" applyFont="1" applyBorder="1" applyAlignment="1">
      <alignment horizontal="center" vertical="center" wrapText="1"/>
    </xf>
    <xf numFmtId="14" fontId="4" fillId="0" borderId="0" xfId="0" applyNumberFormat="1" applyFont="1"/>
    <xf numFmtId="10" fontId="4" fillId="0" borderId="97" xfId="20961" applyNumberFormat="1" applyFont="1" applyFill="1" applyBorder="1" applyAlignment="1" applyProtection="1">
      <alignment horizontal="right" vertical="center" wrapText="1"/>
      <protection locked="0"/>
    </xf>
    <xf numFmtId="10" fontId="4" fillId="0" borderId="97" xfId="20961" applyNumberFormat="1" applyFont="1" applyBorder="1" applyAlignment="1" applyProtection="1">
      <alignment vertical="center" wrapText="1"/>
      <protection locked="0"/>
    </xf>
    <xf numFmtId="10" fontId="4" fillId="0" borderId="112" xfId="20961" applyNumberFormat="1" applyFont="1" applyBorder="1" applyAlignment="1" applyProtection="1">
      <alignment vertical="center" wrapText="1"/>
      <protection locked="0"/>
    </xf>
    <xf numFmtId="0" fontId="4" fillId="3" borderId="53"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Border="1" applyAlignment="1">
      <alignment horizontal="center"/>
    </xf>
    <xf numFmtId="0" fontId="4" fillId="3" borderId="62"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1"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4" fontId="4" fillId="0" borderId="97" xfId="7" applyNumberFormat="1" applyFont="1" applyBorder="1"/>
    <xf numFmtId="164" fontId="4" fillId="0" borderId="112" xfId="7" applyNumberFormat="1" applyFont="1" applyBorder="1"/>
    <xf numFmtId="0" fontId="14" fillId="0" borderId="97" xfId="0" applyFont="1" applyBorder="1" applyAlignment="1">
      <alignment horizontal="left" wrapText="1" indent="2"/>
    </xf>
    <xf numFmtId="169" fontId="26" fillId="36" borderId="97" xfId="20" applyBorder="1"/>
    <xf numFmtId="164"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4" fontId="6" fillId="0" borderId="112" xfId="7" applyNumberFormat="1" applyFont="1" applyBorder="1"/>
    <xf numFmtId="0" fontId="3" fillId="3" borderId="62"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1" xfId="7" applyNumberFormat="1" applyFont="1" applyFill="1" applyBorder="1"/>
    <xf numFmtId="164" fontId="4" fillId="0" borderId="97" xfId="7" applyNumberFormat="1" applyFont="1" applyFill="1" applyBorder="1"/>
    <xf numFmtId="164"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1" xfId="0" applyFont="1" applyFill="1" applyBorder="1"/>
    <xf numFmtId="0" fontId="6" fillId="0" borderId="21" xfId="0" applyFont="1" applyBorder="1"/>
    <xf numFmtId="0" fontId="6" fillId="0" borderId="22" xfId="0" applyFont="1" applyBorder="1" applyAlignment="1">
      <alignment wrapText="1"/>
    </xf>
    <xf numFmtId="169"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3" xfId="0" applyFont="1" applyFill="1" applyBorder="1" applyAlignment="1">
      <alignment vertical="center"/>
    </xf>
    <xf numFmtId="193" fontId="9" fillId="2" borderId="93" xfId="0" applyNumberFormat="1" applyFont="1" applyFill="1" applyBorder="1" applyAlignment="1" applyProtection="1">
      <alignment vertical="center"/>
      <protection locked="0"/>
    </xf>
    <xf numFmtId="193" fontId="17" fillId="2" borderId="93" xfId="0" applyNumberFormat="1" applyFont="1" applyFill="1" applyBorder="1" applyAlignment="1" applyProtection="1">
      <alignment vertical="center"/>
      <protection locked="0"/>
    </xf>
    <xf numFmtId="193" fontId="17" fillId="2" borderId="106" xfId="0" applyNumberFormat="1" applyFont="1" applyFill="1" applyBorder="1" applyAlignment="1" applyProtection="1">
      <alignment vertical="center"/>
      <protection locked="0"/>
    </xf>
    <xf numFmtId="0" fontId="9" fillId="0" borderId="97" xfId="0" applyFont="1" applyBorder="1" applyAlignment="1">
      <alignment horizontal="left" vertical="center" wrapText="1"/>
    </xf>
    <xf numFmtId="0" fontId="6" fillId="3" borderId="0" xfId="0" applyFont="1" applyFill="1" applyAlignment="1">
      <alignment horizontal="center"/>
    </xf>
    <xf numFmtId="0" fontId="106" fillId="0" borderId="85" xfId="0" applyFont="1" applyBorder="1" applyAlignment="1">
      <alignment horizontal="left" vertical="center"/>
    </xf>
    <xf numFmtId="0" fontId="106" fillId="0" borderId="83" xfId="0" applyFont="1" applyBorder="1" applyAlignment="1">
      <alignment vertical="center" wrapText="1"/>
    </xf>
    <xf numFmtId="0" fontId="106" fillId="0" borderId="83" xfId="0" applyFont="1" applyBorder="1" applyAlignment="1">
      <alignment horizontal="left" vertical="center" wrapText="1"/>
    </xf>
    <xf numFmtId="0" fontId="116" fillId="0" borderId="0" xfId="11" applyFont="1"/>
    <xf numFmtId="0" fontId="117" fillId="0" borderId="0" xfId="0" applyFont="1"/>
    <xf numFmtId="0" fontId="118" fillId="0" borderId="0" xfId="1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28" xfId="0" applyFont="1" applyBorder="1" applyAlignment="1">
      <alignment horizontal="left" vertical="center" wrapText="1"/>
    </xf>
    <xf numFmtId="0" fontId="125" fillId="0" borderId="0" xfId="0" applyFont="1"/>
    <xf numFmtId="49" fontId="106" fillId="0" borderId="97" xfId="0" applyNumberFormat="1" applyFont="1" applyBorder="1" applyAlignment="1">
      <alignment horizontal="right" vertical="center"/>
    </xf>
    <xf numFmtId="0" fontId="126" fillId="0" borderId="0" xfId="0" applyFont="1"/>
    <xf numFmtId="0" fontId="117" fillId="0" borderId="0" xfId="0" applyFont="1" applyAlignment="1">
      <alignment horizontal="left" indent="1"/>
    </xf>
    <xf numFmtId="0" fontId="117" fillId="0" borderId="0" xfId="0" applyFont="1" applyAlignment="1">
      <alignment horizontal="left" indent="2"/>
    </xf>
    <xf numFmtId="49" fontId="117" fillId="0" borderId="0" xfId="0" applyNumberFormat="1" applyFont="1" applyAlignment="1">
      <alignment horizontal="left" indent="3"/>
    </xf>
    <xf numFmtId="49" fontId="117" fillId="0" borderId="0" xfId="0" applyNumberFormat="1" applyFont="1" applyAlignment="1">
      <alignment horizontal="left" indent="1"/>
    </xf>
    <xf numFmtId="49" fontId="117" fillId="0" borderId="0" xfId="0" applyNumberFormat="1" applyFont="1" applyAlignment="1">
      <alignment horizontal="left" wrapText="1" indent="2"/>
    </xf>
    <xf numFmtId="49" fontId="117" fillId="0" borderId="0" xfId="0" applyNumberFormat="1" applyFont="1" applyAlignment="1">
      <alignment horizontal="left" wrapText="1" indent="3"/>
    </xf>
    <xf numFmtId="0" fontId="117" fillId="0" borderId="0" xfId="0" applyFont="1" applyAlignment="1">
      <alignment horizontal="left" wrapText="1" indent="1"/>
    </xf>
    <xf numFmtId="0" fontId="117" fillId="0" borderId="0" xfId="0" applyFont="1" applyAlignment="1">
      <alignment horizontal="left" vertical="top" wrapText="1"/>
    </xf>
    <xf numFmtId="0" fontId="3" fillId="0" borderId="97" xfId="0" applyFont="1" applyBorder="1" applyAlignment="1">
      <alignment horizontal="center" vertical="center"/>
    </xf>
    <xf numFmtId="0" fontId="130" fillId="3" borderId="97" xfId="21414" applyFont="1" applyFill="1" applyBorder="1" applyAlignment="1">
      <alignment horizontal="left" vertical="center" wrapText="1"/>
    </xf>
    <xf numFmtId="0" fontId="131" fillId="0" borderId="97" xfId="21414" applyFont="1" applyBorder="1" applyAlignment="1">
      <alignment horizontal="left" vertical="center" wrapText="1" indent="1"/>
    </xf>
    <xf numFmtId="0" fontId="132" fillId="3" borderId="97" xfId="21414" applyFont="1" applyFill="1" applyBorder="1" applyAlignment="1">
      <alignment horizontal="left" vertical="center" wrapText="1"/>
    </xf>
    <xf numFmtId="0" fontId="131" fillId="3" borderId="97" xfId="21414" applyFont="1" applyFill="1" applyBorder="1" applyAlignment="1">
      <alignment horizontal="left" vertical="center" wrapText="1" indent="1"/>
    </xf>
    <xf numFmtId="0" fontId="130" fillId="0" borderId="135" xfId="0" applyFont="1" applyBorder="1" applyAlignment="1">
      <alignment horizontal="left" vertical="center" wrapText="1"/>
    </xf>
    <xf numFmtId="0" fontId="132" fillId="0" borderId="135" xfId="0" applyFont="1" applyBorder="1" applyAlignment="1">
      <alignment horizontal="left" vertical="center" wrapText="1"/>
    </xf>
    <xf numFmtId="0" fontId="133" fillId="3" borderId="135" xfId="0" applyFont="1" applyFill="1" applyBorder="1" applyAlignment="1">
      <alignment horizontal="left" vertical="center" wrapText="1" indent="1"/>
    </xf>
    <xf numFmtId="0" fontId="132" fillId="3" borderId="135" xfId="0" applyFont="1" applyFill="1" applyBorder="1" applyAlignment="1">
      <alignment horizontal="left" vertical="center" wrapText="1"/>
    </xf>
    <xf numFmtId="0" fontId="132" fillId="3" borderId="136" xfId="0" applyFont="1" applyFill="1" applyBorder="1" applyAlignment="1">
      <alignment horizontal="left" vertical="center" wrapText="1"/>
    </xf>
    <xf numFmtId="0" fontId="133" fillId="0" borderId="135" xfId="0" applyFont="1" applyBorder="1" applyAlignment="1">
      <alignment horizontal="left" vertical="center" wrapText="1" indent="1"/>
    </xf>
    <xf numFmtId="0" fontId="133" fillId="0" borderId="97" xfId="21414" applyFont="1" applyBorder="1" applyAlignment="1">
      <alignment horizontal="left" vertical="center" wrapText="1" indent="1"/>
    </xf>
    <xf numFmtId="0" fontId="132" fillId="0" borderId="97" xfId="21414" applyFont="1" applyBorder="1" applyAlignment="1">
      <alignment horizontal="left" vertical="center" wrapText="1"/>
    </xf>
    <xf numFmtId="0" fontId="134" fillId="0" borderId="97" xfId="21414" applyFont="1" applyBorder="1" applyAlignment="1">
      <alignment horizontal="center" vertical="center" wrapText="1"/>
    </xf>
    <xf numFmtId="0" fontId="132" fillId="3" borderId="137" xfId="0" applyFont="1" applyFill="1" applyBorder="1" applyAlignment="1">
      <alignment horizontal="left" vertical="center" wrapText="1"/>
    </xf>
    <xf numFmtId="0" fontId="131" fillId="3" borderId="138" xfId="21414" applyFont="1" applyFill="1" applyBorder="1" applyAlignment="1">
      <alignment horizontal="left" vertical="center" wrapText="1" indent="1"/>
    </xf>
    <xf numFmtId="0" fontId="131" fillId="3" borderId="135" xfId="0" applyFont="1" applyFill="1" applyBorder="1" applyAlignment="1">
      <alignment horizontal="left" vertical="center" wrapText="1" indent="1"/>
    </xf>
    <xf numFmtId="0" fontId="131" fillId="0" borderId="138" xfId="21414" applyFont="1" applyBorder="1" applyAlignment="1">
      <alignment horizontal="left" vertical="center" wrapText="1" indent="1"/>
    </xf>
    <xf numFmtId="0" fontId="131" fillId="0" borderId="135" xfId="0" applyFont="1" applyBorder="1" applyAlignment="1">
      <alignment horizontal="left" vertical="center" wrapText="1" indent="1"/>
    </xf>
    <xf numFmtId="0" fontId="131" fillId="0" borderId="136" xfId="0" applyFont="1" applyBorder="1" applyAlignment="1">
      <alignment horizontal="left" vertical="center" wrapText="1" indent="1"/>
    </xf>
    <xf numFmtId="0" fontId="132" fillId="0" borderId="138" xfId="21414" applyFont="1" applyBorder="1" applyAlignment="1">
      <alignment horizontal="left" vertical="center" wrapText="1"/>
    </xf>
    <xf numFmtId="0" fontId="132" fillId="3" borderId="138" xfId="21414" applyFont="1" applyFill="1" applyBorder="1" applyAlignment="1">
      <alignment horizontal="left" vertical="center" wrapText="1"/>
    </xf>
    <xf numFmtId="0" fontId="134" fillId="0" borderId="138" xfId="21414" applyFont="1" applyBorder="1" applyAlignment="1">
      <alignment horizontal="center" vertical="center" wrapText="1"/>
    </xf>
    <xf numFmtId="0" fontId="135" fillId="0" borderId="138" xfId="0" applyFont="1" applyBorder="1" applyAlignment="1">
      <alignment horizontal="left"/>
    </xf>
    <xf numFmtId="0" fontId="132" fillId="0" borderId="138" xfId="0" applyFont="1" applyBorder="1" applyAlignment="1">
      <alignment horizontal="left" vertical="center" wrapText="1"/>
    </xf>
    <xf numFmtId="0" fontId="0" fillId="0" borderId="0" xfId="0" applyAlignment="1">
      <alignment horizontal="left" vertical="center"/>
    </xf>
    <xf numFmtId="0" fontId="132" fillId="0" borderId="143" xfId="0" applyFont="1" applyBorder="1" applyAlignment="1">
      <alignment horizontal="justify" vertical="center" wrapText="1"/>
    </xf>
    <xf numFmtId="0" fontId="131" fillId="0" borderId="137" xfId="0" applyFont="1" applyBorder="1" applyAlignment="1">
      <alignment horizontal="left" vertical="center" wrapText="1" indent="1"/>
    </xf>
    <xf numFmtId="0" fontId="132" fillId="0" borderId="135" xfId="0" applyFont="1" applyBorder="1" applyAlignment="1">
      <alignment horizontal="justify" vertical="center" wrapText="1"/>
    </xf>
    <xf numFmtId="0" fontId="130" fillId="0" borderId="135" xfId="0" applyFont="1" applyBorder="1" applyAlignment="1">
      <alignment horizontal="justify" vertical="center" wrapText="1"/>
    </xf>
    <xf numFmtId="0" fontId="132" fillId="3" borderId="135" xfId="0" applyFont="1" applyFill="1" applyBorder="1" applyAlignment="1">
      <alignment horizontal="justify" vertical="center" wrapText="1"/>
    </xf>
    <xf numFmtId="0" fontId="132" fillId="0" borderId="136" xfId="0" applyFont="1" applyBorder="1" applyAlignment="1">
      <alignment horizontal="justify" vertical="center" wrapText="1"/>
    </xf>
    <xf numFmtId="0" fontId="132" fillId="0" borderId="137" xfId="0" applyFont="1" applyBorder="1" applyAlignment="1">
      <alignment horizontal="justify" vertical="center" wrapText="1"/>
    </xf>
    <xf numFmtId="0" fontId="132" fillId="0" borderId="138" xfId="21414" applyFont="1" applyBorder="1" applyAlignment="1">
      <alignment horizontal="justify" vertical="center" wrapText="1"/>
    </xf>
    <xf numFmtId="0" fontId="133" fillId="0" borderId="129" xfId="0" applyFont="1" applyBorder="1" applyAlignment="1">
      <alignment horizontal="left" vertical="center" wrapText="1" indent="1"/>
    </xf>
    <xf numFmtId="0" fontId="130" fillId="0" borderId="135" xfId="0" applyFont="1" applyBorder="1" applyAlignment="1">
      <alignment vertical="center" wrapText="1"/>
    </xf>
    <xf numFmtId="0" fontId="132" fillId="0" borderId="135" xfId="0" applyFont="1" applyBorder="1" applyAlignment="1">
      <alignment vertical="center" wrapText="1"/>
    </xf>
    <xf numFmtId="0" fontId="132" fillId="0" borderId="138" xfId="21414" applyFont="1" applyBorder="1" applyAlignment="1">
      <alignment vertical="center" wrapText="1"/>
    </xf>
    <xf numFmtId="0" fontId="0" fillId="0" borderId="138" xfId="0" applyBorder="1" applyAlignment="1">
      <alignment horizontal="center"/>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6" fillId="0" borderId="138" xfId="0" applyFont="1" applyBorder="1" applyAlignment="1" applyProtection="1">
      <alignment horizontal="left" vertical="center" indent="1"/>
      <protection locked="0"/>
    </xf>
    <xf numFmtId="0" fontId="137" fillId="0" borderId="138" xfId="0" applyFont="1" applyBorder="1" applyAlignment="1" applyProtection="1">
      <alignment horizontal="left" vertical="center" indent="3"/>
      <protection locked="0"/>
    </xf>
    <xf numFmtId="0" fontId="138"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49" fontId="106" fillId="0" borderId="138" xfId="0" applyNumberFormat="1" applyFont="1" applyBorder="1" applyAlignment="1">
      <alignment horizontal="right" vertical="center"/>
    </xf>
    <xf numFmtId="0" fontId="0" fillId="0" borderId="138" xfId="0" applyBorder="1" applyAlignment="1">
      <alignment horizontal="center" vertical="center"/>
    </xf>
    <xf numFmtId="0" fontId="0" fillId="0" borderId="142" xfId="0" applyBorder="1" applyAlignment="1">
      <alignment horizontal="center"/>
    </xf>
    <xf numFmtId="0" fontId="131" fillId="0" borderId="142" xfId="21414" applyFont="1" applyBorder="1" applyAlignment="1">
      <alignment horizontal="left" vertical="center" wrapText="1" indent="1"/>
    </xf>
    <xf numFmtId="0" fontId="131" fillId="3" borderId="138" xfId="0" applyFont="1" applyFill="1" applyBorder="1" applyAlignment="1">
      <alignment horizontal="left" vertical="center" wrapText="1" indent="1"/>
    </xf>
    <xf numFmtId="167" fontId="23" fillId="0" borderId="138" xfId="0" applyNumberFormat="1" applyFont="1" applyBorder="1" applyAlignment="1">
      <alignment horizontal="center"/>
    </xf>
    <xf numFmtId="0" fontId="23" fillId="0" borderId="138" xfId="0" applyFont="1" applyBorder="1"/>
    <xf numFmtId="0" fontId="131" fillId="0" borderId="138" xfId="0" applyFont="1" applyBorder="1" applyAlignment="1">
      <alignment horizontal="left" vertical="center" wrapText="1" indent="1"/>
    </xf>
    <xf numFmtId="0" fontId="133" fillId="3" borderId="138" xfId="0" applyFont="1" applyFill="1" applyBorder="1" applyAlignment="1">
      <alignment horizontal="left" vertical="center" wrapText="1" indent="1"/>
    </xf>
    <xf numFmtId="0" fontId="133" fillId="0" borderId="138" xfId="0" applyFont="1" applyBorder="1" applyAlignment="1">
      <alignment horizontal="left" vertical="center" wrapText="1" indent="1"/>
    </xf>
    <xf numFmtId="167" fontId="22" fillId="0" borderId="55" xfId="0" applyNumberFormat="1" applyFont="1" applyBorder="1" applyAlignment="1">
      <alignment horizontal="center"/>
    </xf>
    <xf numFmtId="167" fontId="18" fillId="0" borderId="57" xfId="0" applyNumberFormat="1" applyFont="1" applyBorder="1" applyAlignment="1">
      <alignment horizontal="center"/>
    </xf>
    <xf numFmtId="0" fontId="120" fillId="0" borderId="138" xfId="0" applyFont="1" applyBorder="1"/>
    <xf numFmtId="49" fontId="122" fillId="0" borderId="138" xfId="5" applyNumberFormat="1" applyFont="1" applyBorder="1" applyAlignment="1" applyProtection="1">
      <alignment horizontal="right" vertical="center"/>
      <protection locked="0"/>
    </xf>
    <xf numFmtId="0" fontId="121" fillId="3" borderId="138" xfId="13" applyFont="1" applyFill="1" applyBorder="1" applyAlignment="1" applyProtection="1">
      <alignment horizontal="left" vertical="center" wrapText="1"/>
      <protection locked="0"/>
    </xf>
    <xf numFmtId="49" fontId="121" fillId="3" borderId="138" xfId="5" applyNumberFormat="1" applyFont="1" applyFill="1" applyBorder="1" applyAlignment="1" applyProtection="1">
      <alignment horizontal="right" vertical="center"/>
      <protection locked="0"/>
    </xf>
    <xf numFmtId="0" fontId="121" fillId="0" borderId="138" xfId="13" applyFont="1" applyBorder="1" applyAlignment="1" applyProtection="1">
      <alignment horizontal="left" vertical="center" wrapText="1"/>
      <protection locked="0"/>
    </xf>
    <xf numFmtId="49" fontId="121" fillId="0" borderId="138" xfId="5" applyNumberFormat="1" applyFont="1" applyBorder="1" applyAlignment="1" applyProtection="1">
      <alignment horizontal="right" vertical="center"/>
      <protection locked="0"/>
    </xf>
    <xf numFmtId="0" fontId="123" fillId="0" borderId="138" xfId="13" applyFont="1" applyBorder="1" applyAlignment="1" applyProtection="1">
      <alignment horizontal="left" vertical="center" wrapText="1"/>
      <protection locked="0"/>
    </xf>
    <xf numFmtId="0" fontId="120" fillId="0" borderId="138" xfId="0" applyFont="1" applyBorder="1" applyAlignment="1">
      <alignment horizontal="center" vertical="center" wrapText="1"/>
    </xf>
    <xf numFmtId="0" fontId="116" fillId="0" borderId="146" xfId="0" applyFont="1" applyBorder="1"/>
    <xf numFmtId="0" fontId="116" fillId="0" borderId="146" xfId="0" applyFont="1" applyBorder="1" applyAlignment="1">
      <alignment horizontal="left" indent="8"/>
    </xf>
    <xf numFmtId="0" fontId="116" fillId="0" borderId="146" xfId="0" applyFont="1" applyBorder="1" applyAlignment="1">
      <alignment wrapText="1"/>
    </xf>
    <xf numFmtId="0" fontId="119" fillId="0" borderId="146" xfId="0" applyFont="1" applyBorder="1"/>
    <xf numFmtId="49" fontId="122" fillId="0" borderId="146" xfId="5" applyNumberFormat="1" applyFont="1" applyBorder="1" applyAlignment="1" applyProtection="1">
      <alignment horizontal="right" vertical="center" wrapText="1"/>
      <protection locked="0"/>
    </xf>
    <xf numFmtId="49" fontId="121" fillId="3" borderId="146" xfId="5" applyNumberFormat="1" applyFont="1" applyFill="1" applyBorder="1" applyAlignment="1" applyProtection="1">
      <alignment horizontal="right" vertical="center" wrapText="1"/>
      <protection locked="0"/>
    </xf>
    <xf numFmtId="49" fontId="121" fillId="0" borderId="146" xfId="5" applyNumberFormat="1" applyFont="1" applyBorder="1" applyAlignment="1" applyProtection="1">
      <alignment horizontal="right" vertical="center" wrapText="1"/>
      <protection locked="0"/>
    </xf>
    <xf numFmtId="0" fontId="116" fillId="0" borderId="146"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14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46" xfId="0" applyFont="1" applyBorder="1" applyAlignment="1">
      <alignment horizontal="left" vertical="center" wrapText="1"/>
    </xf>
    <xf numFmtId="0" fontId="119" fillId="0" borderId="146" xfId="0" applyFont="1" applyBorder="1" applyAlignment="1">
      <alignment horizontal="left" wrapText="1" indent="1"/>
    </xf>
    <xf numFmtId="0" fontId="119" fillId="0" borderId="146" xfId="0" applyFont="1" applyBorder="1" applyAlignment="1">
      <alignment horizontal="left" vertical="center" indent="1"/>
    </xf>
    <xf numFmtId="0" fontId="116" fillId="0" borderId="146" xfId="0" applyFont="1" applyBorder="1" applyAlignment="1">
      <alignment horizontal="left" wrapText="1" indent="1"/>
    </xf>
    <xf numFmtId="0" fontId="116" fillId="0" borderId="146" xfId="0" applyFont="1" applyBorder="1" applyAlignment="1">
      <alignment horizontal="left" indent="1"/>
    </xf>
    <xf numFmtId="0" fontId="116" fillId="0" borderId="146" xfId="0" applyFont="1" applyBorder="1" applyAlignment="1">
      <alignment horizontal="left" wrapText="1" indent="4"/>
    </xf>
    <xf numFmtId="0" fontId="116" fillId="0" borderId="146" xfId="0" applyFont="1" applyBorder="1" applyAlignment="1">
      <alignment horizontal="left" indent="3"/>
    </xf>
    <xf numFmtId="0" fontId="119" fillId="0" borderId="146" xfId="0" applyFont="1" applyBorder="1" applyAlignment="1">
      <alignment horizontal="left" indent="1"/>
    </xf>
    <xf numFmtId="0" fontId="120" fillId="0" borderId="146" xfId="0" applyFont="1" applyBorder="1" applyAlignment="1">
      <alignment horizontal="center" vertical="center" wrapText="1"/>
    </xf>
    <xf numFmtId="0" fontId="119" fillId="0" borderId="7" xfId="0" applyFont="1" applyBorder="1"/>
    <xf numFmtId="0" fontId="116" fillId="0" borderId="146" xfId="0" applyFont="1" applyBorder="1" applyAlignment="1">
      <alignment horizontal="left" wrapText="1" indent="2"/>
    </xf>
    <xf numFmtId="0" fontId="116" fillId="0" borderId="146" xfId="0" applyFont="1" applyBorder="1" applyAlignment="1">
      <alignment horizontal="left" wrapText="1"/>
    </xf>
    <xf numFmtId="0" fontId="116" fillId="0" borderId="14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2"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45"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44" xfId="0" applyFont="1" applyBorder="1" applyAlignment="1">
      <alignment horizontal="center" vertical="center" wrapText="1"/>
    </xf>
    <xf numFmtId="49" fontId="116" fillId="0" borderId="152" xfId="0" applyNumberFormat="1" applyFont="1" applyBorder="1" applyAlignment="1">
      <alignment horizontal="left" wrapText="1" indent="1"/>
    </xf>
    <xf numFmtId="0" fontId="116" fillId="0" borderId="154" xfId="0" applyFont="1" applyBorder="1" applyAlignment="1">
      <alignment horizontal="left" wrapText="1" indent="1"/>
    </xf>
    <xf numFmtId="49" fontId="116" fillId="0" borderId="155" xfId="0" applyNumberFormat="1" applyFont="1" applyBorder="1" applyAlignment="1">
      <alignment horizontal="left" wrapText="1" indent="1"/>
    </xf>
    <xf numFmtId="0" fontId="116" fillId="0" borderId="156" xfId="0" applyFont="1" applyBorder="1" applyAlignment="1">
      <alignment horizontal="left" wrapText="1" indent="1"/>
    </xf>
    <xf numFmtId="49" fontId="116" fillId="0" borderId="156" xfId="0" applyNumberFormat="1" applyFont="1" applyBorder="1" applyAlignment="1">
      <alignment horizontal="left" wrapText="1" indent="3"/>
    </xf>
    <xf numFmtId="49" fontId="116" fillId="0" borderId="155" xfId="0" applyNumberFormat="1" applyFont="1" applyBorder="1" applyAlignment="1">
      <alignment horizontal="left" wrapText="1" indent="3"/>
    </xf>
    <xf numFmtId="49" fontId="116" fillId="0" borderId="156" xfId="0" applyNumberFormat="1" applyFont="1" applyBorder="1" applyAlignment="1">
      <alignment horizontal="left" wrapText="1" indent="2"/>
    </xf>
    <xf numFmtId="49" fontId="116" fillId="0" borderId="155" xfId="0" applyNumberFormat="1" applyFont="1" applyBorder="1" applyAlignment="1">
      <alignment horizontal="left" wrapText="1" indent="2"/>
    </xf>
    <xf numFmtId="49" fontId="116" fillId="0" borderId="155" xfId="0" applyNumberFormat="1" applyFont="1" applyBorder="1" applyAlignment="1">
      <alignment horizontal="left" vertical="top" wrapText="1" indent="2"/>
    </xf>
    <xf numFmtId="0" fontId="116" fillId="79" borderId="155" xfId="0" applyFont="1" applyFill="1" applyBorder="1"/>
    <xf numFmtId="0" fontId="116" fillId="79" borderId="146" xfId="0" applyFont="1" applyFill="1" applyBorder="1"/>
    <xf numFmtId="0" fontId="116" fillId="79" borderId="156" xfId="0" applyFont="1" applyFill="1" applyBorder="1"/>
    <xf numFmtId="49" fontId="116" fillId="0" borderId="155" xfId="0" applyNumberFormat="1" applyFont="1" applyBorder="1" applyAlignment="1">
      <alignment horizontal="left" indent="1"/>
    </xf>
    <xf numFmtId="0" fontId="116" fillId="0" borderId="156" xfId="0" applyFont="1" applyBorder="1" applyAlignment="1">
      <alignment horizontal="left" indent="1"/>
    </xf>
    <xf numFmtId="49" fontId="116" fillId="0" borderId="156" xfId="0" applyNumberFormat="1" applyFont="1" applyBorder="1" applyAlignment="1">
      <alignment horizontal="left" indent="1"/>
    </xf>
    <xf numFmtId="49" fontId="116" fillId="0" borderId="156" xfId="0" applyNumberFormat="1" applyFont="1" applyBorder="1" applyAlignment="1">
      <alignment horizontal="left" indent="3"/>
    </xf>
    <xf numFmtId="49" fontId="116" fillId="0" borderId="155" xfId="0" applyNumberFormat="1" applyFont="1" applyBorder="1" applyAlignment="1">
      <alignment horizontal="left" indent="3"/>
    </xf>
    <xf numFmtId="0" fontId="116" fillId="0" borderId="156" xfId="0" applyFont="1" applyBorder="1" applyAlignment="1">
      <alignment horizontal="left" indent="2"/>
    </xf>
    <xf numFmtId="0" fontId="116" fillId="0" borderId="155" xfId="0" applyFont="1" applyBorder="1" applyAlignment="1">
      <alignment horizontal="left" indent="2"/>
    </xf>
    <xf numFmtId="0" fontId="116" fillId="0" borderId="155" xfId="0" applyFont="1" applyBorder="1" applyAlignment="1">
      <alignment horizontal="left" indent="1"/>
    </xf>
    <xf numFmtId="0" fontId="119" fillId="0" borderId="63" xfId="0" applyFont="1" applyBorder="1"/>
    <xf numFmtId="0" fontId="116" fillId="0" borderId="68" xfId="0" applyFont="1" applyBorder="1"/>
    <xf numFmtId="0" fontId="116" fillId="0" borderId="0" xfId="0" applyFont="1" applyAlignment="1">
      <alignment horizontal="left"/>
    </xf>
    <xf numFmtId="0" fontId="119" fillId="0" borderId="146" xfId="0" applyFont="1" applyBorder="1" applyAlignment="1">
      <alignment horizontal="left" vertical="center" wrapText="1"/>
    </xf>
    <xf numFmtId="0" fontId="9" fillId="0" borderId="0" xfId="0" applyFont="1" applyAlignment="1">
      <alignment wrapText="1"/>
    </xf>
    <xf numFmtId="0" fontId="119" fillId="0" borderId="14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3" xfId="0" applyFont="1" applyBorder="1" applyAlignment="1">
      <alignment horizontal="left" vertical="center" wrapText="1" indent="1" readingOrder="1"/>
    </xf>
    <xf numFmtId="0" fontId="121" fillId="0" borderId="146" xfId="0" applyFont="1" applyBorder="1" applyAlignment="1">
      <alignment horizontal="left" indent="3"/>
    </xf>
    <xf numFmtId="0" fontId="119" fillId="0" borderId="146" xfId="0" applyFont="1" applyBorder="1" applyAlignment="1">
      <alignment vertical="center" wrapText="1" readingOrder="1"/>
    </xf>
    <xf numFmtId="0" fontId="121" fillId="0" borderId="146" xfId="0" applyFont="1" applyBorder="1" applyAlignment="1">
      <alignment horizontal="left" indent="2"/>
    </xf>
    <xf numFmtId="0" fontId="116" fillId="0" borderId="134" xfId="0" applyFont="1" applyBorder="1" applyAlignment="1">
      <alignment vertical="center" wrapText="1" readingOrder="1"/>
    </xf>
    <xf numFmtId="0" fontId="121" fillId="0" borderId="147" xfId="0" applyFont="1" applyBorder="1" applyAlignment="1">
      <alignment horizontal="left" indent="2"/>
    </xf>
    <xf numFmtId="0" fontId="116" fillId="0" borderId="133" xfId="0" applyFont="1" applyBorder="1" applyAlignment="1">
      <alignment vertical="center" wrapText="1" readingOrder="1"/>
    </xf>
    <xf numFmtId="0" fontId="116" fillId="0" borderId="132" xfId="0" applyFont="1" applyBorder="1" applyAlignment="1">
      <alignment vertical="center" wrapText="1" readingOrder="1"/>
    </xf>
    <xf numFmtId="0" fontId="139" fillId="0" borderId="7" xfId="0" applyFont="1" applyBorder="1"/>
    <xf numFmtId="0" fontId="106" fillId="0" borderId="146" xfId="0" applyFont="1" applyBorder="1" applyAlignment="1">
      <alignment vertical="center" wrapText="1"/>
    </xf>
    <xf numFmtId="0" fontId="106" fillId="0" borderId="146" xfId="0" applyFont="1" applyBorder="1" applyAlignment="1">
      <alignment horizontal="left" vertical="center" wrapText="1"/>
    </xf>
    <xf numFmtId="0" fontId="106" fillId="0" borderId="146" xfId="0" applyFont="1" applyBorder="1" applyAlignment="1">
      <alignment horizontal="left" indent="2"/>
    </xf>
    <xf numFmtId="0" fontId="106" fillId="0" borderId="146" xfId="0" applyFont="1" applyBorder="1" applyAlignment="1">
      <alignment horizontal="left" vertical="center" indent="1"/>
    </xf>
    <xf numFmtId="0" fontId="106" fillId="0" borderId="146" xfId="0" applyFont="1" applyBorder="1" applyAlignment="1">
      <alignment horizontal="left" vertical="center" wrapText="1" indent="1"/>
    </xf>
    <xf numFmtId="0" fontId="106" fillId="0" borderId="146" xfId="0" applyFont="1" applyBorder="1" applyAlignment="1">
      <alignment horizontal="right" vertical="center"/>
    </xf>
    <xf numFmtId="49" fontId="106" fillId="0" borderId="146" xfId="0" applyNumberFormat="1" applyFont="1" applyBorder="1" applyAlignment="1">
      <alignment horizontal="right" vertical="center"/>
    </xf>
    <xf numFmtId="49" fontId="106" fillId="0" borderId="146" xfId="0" applyNumberFormat="1" applyFont="1" applyBorder="1" applyAlignment="1">
      <alignment vertical="top" wrapText="1"/>
    </xf>
    <xf numFmtId="49" fontId="106" fillId="0" borderId="146" xfId="0" applyNumberFormat="1" applyFont="1" applyBorder="1" applyAlignment="1">
      <alignment horizontal="left" vertical="top" wrapText="1" indent="2"/>
    </xf>
    <xf numFmtId="49" fontId="106" fillId="0" borderId="146" xfId="0" applyNumberFormat="1" applyFont="1" applyBorder="1" applyAlignment="1">
      <alignment horizontal="left" vertical="center" wrapText="1" indent="3"/>
    </xf>
    <xf numFmtId="49" fontId="106" fillId="0" borderId="146" xfId="0" applyNumberFormat="1" applyFont="1" applyBorder="1" applyAlignment="1">
      <alignment horizontal="left" wrapText="1" indent="2"/>
    </xf>
    <xf numFmtId="49" fontId="106" fillId="0" borderId="146" xfId="0" applyNumberFormat="1" applyFont="1" applyBorder="1" applyAlignment="1">
      <alignment horizontal="left" vertical="top" wrapText="1"/>
    </xf>
    <xf numFmtId="49" fontId="106" fillId="0" borderId="146" xfId="0" applyNumberFormat="1" applyFont="1" applyBorder="1" applyAlignment="1">
      <alignment horizontal="left" wrapText="1" indent="3"/>
    </xf>
    <xf numFmtId="49" fontId="106" fillId="0" borderId="146" xfId="0" applyNumberFormat="1" applyFont="1" applyBorder="1" applyAlignment="1">
      <alignment vertical="center"/>
    </xf>
    <xf numFmtId="49" fontId="106" fillId="0" borderId="146" xfId="0" applyNumberFormat="1" applyFont="1" applyBorder="1" applyAlignment="1">
      <alignment horizontal="left" indent="3"/>
    </xf>
    <xf numFmtId="0" fontId="106" fillId="0" borderId="146" xfId="0" applyFont="1" applyBorder="1" applyAlignment="1">
      <alignment horizontal="left" indent="1"/>
    </xf>
    <xf numFmtId="0" fontId="106" fillId="0" borderId="146" xfId="0" applyFont="1" applyBorder="1" applyAlignment="1">
      <alignment horizontal="left" wrapText="1" indent="2"/>
    </xf>
    <xf numFmtId="0" fontId="106" fillId="0" borderId="146" xfId="0" applyFont="1" applyBorder="1" applyAlignment="1">
      <alignment horizontal="left" vertical="top" wrapText="1"/>
    </xf>
    <xf numFmtId="0" fontId="105" fillId="0" borderId="7" xfId="0" applyFont="1" applyBorder="1" applyAlignment="1">
      <alignment wrapText="1"/>
    </xf>
    <xf numFmtId="0" fontId="106" fillId="0" borderId="146" xfId="0" applyFont="1" applyBorder="1" applyAlignment="1">
      <alignment horizontal="left" vertical="top" wrapText="1" indent="2"/>
    </xf>
    <xf numFmtId="0" fontId="106" fillId="0" borderId="146" xfId="0" applyFont="1" applyBorder="1" applyAlignment="1">
      <alignment horizontal="left" wrapText="1"/>
    </xf>
    <xf numFmtId="0" fontId="106" fillId="0" borderId="146" xfId="12672" applyFont="1" applyBorder="1" applyAlignment="1">
      <alignment horizontal="left" vertical="center" wrapText="1" indent="2"/>
    </xf>
    <xf numFmtId="0" fontId="106" fillId="0" borderId="146" xfId="0" applyFont="1" applyBorder="1" applyAlignment="1">
      <alignment wrapText="1"/>
    </xf>
    <xf numFmtId="0" fontId="106" fillId="0" borderId="146" xfId="0" applyFont="1" applyBorder="1"/>
    <xf numFmtId="0" fontId="106" fillId="0" borderId="146" xfId="12672" applyFont="1" applyBorder="1" applyAlignment="1">
      <alignment horizontal="left" vertical="center" wrapText="1"/>
    </xf>
    <xf numFmtId="0" fontId="105" fillId="0" borderId="146" xfId="0" applyFont="1" applyBorder="1" applyAlignment="1">
      <alignment wrapText="1"/>
    </xf>
    <xf numFmtId="0" fontId="106" fillId="0" borderId="148" xfId="0" applyFont="1" applyBorder="1" applyAlignment="1">
      <alignment horizontal="left" vertical="center" wrapText="1"/>
    </xf>
    <xf numFmtId="0" fontId="106" fillId="3" borderId="146" xfId="5" applyFont="1" applyFill="1" applyBorder="1" applyAlignment="1" applyProtection="1">
      <alignment horizontal="right" vertical="center"/>
      <protection locked="0"/>
    </xf>
    <xf numFmtId="2" fontId="106" fillId="3" borderId="146" xfId="5" applyNumberFormat="1" applyFont="1" applyFill="1" applyBorder="1" applyAlignment="1" applyProtection="1">
      <alignment horizontal="right" vertical="center"/>
      <protection locked="0"/>
    </xf>
    <xf numFmtId="0" fontId="106" fillId="0" borderId="146" xfId="0" applyFont="1" applyBorder="1" applyAlignment="1">
      <alignment vertical="center"/>
    </xf>
    <xf numFmtId="0" fontId="106" fillId="0" borderId="148" xfId="13" applyFont="1" applyBorder="1" applyAlignment="1" applyProtection="1">
      <alignment horizontal="left" vertical="top" wrapText="1"/>
      <protection locked="0"/>
    </xf>
    <xf numFmtId="0" fontId="106" fillId="0" borderId="149" xfId="13" applyFont="1" applyBorder="1" applyAlignment="1" applyProtection="1">
      <alignment horizontal="left" vertical="top" wrapText="1"/>
      <protection locked="0"/>
    </xf>
    <xf numFmtId="0" fontId="106" fillId="0" borderId="147" xfId="0" applyFont="1" applyBorder="1" applyAlignment="1">
      <alignment vertical="center" wrapText="1"/>
    </xf>
    <xf numFmtId="0" fontId="125" fillId="0" borderId="0" xfId="0" applyFont="1" applyAlignment="1">
      <alignment horizontal="left" indent="2"/>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25" fillId="0" borderId="0" xfId="0" applyFont="1" applyAlignment="1">
      <alignment horizontal="left" vertical="center" wrapText="1"/>
    </xf>
    <xf numFmtId="0" fontId="116" fillId="0" borderId="0" xfId="0" applyFont="1" applyAlignment="1">
      <alignment horizontal="left" vertical="center" wrapText="1"/>
    </xf>
    <xf numFmtId="0" fontId="106" fillId="0" borderId="147" xfId="0" applyFont="1" applyBorder="1" applyAlignment="1">
      <alignment horizontal="left" indent="2"/>
    </xf>
    <xf numFmtId="0" fontId="106" fillId="0" borderId="134" xfId="0" applyFont="1" applyBorder="1" applyAlignment="1">
      <alignment horizontal="left" vertical="center" wrapText="1" readingOrder="1"/>
    </xf>
    <xf numFmtId="0" fontId="106" fillId="0" borderId="146" xfId="0" applyFont="1" applyBorder="1" applyAlignment="1">
      <alignment horizontal="left" vertical="center" wrapText="1" readingOrder="1"/>
    </xf>
    <xf numFmtId="167" fontId="19" fillId="81" borderId="56"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6" fillId="0" borderId="0" xfId="0" applyFont="1" applyAlignment="1">
      <alignment wrapText="1"/>
    </xf>
    <xf numFmtId="0" fontId="142" fillId="0" borderId="0" xfId="0" applyFont="1"/>
    <xf numFmtId="0" fontId="143" fillId="0" borderId="0" xfId="0" applyFont="1" applyAlignment="1">
      <alignment vertical="top"/>
    </xf>
    <xf numFmtId="0" fontId="143" fillId="0" borderId="0" xfId="0" applyFont="1" applyAlignment="1">
      <alignment vertical="top" wrapText="1"/>
    </xf>
    <xf numFmtId="0" fontId="150" fillId="0" borderId="0" xfId="0" applyFont="1" applyAlignment="1">
      <alignment vertical="top" wrapText="1"/>
    </xf>
    <xf numFmtId="0" fontId="7" fillId="0" borderId="0" xfId="11" applyFont="1"/>
    <xf numFmtId="0" fontId="149" fillId="0" borderId="0" xfId="11" applyFont="1"/>
    <xf numFmtId="0" fontId="144" fillId="82" borderId="146" xfId="0" applyFont="1" applyFill="1" applyBorder="1" applyAlignment="1">
      <alignment horizontal="left" vertical="center"/>
    </xf>
    <xf numFmtId="49" fontId="145" fillId="0" borderId="146" xfId="0" applyNumberFormat="1" applyFont="1" applyBorder="1" applyAlignment="1">
      <alignment horizontal="left" vertical="center"/>
    </xf>
    <xf numFmtId="0" fontId="145" fillId="0" borderId="146" xfId="0" applyFont="1" applyBorder="1" applyAlignment="1">
      <alignment horizontal="left" vertical="center"/>
    </xf>
    <xf numFmtId="0" fontId="144" fillId="0" borderId="146" xfId="0" applyFont="1" applyBorder="1" applyAlignment="1">
      <alignment horizontal="left" vertical="center"/>
    </xf>
    <xf numFmtId="0" fontId="144" fillId="83" borderId="16" xfId="0" applyFont="1" applyFill="1" applyBorder="1" applyAlignment="1">
      <alignment horizontal="center" vertical="center"/>
    </xf>
    <xf numFmtId="0" fontId="144" fillId="83" borderId="17" xfId="0" applyFont="1" applyFill="1" applyBorder="1" applyAlignment="1">
      <alignment horizontal="center" vertical="center"/>
    </xf>
    <xf numFmtId="194" fontId="144" fillId="82" borderId="155" xfId="7" applyNumberFormat="1" applyFont="1" applyFill="1" applyBorder="1" applyAlignment="1">
      <alignment horizontal="left" vertical="center"/>
    </xf>
    <xf numFmtId="194" fontId="145" fillId="0" borderId="155" xfId="7" applyNumberFormat="1" applyFont="1" applyFill="1" applyBorder="1" applyAlignment="1">
      <alignment horizontal="left" vertical="center"/>
    </xf>
    <xf numFmtId="10" fontId="7" fillId="0" borderId="155" xfId="0" applyNumberFormat="1" applyFont="1" applyBorder="1" applyAlignment="1">
      <alignment horizontal="right" vertical="center" wrapText="1"/>
    </xf>
    <xf numFmtId="0" fontId="148" fillId="84" borderId="153" xfId="0" applyFont="1" applyFill="1" applyBorder="1" applyAlignment="1">
      <alignment horizontal="left" vertical="center"/>
    </xf>
    <xf numFmtId="10" fontId="149"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6" fillId="86" borderId="146" xfId="0" applyFont="1" applyFill="1" applyBorder="1" applyAlignment="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5"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2" fillId="82" borderId="146" xfId="0" applyFont="1" applyFill="1" applyBorder="1" applyAlignment="1">
      <alignment horizontal="left" vertical="center" wrapText="1" indent="5"/>
    </xf>
    <xf numFmtId="0" fontId="153" fillId="83" borderId="146" xfId="0" applyFont="1" applyFill="1" applyBorder="1" applyAlignment="1">
      <alignment horizontal="left" vertical="center" wrapText="1" indent="1"/>
    </xf>
    <xf numFmtId="194" fontId="153" fillId="83" borderId="146" xfId="7" applyNumberFormat="1" applyFont="1" applyFill="1" applyBorder="1" applyAlignment="1">
      <alignment vertical="center"/>
    </xf>
    <xf numFmtId="194" fontId="153" fillId="84" borderId="155" xfId="7" applyNumberFormat="1" applyFont="1" applyFill="1" applyBorder="1" applyAlignment="1">
      <alignment vertical="center"/>
    </xf>
    <xf numFmtId="194" fontId="154" fillId="82" borderId="146" xfId="7" applyNumberFormat="1" applyFont="1" applyFill="1" applyBorder="1" applyAlignment="1">
      <alignment vertical="center"/>
    </xf>
    <xf numFmtId="194" fontId="154" fillId="84" borderId="155" xfId="7" applyNumberFormat="1" applyFont="1" applyFill="1" applyBorder="1" applyAlignment="1">
      <alignment vertical="center"/>
    </xf>
    <xf numFmtId="0" fontId="152" fillId="82" borderId="153" xfId="0" applyFont="1" applyFill="1" applyBorder="1" applyAlignment="1">
      <alignment horizontal="left" vertical="center" wrapText="1" indent="5"/>
    </xf>
    <xf numFmtId="194" fontId="154" fillId="82" borderId="153" xfId="7" applyNumberFormat="1" applyFont="1" applyFill="1" applyBorder="1" applyAlignment="1">
      <alignment vertical="center"/>
    </xf>
    <xf numFmtId="194" fontId="154" fillId="84" borderId="152" xfId="7" applyNumberFormat="1" applyFont="1" applyFill="1" applyBorder="1" applyAlignment="1">
      <alignment vertical="center"/>
    </xf>
    <xf numFmtId="0" fontId="7" fillId="0" borderId="146" xfId="13" applyFont="1" applyBorder="1" applyAlignment="1" applyProtection="1">
      <alignment wrapText="1"/>
      <protection locked="0"/>
    </xf>
    <xf numFmtId="0" fontId="7" fillId="0" borderId="3" xfId="13" applyFont="1" applyBorder="1" applyAlignment="1" applyProtection="1">
      <alignment vertical="center" wrapText="1"/>
      <protection locked="0"/>
    </xf>
    <xf numFmtId="49" fontId="155" fillId="0" borderId="97" xfId="0" applyNumberFormat="1" applyFont="1" applyBorder="1" applyAlignment="1">
      <alignment horizontal="right" vertical="center"/>
    </xf>
    <xf numFmtId="0" fontId="155" fillId="0" borderId="146" xfId="12672" applyFont="1" applyBorder="1" applyAlignment="1">
      <alignment horizontal="left" vertical="center" wrapText="1"/>
    </xf>
    <xf numFmtId="0" fontId="155" fillId="0" borderId="147" xfId="0" applyFont="1" applyBorder="1" applyAlignment="1">
      <alignment horizontal="left" vertical="top" wrapText="1"/>
    </xf>
    <xf numFmtId="0" fontId="155" fillId="0" borderId="146" xfId="0" applyFont="1" applyBorder="1" applyAlignment="1">
      <alignment vertical="center" wrapText="1"/>
    </xf>
    <xf numFmtId="0" fontId="132" fillId="0" borderId="146" xfId="21414" applyFont="1" applyBorder="1" applyAlignment="1">
      <alignment horizontal="left" vertical="center" wrapText="1"/>
    </xf>
    <xf numFmtId="0" fontId="4" fillId="0" borderId="146" xfId="0" applyFont="1" applyBorder="1"/>
    <xf numFmtId="0" fontId="11" fillId="0" borderId="146" xfId="17" applyFill="1" applyBorder="1" applyAlignment="1" applyProtection="1"/>
    <xf numFmtId="0" fontId="139" fillId="3" borderId="146" xfId="5" applyFont="1" applyFill="1" applyBorder="1" applyProtection="1">
      <protection locked="0"/>
    </xf>
    <xf numFmtId="0" fontId="139" fillId="0" borderId="146" xfId="21416" applyFont="1" applyBorder="1" applyAlignment="1" applyProtection="1">
      <alignment horizontal="center" vertical="top" wrapText="1"/>
      <protection locked="0"/>
    </xf>
    <xf numFmtId="0" fontId="156" fillId="3" borderId="146" xfId="21416" applyFont="1" applyFill="1" applyBorder="1" applyAlignment="1" applyProtection="1">
      <alignment wrapText="1"/>
      <protection locked="0"/>
    </xf>
    <xf numFmtId="3" fontId="139" fillId="80" borderId="146" xfId="5" applyNumberFormat="1" applyFont="1" applyFill="1" applyBorder="1"/>
    <xf numFmtId="0" fontId="137" fillId="3" borderId="146" xfId="21416" applyFont="1" applyFill="1" applyBorder="1" applyAlignment="1" applyProtection="1">
      <alignment horizontal="right" wrapText="1"/>
      <protection locked="0"/>
    </xf>
    <xf numFmtId="3" fontId="139" fillId="0" borderId="146" xfId="5" applyNumberFormat="1" applyFont="1" applyBorder="1"/>
    <xf numFmtId="0" fontId="157" fillId="0" borderId="0" xfId="21415" applyFont="1" applyAlignment="1" applyProtection="1">
      <alignment vertical="center"/>
      <protection locked="0"/>
    </xf>
    <xf numFmtId="0" fontId="112" fillId="76" borderId="149" xfId="21412" applyFont="1" applyFill="1" applyBorder="1" applyAlignment="1" applyProtection="1">
      <alignment vertical="center" wrapText="1"/>
      <protection locked="0"/>
    </xf>
    <xf numFmtId="0" fontId="62" fillId="76" borderId="148" xfId="21412" applyFont="1" applyFill="1" applyBorder="1" applyProtection="1">
      <alignment vertical="center"/>
      <protection locked="0"/>
    </xf>
    <xf numFmtId="0" fontId="113" fillId="69" borderId="147" xfId="21412" applyFont="1" applyFill="1" applyBorder="1" applyAlignment="1" applyProtection="1">
      <alignment horizontal="center" vertical="center"/>
      <protection locked="0"/>
    </xf>
    <xf numFmtId="0" fontId="113" fillId="0" borderId="148" xfId="21412" applyFont="1" applyBorder="1" applyAlignment="1" applyProtection="1">
      <alignment horizontal="left" vertical="center" wrapText="1"/>
      <protection locked="0"/>
    </xf>
    <xf numFmtId="164" fontId="113" fillId="0" borderId="146" xfId="948" applyNumberFormat="1" applyFont="1" applyFill="1" applyBorder="1" applyAlignment="1" applyProtection="1">
      <alignment horizontal="right" vertical="center"/>
      <protection locked="0"/>
    </xf>
    <xf numFmtId="0" fontId="112"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top" wrapText="1"/>
      <protection locked="0"/>
    </xf>
    <xf numFmtId="164" fontId="113" fillId="77" borderId="146" xfId="948" applyNumberFormat="1" applyFont="1" applyFill="1" applyBorder="1" applyAlignment="1" applyProtection="1">
      <alignment horizontal="right" vertical="center"/>
    </xf>
    <xf numFmtId="0" fontId="112" fillId="76" borderId="149" xfId="21412" applyFont="1" applyFill="1" applyBorder="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4" fillId="69" borderId="147" xfId="21412" applyFont="1" applyFill="1" applyBorder="1" applyAlignment="1" applyProtection="1">
      <alignment horizontal="center" vertical="center"/>
      <protection locked="0"/>
    </xf>
    <xf numFmtId="0" fontId="113" fillId="69" borderId="146" xfId="21412" applyFont="1" applyFill="1" applyBorder="1" applyAlignment="1" applyProtection="1">
      <alignment vertical="center" wrapText="1"/>
      <protection locked="0"/>
    </xf>
    <xf numFmtId="0" fontId="113" fillId="69" borderId="146" xfId="21412" applyFont="1" applyFill="1" applyBorder="1" applyAlignment="1" applyProtection="1">
      <alignment horizontal="left" vertical="center" wrapText="1"/>
      <protection locked="0"/>
    </xf>
    <xf numFmtId="0" fontId="113" fillId="0" borderId="146" xfId="21412" applyFont="1" applyBorder="1" applyAlignment="1" applyProtection="1">
      <alignment horizontal="left" vertical="center" wrapText="1"/>
      <protection locked="0"/>
    </xf>
    <xf numFmtId="0" fontId="114" fillId="3" borderId="147" xfId="21412" applyFont="1" applyFill="1" applyBorder="1" applyAlignment="1" applyProtection="1">
      <alignment horizontal="center" vertical="center"/>
      <protection locked="0"/>
    </xf>
    <xf numFmtId="0" fontId="113" fillId="0" borderId="146" xfId="21412" applyFont="1" applyBorder="1" applyAlignment="1" applyProtection="1">
      <alignment vertical="center" wrapText="1"/>
      <protection locked="0"/>
    </xf>
    <xf numFmtId="0" fontId="115"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center" wrapText="1"/>
      <protection locked="0"/>
    </xf>
    <xf numFmtId="164" fontId="112" fillId="76" borderId="148" xfId="948" applyNumberFormat="1" applyFont="1" applyFill="1" applyBorder="1" applyAlignment="1" applyProtection="1">
      <alignment horizontal="right" vertical="center"/>
      <protection locked="0"/>
    </xf>
    <xf numFmtId="0" fontId="113" fillId="69" borderId="148" xfId="21412" applyFont="1" applyFill="1" applyBorder="1" applyAlignment="1" applyProtection="1">
      <alignment vertical="center" wrapText="1"/>
      <protection locked="0"/>
    </xf>
    <xf numFmtId="0" fontId="62" fillId="76" borderId="149" xfId="21412" applyFont="1" applyFill="1" applyBorder="1" applyProtection="1">
      <alignment vertical="center"/>
      <protection locked="0"/>
    </xf>
    <xf numFmtId="164" fontId="113" fillId="3" borderId="146" xfId="948" applyNumberFormat="1" applyFont="1" applyFill="1" applyBorder="1" applyAlignment="1" applyProtection="1">
      <alignment horizontal="right" vertical="center"/>
      <protection locked="0"/>
    </xf>
    <xf numFmtId="0" fontId="114" fillId="3" borderId="146" xfId="21412" applyFont="1" applyFill="1" applyBorder="1" applyAlignment="1" applyProtection="1">
      <alignment horizontal="center" vertical="center"/>
      <protection locked="0"/>
    </xf>
    <xf numFmtId="0" fontId="113" fillId="69" borderId="148" xfId="21412" applyFont="1" applyFill="1" applyBorder="1" applyAlignment="1" applyProtection="1">
      <alignment horizontal="left" vertical="center" wrapText="1"/>
      <protection locked="0"/>
    </xf>
    <xf numFmtId="0" fontId="156" fillId="3" borderId="0" xfId="21415" applyFont="1" applyFill="1" applyAlignment="1" applyProtection="1">
      <alignment vertical="center"/>
      <protection locked="0"/>
    </xf>
    <xf numFmtId="0" fontId="139" fillId="3" borderId="146" xfId="5" applyFont="1" applyFill="1" applyBorder="1" applyAlignment="1" applyProtection="1">
      <alignment vertical="center" wrapText="1"/>
      <protection locked="0"/>
    </xf>
    <xf numFmtId="0" fontId="139" fillId="0" borderId="146" xfId="21416" applyFont="1" applyBorder="1" applyAlignment="1" applyProtection="1">
      <alignment horizontal="center" vertical="center" wrapText="1"/>
      <protection locked="0"/>
    </xf>
    <xf numFmtId="3" fontId="139" fillId="3" borderId="146" xfId="1" applyNumberFormat="1" applyFont="1" applyFill="1" applyBorder="1" applyAlignment="1" applyProtection="1">
      <alignment horizontal="center" vertical="center" wrapText="1"/>
      <protection locked="0"/>
    </xf>
    <xf numFmtId="9" fontId="139" fillId="3" borderId="146" xfId="15" applyNumberFormat="1" applyFont="1" applyFill="1" applyBorder="1" applyAlignment="1" applyProtection="1">
      <alignment horizontal="center" vertical="center" wrapText="1"/>
      <protection locked="0"/>
    </xf>
    <xf numFmtId="0" fontId="139" fillId="3" borderId="146" xfId="21416" applyFont="1" applyFill="1" applyBorder="1" applyAlignment="1" applyProtection="1">
      <alignment horizontal="center" vertical="center" wrapText="1"/>
      <protection locked="0"/>
    </xf>
    <xf numFmtId="0" fontId="156" fillId="3" borderId="146" xfId="21416" applyFont="1" applyFill="1" applyBorder="1" applyProtection="1">
      <protection locked="0"/>
    </xf>
    <xf numFmtId="0" fontId="159" fillId="3" borderId="146" xfId="21416" applyFont="1" applyFill="1" applyBorder="1" applyAlignment="1" applyProtection="1">
      <alignment horizontal="right"/>
      <protection locked="0"/>
    </xf>
    <xf numFmtId="195" fontId="139" fillId="80" borderId="146" xfId="5" applyNumberFormat="1" applyFont="1" applyFill="1" applyBorder="1" applyProtection="1">
      <protection locked="0"/>
    </xf>
    <xf numFmtId="164" fontId="139" fillId="80" borderId="146" xfId="1" applyNumberFormat="1" applyFont="1" applyFill="1" applyBorder="1" applyAlignment="1" applyProtection="1"/>
    <xf numFmtId="0" fontId="139" fillId="3" borderId="146" xfId="21416" applyFont="1" applyFill="1" applyBorder="1" applyAlignment="1" applyProtection="1">
      <alignment horizontal="left" vertical="center"/>
      <protection locked="0"/>
    </xf>
    <xf numFmtId="3" fontId="139" fillId="3" borderId="146" xfId="5" applyNumberFormat="1" applyFont="1" applyFill="1" applyBorder="1" applyProtection="1">
      <protection locked="0"/>
    </xf>
    <xf numFmtId="0" fontId="137" fillId="3" borderId="146" xfId="21416" applyFont="1" applyFill="1" applyBorder="1" applyAlignment="1" applyProtection="1">
      <alignment horizontal="right"/>
      <protection locked="0"/>
    </xf>
    <xf numFmtId="0" fontId="139" fillId="0" borderId="146" xfId="21416" applyFont="1" applyBorder="1" applyAlignment="1" applyProtection="1">
      <alignment horizontal="left" vertical="center"/>
      <protection locked="0"/>
    </xf>
    <xf numFmtId="0" fontId="156" fillId="3" borderId="146" xfId="16" applyFont="1" applyFill="1" applyBorder="1" applyProtection="1">
      <protection locked="0"/>
    </xf>
    <xf numFmtId="3" fontId="156" fillId="76" borderId="146" xfId="16" applyNumberFormat="1" applyFont="1" applyFill="1" applyBorder="1"/>
    <xf numFmtId="0" fontId="163" fillId="0" borderId="0" xfId="0" applyFont="1" applyAlignment="1">
      <alignment horizontal="left" vertical="center" wrapText="1"/>
    </xf>
    <xf numFmtId="0" fontId="11" fillId="0" borderId="3" xfId="17" applyBorder="1" applyAlignment="1" applyProtection="1"/>
    <xf numFmtId="14" fontId="4" fillId="0" borderId="0" xfId="0" applyNumberFormat="1" applyFont="1" applyAlignment="1">
      <alignment horizontal="left"/>
    </xf>
    <xf numFmtId="10" fontId="9" fillId="2" borderId="97" xfId="20961" applyNumberFormat="1" applyFont="1" applyFill="1" applyBorder="1" applyAlignment="1" applyProtection="1">
      <alignment vertical="center"/>
      <protection locked="0"/>
    </xf>
    <xf numFmtId="10" fontId="9" fillId="2" borderId="112" xfId="20961" applyNumberFormat="1" applyFont="1" applyFill="1" applyBorder="1" applyAlignment="1" applyProtection="1">
      <alignment vertical="center"/>
      <protection locked="0"/>
    </xf>
    <xf numFmtId="10" fontId="9" fillId="2" borderId="22" xfId="20961" applyNumberFormat="1" applyFont="1" applyFill="1" applyBorder="1" applyAlignment="1" applyProtection="1">
      <alignment vertical="center"/>
      <protection locked="0"/>
    </xf>
    <xf numFmtId="10" fontId="17" fillId="2" borderId="22" xfId="20961" applyNumberFormat="1" applyFont="1" applyFill="1" applyBorder="1" applyAlignment="1" applyProtection="1">
      <alignment vertical="center"/>
      <protection locked="0"/>
    </xf>
    <xf numFmtId="10" fontId="17" fillId="2" borderId="23" xfId="20961" applyNumberFormat="1" applyFont="1" applyFill="1" applyBorder="1" applyAlignment="1" applyProtection="1">
      <alignment vertical="center"/>
      <protection locked="0"/>
    </xf>
    <xf numFmtId="43" fontId="0" fillId="0" borderId="0" xfId="7" applyFont="1"/>
    <xf numFmtId="164" fontId="7" fillId="0" borderId="0" xfId="7" applyNumberFormat="1" applyFont="1"/>
    <xf numFmtId="164" fontId="4" fillId="0" borderId="0" xfId="7" applyNumberFormat="1" applyFont="1"/>
    <xf numFmtId="164" fontId="0" fillId="0" borderId="0" xfId="7" applyNumberFormat="1" applyFont="1"/>
    <xf numFmtId="164" fontId="9" fillId="0" borderId="97" xfId="7" applyNumberFormat="1" applyFont="1" applyBorder="1" applyAlignment="1">
      <alignment horizontal="center" vertical="center" wrapText="1"/>
    </xf>
    <xf numFmtId="164" fontId="0" fillId="0" borderId="97" xfId="7" applyNumberFormat="1" applyFont="1" applyBorder="1"/>
    <xf numFmtId="164" fontId="0" fillId="35" borderId="97" xfId="7" applyNumberFormat="1" applyFont="1" applyFill="1" applyBorder="1"/>
    <xf numFmtId="164" fontId="0" fillId="0" borderId="97" xfId="7" applyNumberFormat="1" applyFont="1" applyBorder="1" applyAlignment="1">
      <alignment vertical="center"/>
    </xf>
    <xf numFmtId="164" fontId="0" fillId="35" borderId="97" xfId="7" applyNumberFormat="1" applyFont="1" applyFill="1" applyBorder="1" applyAlignment="1">
      <alignment vertical="center"/>
    </xf>
    <xf numFmtId="164" fontId="0" fillId="0" borderId="138" xfId="7" applyNumberFormat="1" applyFont="1" applyBorder="1"/>
    <xf numFmtId="164" fontId="0" fillId="35" borderId="138" xfId="7" applyNumberFormat="1" applyFont="1" applyFill="1" applyBorder="1"/>
    <xf numFmtId="164" fontId="0" fillId="0" borderId="0" xfId="0" applyNumberFormat="1"/>
    <xf numFmtId="164" fontId="9" fillId="0" borderId="138" xfId="7" applyNumberFormat="1" applyFont="1" applyBorder="1" applyAlignment="1">
      <alignment horizontal="center" vertical="center" wrapText="1"/>
    </xf>
    <xf numFmtId="164" fontId="0" fillId="0" borderId="146" xfId="7" applyNumberFormat="1" applyFont="1" applyBorder="1"/>
    <xf numFmtId="164" fontId="9" fillId="0" borderId="138" xfId="7" applyNumberFormat="1" applyFont="1" applyBorder="1" applyAlignment="1">
      <alignment horizontal="right"/>
    </xf>
    <xf numFmtId="164" fontId="9" fillId="0" borderId="112" xfId="7" applyNumberFormat="1" applyFont="1" applyBorder="1" applyAlignment="1">
      <alignment horizontal="center" vertical="center" wrapText="1"/>
    </xf>
    <xf numFmtId="164" fontId="9" fillId="35" borderId="138" xfId="7" applyNumberFormat="1" applyFont="1" applyFill="1" applyBorder="1" applyAlignment="1">
      <alignment horizontal="right"/>
    </xf>
    <xf numFmtId="164" fontId="9" fillId="35" borderId="112" xfId="7" applyNumberFormat="1" applyFont="1" applyFill="1" applyBorder="1" applyAlignment="1">
      <alignment horizontal="right"/>
    </xf>
    <xf numFmtId="164" fontId="9" fillId="0" borderId="146" xfId="7" applyNumberFormat="1" applyFont="1" applyBorder="1" applyAlignment="1">
      <alignment horizontal="right"/>
    </xf>
    <xf numFmtId="164" fontId="9" fillId="0" borderId="0" xfId="7" applyNumberFormat="1" applyFont="1" applyAlignment="1">
      <alignment horizontal="right"/>
    </xf>
    <xf numFmtId="164" fontId="12" fillId="0" borderId="0" xfId="7" applyNumberFormat="1" applyFont="1"/>
    <xf numFmtId="164" fontId="21" fillId="35" borderId="97" xfId="7" applyNumberFormat="1" applyFont="1" applyFill="1" applyBorder="1" applyAlignment="1">
      <alignment vertical="center" wrapText="1"/>
    </xf>
    <xf numFmtId="164" fontId="21" fillId="35" borderId="98" xfId="7" applyNumberFormat="1" applyFont="1" applyFill="1" applyBorder="1" applyAlignment="1">
      <alignment vertical="center" wrapText="1"/>
    </xf>
    <xf numFmtId="164" fontId="21" fillId="35" borderId="112" xfId="7" applyNumberFormat="1" applyFont="1" applyFill="1" applyBorder="1" applyAlignment="1">
      <alignment vertical="center" wrapText="1"/>
    </xf>
    <xf numFmtId="164" fontId="21" fillId="35" borderId="20" xfId="7" applyNumberFormat="1" applyFont="1" applyFill="1" applyBorder="1" applyAlignment="1">
      <alignment vertical="center" wrapText="1"/>
    </xf>
    <xf numFmtId="164" fontId="21" fillId="0" borderId="97" xfId="7" applyNumberFormat="1" applyFont="1" applyBorder="1" applyAlignment="1">
      <alignment vertical="center" wrapText="1"/>
    </xf>
    <xf numFmtId="164" fontId="21" fillId="0" borderId="98" xfId="7" applyNumberFormat="1" applyFont="1" applyBorder="1" applyAlignment="1">
      <alignment vertical="center" wrapText="1"/>
    </xf>
    <xf numFmtId="164" fontId="21" fillId="0" borderId="20" xfId="7" applyNumberFormat="1" applyFont="1" applyBorder="1" applyAlignment="1">
      <alignment vertical="center" wrapText="1"/>
    </xf>
    <xf numFmtId="164" fontId="21" fillId="35" borderId="22" xfId="7" applyNumberFormat="1" applyFont="1" applyFill="1" applyBorder="1" applyAlignment="1">
      <alignment vertical="center" wrapText="1"/>
    </xf>
    <xf numFmtId="164" fontId="21" fillId="35" borderId="24" xfId="7" applyNumberFormat="1" applyFont="1" applyFill="1" applyBorder="1" applyAlignment="1">
      <alignment vertical="center" wrapText="1"/>
    </xf>
    <xf numFmtId="164" fontId="21" fillId="35" borderId="23" xfId="7" applyNumberFormat="1" applyFont="1" applyFill="1" applyBorder="1" applyAlignment="1">
      <alignment vertical="center" wrapText="1"/>
    </xf>
    <xf numFmtId="164" fontId="21" fillId="35" borderId="36" xfId="7" applyNumberFormat="1" applyFont="1" applyFill="1" applyBorder="1" applyAlignment="1">
      <alignment vertical="center" wrapText="1"/>
    </xf>
    <xf numFmtId="9" fontId="4" fillId="0" borderId="20" xfId="20961" applyFont="1" applyBorder="1"/>
    <xf numFmtId="9" fontId="4" fillId="0" borderId="112" xfId="20961" applyFont="1" applyBorder="1"/>
    <xf numFmtId="43" fontId="0" fillId="0" borderId="0" xfId="0" applyNumberFormat="1"/>
    <xf numFmtId="14" fontId="117" fillId="0" borderId="0" xfId="0" applyNumberFormat="1" applyFont="1" applyAlignment="1">
      <alignment horizontal="left"/>
    </xf>
    <xf numFmtId="164" fontId="4" fillId="0" borderId="138" xfId="7" applyNumberFormat="1" applyFont="1" applyFill="1" applyBorder="1" applyAlignment="1">
      <alignment vertical="center" wrapText="1"/>
    </xf>
    <xf numFmtId="164" fontId="4" fillId="0" borderId="138" xfId="7" applyNumberFormat="1" applyFont="1" applyBorder="1" applyAlignment="1">
      <alignment vertical="center"/>
    </xf>
    <xf numFmtId="164" fontId="6" fillId="35" borderId="22" xfId="7" applyNumberFormat="1" applyFont="1" applyFill="1" applyBorder="1" applyAlignment="1">
      <alignment horizontal="center" vertical="center"/>
    </xf>
    <xf numFmtId="164" fontId="0" fillId="0" borderId="19" xfId="7" applyNumberFormat="1" applyFont="1" applyBorder="1"/>
    <xf numFmtId="164" fontId="9" fillId="0" borderId="0" xfId="7" applyNumberFormat="1" applyFont="1"/>
    <xf numFmtId="164" fontId="7" fillId="3" borderId="17" xfId="7" applyNumberFormat="1" applyFont="1" applyFill="1" applyBorder="1" applyAlignment="1" applyProtection="1">
      <alignment horizontal="center" vertical="center"/>
      <protection locked="0"/>
    </xf>
    <xf numFmtId="164" fontId="7" fillId="35" borderId="19" xfId="7" applyNumberFormat="1" applyFont="1" applyFill="1" applyBorder="1" applyAlignment="1" applyProtection="1">
      <alignment vertical="top"/>
    </xf>
    <xf numFmtId="164" fontId="7" fillId="3" borderId="19" xfId="7" applyNumberFormat="1" applyFont="1" applyFill="1" applyBorder="1" applyAlignment="1" applyProtection="1">
      <alignment vertical="top"/>
      <protection locked="0"/>
    </xf>
    <xf numFmtId="164" fontId="7" fillId="35" borderId="19" xfId="7" applyNumberFormat="1" applyFont="1" applyFill="1" applyBorder="1" applyAlignment="1" applyProtection="1">
      <alignment vertical="top" wrapText="1"/>
    </xf>
    <xf numFmtId="164" fontId="7" fillId="3" borderId="19" xfId="7" applyNumberFormat="1" applyFont="1" applyFill="1" applyBorder="1" applyAlignment="1" applyProtection="1">
      <alignment vertical="top" wrapText="1"/>
      <protection locked="0"/>
    </xf>
    <xf numFmtId="164" fontId="7" fillId="35" borderId="19" xfId="7" applyNumberFormat="1" applyFont="1" applyFill="1" applyBorder="1" applyAlignment="1" applyProtection="1">
      <alignment vertical="top" wrapText="1"/>
      <protection locked="0"/>
    </xf>
    <xf numFmtId="164" fontId="7" fillId="35" borderId="23" xfId="7" applyNumberFormat="1" applyFont="1" applyFill="1" applyBorder="1" applyAlignment="1" applyProtection="1">
      <alignment vertical="top" wrapText="1"/>
    </xf>
    <xf numFmtId="164" fontId="4"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right" vertical="center" wrapText="1"/>
    </xf>
    <xf numFmtId="164" fontId="109"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center" vertical="center" wrapText="1"/>
    </xf>
    <xf numFmtId="164" fontId="7" fillId="0" borderId="23" xfId="7" applyNumberFormat="1" applyFont="1" applyFill="1" applyBorder="1" applyAlignment="1" applyProtection="1">
      <alignment horizontal="right" vertical="center"/>
    </xf>
    <xf numFmtId="164" fontId="4" fillId="0" borderId="0" xfId="0" applyNumberFormat="1" applyFont="1" applyAlignment="1">
      <alignment horizontal="left" vertical="center"/>
    </xf>
    <xf numFmtId="164" fontId="23" fillId="0" borderId="12" xfId="7" applyNumberFormat="1" applyFont="1" applyBorder="1" applyAlignment="1">
      <alignment horizontal="center" vertical="center"/>
    </xf>
    <xf numFmtId="164" fontId="23" fillId="0" borderId="0" xfId="7" applyNumberFormat="1" applyFont="1"/>
    <xf numFmtId="164" fontId="4" fillId="0" borderId="58" xfId="7" applyNumberFormat="1" applyFont="1" applyBorder="1" applyAlignment="1">
      <alignment horizontal="center" vertical="center" wrapText="1"/>
    </xf>
    <xf numFmtId="164" fontId="22" fillId="0" borderId="29" xfId="7" applyNumberFormat="1" applyFont="1" applyBorder="1" applyAlignment="1">
      <alignment horizontal="center" vertical="center"/>
    </xf>
    <xf numFmtId="164" fontId="104" fillId="0" borderId="12" xfId="7" applyNumberFormat="1" applyFont="1" applyBorder="1" applyAlignment="1">
      <alignment horizontal="center" vertical="center"/>
    </xf>
    <xf numFmtId="164" fontId="22" fillId="0" borderId="12" xfId="7" applyNumberFormat="1" applyFont="1" applyBorder="1" applyAlignment="1">
      <alignment horizontal="center" vertical="center"/>
    </xf>
    <xf numFmtId="164" fontId="22" fillId="0" borderId="14" xfId="7" applyNumberFormat="1" applyFont="1" applyBorder="1" applyAlignment="1">
      <alignment horizontal="center" vertical="center"/>
    </xf>
    <xf numFmtId="164" fontId="22" fillId="0" borderId="13" xfId="7" applyNumberFormat="1" applyFont="1" applyBorder="1" applyAlignment="1">
      <alignment horizontal="center" vertical="center"/>
    </xf>
    <xf numFmtId="164" fontId="19" fillId="0" borderId="13" xfId="7" applyNumberFormat="1" applyFont="1" applyBorder="1" applyAlignment="1">
      <alignment vertical="center"/>
    </xf>
    <xf numFmtId="164" fontId="22" fillId="0" borderId="138" xfId="7" applyNumberFormat="1" applyFont="1" applyBorder="1" applyAlignment="1">
      <alignment horizontal="center"/>
    </xf>
    <xf numFmtId="164" fontId="23" fillId="0" borderId="138" xfId="7" applyNumberFormat="1" applyFont="1" applyBorder="1"/>
    <xf numFmtId="164" fontId="22" fillId="0" borderId="138" xfId="7" applyNumberFormat="1" applyFont="1" applyBorder="1" applyAlignment="1">
      <alignment horizontal="center" vertical="center"/>
    </xf>
    <xf numFmtId="164" fontId="4" fillId="0" borderId="3" xfId="7" applyNumberFormat="1" applyFont="1" applyBorder="1"/>
    <xf numFmtId="164" fontId="4" fillId="0" borderId="8" xfId="7" applyNumberFormat="1" applyFont="1" applyBorder="1"/>
    <xf numFmtId="164" fontId="4" fillId="35" borderId="22" xfId="7" applyNumberFormat="1" applyFont="1" applyFill="1" applyBorder="1"/>
    <xf numFmtId="164" fontId="4" fillId="35" borderId="23" xfId="7" applyNumberFormat="1" applyFont="1" applyFill="1" applyBorder="1"/>
    <xf numFmtId="164" fontId="4" fillId="0" borderId="18" xfId="7" applyNumberFormat="1" applyFont="1" applyBorder="1"/>
    <xf numFmtId="164" fontId="4" fillId="0" borderId="19" xfId="7" applyNumberFormat="1" applyFont="1" applyBorder="1"/>
    <xf numFmtId="164" fontId="4" fillId="0" borderId="20" xfId="7" applyNumberFormat="1" applyFont="1" applyBorder="1" applyAlignment="1">
      <alignment wrapText="1"/>
    </xf>
    <xf numFmtId="164" fontId="4" fillId="0" borderId="20" xfId="7" applyNumberFormat="1" applyFont="1" applyBorder="1"/>
    <xf numFmtId="164" fontId="4" fillId="35" borderId="50" xfId="7" applyNumberFormat="1" applyFont="1" applyFill="1" applyBorder="1"/>
    <xf numFmtId="164" fontId="4" fillId="35" borderId="21" xfId="7" applyNumberFormat="1" applyFont="1" applyFill="1" applyBorder="1"/>
    <xf numFmtId="164" fontId="4" fillId="35" borderId="51" xfId="7" applyNumberFormat="1" applyFont="1" applyFill="1" applyBorder="1"/>
    <xf numFmtId="164" fontId="4" fillId="0" borderId="0" xfId="0" applyNumberFormat="1" applyFont="1"/>
    <xf numFmtId="164" fontId="4" fillId="0" borderId="52" xfId="7" applyNumberFormat="1" applyFont="1" applyBorder="1" applyAlignment="1">
      <alignment vertical="center"/>
    </xf>
    <xf numFmtId="164" fontId="4" fillId="0" borderId="63" xfId="7" applyNumberFormat="1" applyFont="1" applyBorder="1" applyAlignment="1">
      <alignment vertical="center"/>
    </xf>
    <xf numFmtId="164" fontId="4" fillId="0" borderId="98" xfId="7" applyNumberFormat="1" applyFont="1" applyBorder="1" applyAlignment="1">
      <alignment vertical="center"/>
    </xf>
    <xf numFmtId="164" fontId="4" fillId="0" borderId="112" xfId="7" applyNumberFormat="1" applyFont="1" applyBorder="1" applyAlignment="1">
      <alignment vertical="center"/>
    </xf>
    <xf numFmtId="164" fontId="4" fillId="0" borderId="22" xfId="7" applyNumberFormat="1" applyFont="1" applyBorder="1" applyAlignment="1">
      <alignment vertical="center"/>
    </xf>
    <xf numFmtId="164" fontId="4" fillId="0" borderId="24" xfId="7" applyNumberFormat="1" applyFont="1" applyBorder="1" applyAlignment="1">
      <alignment vertical="center"/>
    </xf>
    <xf numFmtId="164" fontId="4" fillId="0" borderId="23" xfId="7" applyNumberFormat="1" applyFont="1" applyBorder="1" applyAlignment="1">
      <alignment vertical="center"/>
    </xf>
    <xf numFmtId="164" fontId="4" fillId="0" borderId="25" xfId="7" applyNumberFormat="1" applyFont="1" applyFill="1" applyBorder="1" applyAlignment="1">
      <alignment vertical="center"/>
    </xf>
    <xf numFmtId="164" fontId="4" fillId="0" borderId="17" xfId="7" applyNumberFormat="1" applyFont="1" applyFill="1" applyBorder="1" applyAlignment="1">
      <alignment vertical="center"/>
    </xf>
    <xf numFmtId="164" fontId="4" fillId="0" borderId="145" xfId="7" applyNumberFormat="1" applyFont="1" applyFill="1" applyBorder="1" applyAlignment="1">
      <alignment vertical="center"/>
    </xf>
    <xf numFmtId="164" fontId="4" fillId="0" borderId="106" xfId="7" applyNumberFormat="1" applyFont="1" applyFill="1" applyBorder="1" applyAlignment="1">
      <alignment vertical="center"/>
    </xf>
    <xf numFmtId="10" fontId="4" fillId="0" borderId="92" xfId="20961" applyNumberFormat="1" applyFont="1" applyFill="1" applyBorder="1" applyAlignment="1">
      <alignment vertical="center"/>
    </xf>
    <xf numFmtId="10" fontId="4" fillId="0" borderId="108" xfId="20961" applyNumberFormat="1" applyFont="1" applyFill="1" applyBorder="1" applyAlignment="1">
      <alignment vertical="center"/>
    </xf>
    <xf numFmtId="10" fontId="113" fillId="77" borderId="146" xfId="20961" applyNumberFormat="1" applyFont="1" applyFill="1" applyBorder="1" applyAlignment="1" applyProtection="1">
      <alignment horizontal="right" vertical="center"/>
    </xf>
    <xf numFmtId="164" fontId="120" fillId="0" borderId="138" xfId="7" applyNumberFormat="1" applyFont="1" applyBorder="1"/>
    <xf numFmtId="164" fontId="117" fillId="0" borderId="138" xfId="7" applyNumberFormat="1" applyFont="1" applyBorder="1"/>
    <xf numFmtId="164" fontId="117" fillId="0" borderId="0" xfId="0" applyNumberFormat="1" applyFont="1"/>
    <xf numFmtId="164" fontId="117" fillId="0" borderId="0" xfId="7" applyNumberFormat="1" applyFont="1"/>
    <xf numFmtId="164" fontId="116" fillId="0" borderId="146" xfId="7" applyNumberFormat="1" applyFont="1" applyBorder="1"/>
    <xf numFmtId="164" fontId="116" fillId="35" borderId="146" xfId="7" applyNumberFormat="1" applyFont="1" applyFill="1" applyBorder="1"/>
    <xf numFmtId="164" fontId="119" fillId="0" borderId="146" xfId="7" applyNumberFormat="1" applyFont="1" applyBorder="1"/>
    <xf numFmtId="164" fontId="117" fillId="0" borderId="146" xfId="7" applyNumberFormat="1" applyFont="1" applyBorder="1"/>
    <xf numFmtId="164" fontId="120" fillId="0" borderId="146" xfId="7" applyNumberFormat="1" applyFont="1" applyBorder="1"/>
    <xf numFmtId="164" fontId="116" fillId="0" borderId="0" xfId="7" applyNumberFormat="1" applyFont="1"/>
    <xf numFmtId="164" fontId="116" fillId="78" borderId="146" xfId="7" applyNumberFormat="1" applyFont="1" applyFill="1" applyBorder="1"/>
    <xf numFmtId="164" fontId="116" fillId="0" borderId="146" xfId="7" applyNumberFormat="1" applyFont="1" applyBorder="1" applyAlignment="1">
      <alignment horizontal="left" indent="1"/>
    </xf>
    <xf numFmtId="164" fontId="119" fillId="80" borderId="146" xfId="7" applyNumberFormat="1" applyFont="1" applyFill="1" applyBorder="1"/>
    <xf numFmtId="164" fontId="119" fillId="0" borderId="68" xfId="7" applyNumberFormat="1" applyFont="1" applyBorder="1"/>
    <xf numFmtId="164" fontId="116" fillId="0" borderId="155" xfId="7" applyNumberFormat="1" applyFont="1" applyBorder="1"/>
    <xf numFmtId="164" fontId="116" fillId="0" borderId="156" xfId="7" applyNumberFormat="1" applyFont="1" applyBorder="1" applyAlignment="1">
      <alignment horizontal="left" indent="1"/>
    </xf>
    <xf numFmtId="164" fontId="116" fillId="0" borderId="156" xfId="7" applyNumberFormat="1" applyFont="1" applyBorder="1" applyAlignment="1">
      <alignment horizontal="left" indent="2"/>
    </xf>
    <xf numFmtId="164" fontId="116" fillId="0" borderId="156" xfId="7" applyNumberFormat="1" applyFont="1" applyBorder="1" applyAlignment="1">
      <alignment horizontal="left" indent="3"/>
    </xf>
    <xf numFmtId="164" fontId="116" fillId="0" borderId="156" xfId="7" applyNumberFormat="1" applyFont="1" applyBorder="1" applyAlignment="1">
      <alignment horizontal="left" vertical="top" wrapText="1" indent="2"/>
    </xf>
    <xf numFmtId="164" fontId="116" fillId="0" borderId="156" xfId="7" applyNumberFormat="1" applyFont="1" applyBorder="1" applyAlignment="1">
      <alignment horizontal="left" wrapText="1" indent="3"/>
    </xf>
    <xf numFmtId="164" fontId="116" fillId="0" borderId="156" xfId="7" applyNumberFormat="1" applyFont="1" applyBorder="1" applyAlignment="1">
      <alignment horizontal="left" wrapText="1" indent="2"/>
    </xf>
    <xf numFmtId="164" fontId="116" fillId="0" borderId="156" xfId="7" applyNumberFormat="1" applyFont="1" applyBorder="1" applyAlignment="1">
      <alignment horizontal="left" wrapText="1" indent="1"/>
    </xf>
    <xf numFmtId="164" fontId="116" fillId="0" borderId="154" xfId="7" applyNumberFormat="1" applyFont="1" applyBorder="1" applyAlignment="1">
      <alignment horizontal="left" wrapText="1" indent="1"/>
    </xf>
    <xf numFmtId="164" fontId="116" fillId="0" borderId="153" xfId="7" applyNumberFormat="1" applyFont="1" applyBorder="1"/>
    <xf numFmtId="164" fontId="116" fillId="0" borderId="152" xfId="7" applyNumberFormat="1" applyFont="1" applyBorder="1"/>
    <xf numFmtId="164" fontId="116" fillId="0" borderId="146" xfId="7" applyNumberFormat="1" applyFont="1" applyBorder="1" applyAlignment="1">
      <alignment horizontal="left" vertical="center" wrapText="1"/>
    </xf>
    <xf numFmtId="164" fontId="116" fillId="0" borderId="146" xfId="7" applyNumberFormat="1" applyFont="1" applyBorder="1" applyAlignment="1">
      <alignment horizontal="center" vertical="center" wrapText="1"/>
    </xf>
    <xf numFmtId="164" fontId="116" fillId="0" borderId="146" xfId="7" applyNumberFormat="1" applyFont="1" applyBorder="1" applyAlignment="1">
      <alignment horizontal="center" vertical="center"/>
    </xf>
    <xf numFmtId="164" fontId="119" fillId="0" borderId="146" xfId="7" applyNumberFormat="1" applyFont="1" applyBorder="1" applyAlignment="1">
      <alignment horizontal="left" vertical="center" wrapText="1"/>
    </xf>
    <xf numFmtId="164" fontId="119" fillId="0" borderId="146" xfId="7" applyNumberFormat="1" applyFont="1" applyBorder="1" applyAlignment="1">
      <alignment horizontal="center" vertical="center"/>
    </xf>
    <xf numFmtId="164" fontId="125" fillId="0" borderId="0" xfId="7" applyNumberFormat="1" applyFont="1"/>
    <xf numFmtId="164" fontId="121" fillId="0" borderId="146" xfId="7" applyNumberFormat="1" applyFont="1" applyBorder="1"/>
    <xf numFmtId="164" fontId="139" fillId="0" borderId="0" xfId="7" applyNumberFormat="1" applyFont="1"/>
    <xf numFmtId="164" fontId="121" fillId="0" borderId="147" xfId="7" applyNumberFormat="1" applyFont="1" applyBorder="1"/>
    <xf numFmtId="0" fontId="141" fillId="0" borderId="159" xfId="0" applyFont="1" applyBorder="1" applyAlignment="1">
      <alignment horizontal="center" vertical="center"/>
    </xf>
    <xf numFmtId="0" fontId="141" fillId="0" borderId="28" xfId="0" applyFont="1" applyBorder="1" applyAlignment="1">
      <alignment horizontal="center" vertical="center"/>
    </xf>
    <xf numFmtId="0" fontId="141" fillId="0" borderId="160" xfId="0" applyFont="1" applyBorder="1" applyAlignment="1">
      <alignment horizontal="center" vertical="center"/>
    </xf>
    <xf numFmtId="0" fontId="104" fillId="0" borderId="65" xfId="0" applyFont="1" applyBorder="1" applyAlignment="1">
      <alignment horizontal="left" vertical="center" wrapText="1"/>
    </xf>
    <xf numFmtId="0" fontId="104" fillId="0" borderId="64" xfId="0" applyFont="1" applyBorder="1" applyAlignment="1">
      <alignment horizontal="left" vertical="center" wrapText="1"/>
    </xf>
    <xf numFmtId="164" fontId="0" fillId="0" borderId="98" xfId="7" applyNumberFormat="1" applyFont="1" applyBorder="1" applyAlignment="1">
      <alignment horizontal="center"/>
    </xf>
    <xf numFmtId="164" fontId="0" fillId="0" borderId="95" xfId="7" applyNumberFormat="1" applyFont="1" applyBorder="1" applyAlignment="1">
      <alignment horizontal="center"/>
    </xf>
    <xf numFmtId="164" fontId="0" fillId="0" borderId="96" xfId="7" applyNumberFormat="1" applyFont="1" applyBorder="1" applyAlignment="1">
      <alignment horizontal="center"/>
    </xf>
    <xf numFmtId="164" fontId="0" fillId="0" borderId="139" xfId="7" applyNumberFormat="1" applyFont="1" applyBorder="1" applyAlignment="1">
      <alignment horizontal="center"/>
    </xf>
    <xf numFmtId="164" fontId="0" fillId="0" borderId="140" xfId="7" applyNumberFormat="1" applyFont="1" applyBorder="1" applyAlignment="1">
      <alignment horizontal="center"/>
    </xf>
    <xf numFmtId="164" fontId="0" fillId="0" borderId="141" xfId="7" applyNumberFormat="1" applyFont="1" applyBorder="1" applyAlignment="1">
      <alignment horizontal="center"/>
    </xf>
    <xf numFmtId="0" fontId="0" fillId="0" borderId="138" xfId="0" applyBorder="1" applyAlignment="1">
      <alignment horizontal="center" vertical="center"/>
    </xf>
    <xf numFmtId="0" fontId="128" fillId="0" borderId="93" xfId="0" applyFont="1" applyBorder="1" applyAlignment="1">
      <alignment horizontal="center" vertical="center"/>
    </xf>
    <xf numFmtId="0" fontId="128" fillId="0" borderId="7" xfId="0" applyFont="1" applyBorder="1" applyAlignment="1">
      <alignment horizontal="center" vertical="center"/>
    </xf>
    <xf numFmtId="164" fontId="10" fillId="0" borderId="16" xfId="7" applyNumberFormat="1" applyFont="1" applyBorder="1" applyAlignment="1">
      <alignment horizontal="center" vertical="center"/>
    </xf>
    <xf numFmtId="164" fontId="10" fillId="0" borderId="17" xfId="7" applyNumberFormat="1" applyFont="1" applyBorder="1" applyAlignment="1">
      <alignment horizontal="center" vertical="center"/>
    </xf>
    <xf numFmtId="0" fontId="128" fillId="0" borderId="14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164" fontId="10" fillId="0" borderId="16" xfId="7" applyNumberFormat="1" applyFont="1" applyBorder="1" applyAlignment="1">
      <alignment horizontal="center"/>
    </xf>
    <xf numFmtId="164" fontId="10" fillId="0" borderId="17" xfId="7" applyNumberFormat="1" applyFont="1" applyBorder="1" applyAlignment="1">
      <alignment horizontal="center"/>
    </xf>
    <xf numFmtId="0" fontId="13" fillId="0" borderId="3" xfId="0" applyFont="1" applyBorder="1" applyAlignment="1">
      <alignment wrapText="1"/>
    </xf>
    <xf numFmtId="0" fontId="4" fillId="0" borderId="19" xfId="0" applyFont="1" applyBorder="1"/>
    <xf numFmtId="0" fontId="10" fillId="0" borderId="8"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xf>
    <xf numFmtId="0" fontId="4" fillId="0" borderId="20" xfId="0" applyFont="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6" fillId="86" borderId="63" xfId="0" applyFont="1" applyFill="1" applyBorder="1" applyAlignment="1">
      <alignment horizontal="center" vertical="center" wrapText="1"/>
    </xf>
    <xf numFmtId="0" fontId="6" fillId="86" borderId="155" xfId="0" applyFont="1" applyFill="1" applyBorder="1" applyAlignment="1">
      <alignment horizontal="center" vertical="center" wrapText="1"/>
    </xf>
    <xf numFmtId="0" fontId="101" fillId="3" borderId="66" xfId="13" applyFont="1" applyFill="1" applyBorder="1" applyAlignment="1" applyProtection="1">
      <alignment horizontal="center" vertical="center" wrapText="1"/>
      <protection locked="0"/>
    </xf>
    <xf numFmtId="0" fontId="101" fillId="3" borderId="63"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5" xfId="1" applyNumberFormat="1" applyFont="1" applyFill="1" applyBorder="1" applyAlignment="1" applyProtection="1">
      <alignment horizontal="center"/>
      <protection locked="0"/>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9" xfId="1" applyNumberFormat="1" applyFont="1" applyFill="1" applyBorder="1" applyAlignment="1" applyProtection="1">
      <alignment horizontal="center" vertical="center" wrapText="1"/>
      <protection locked="0"/>
    </xf>
    <xf numFmtId="164" fontId="15" fillId="0" borderId="90" xfId="1" applyNumberFormat="1" applyFont="1" applyFill="1" applyBorder="1" applyAlignment="1" applyProtection="1">
      <alignment horizontal="center" vertical="center" wrapText="1"/>
      <protection locked="0"/>
    </xf>
    <xf numFmtId="0" fontId="4" fillId="0" borderId="66"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4" xfId="0" applyFont="1" applyBorder="1" applyAlignment="1">
      <alignment horizontal="center" vertical="center" wrapText="1"/>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9" fillId="0" borderId="119" xfId="0" applyFont="1" applyBorder="1" applyAlignment="1">
      <alignment horizontal="left" vertical="center" wrapText="1"/>
    </xf>
    <xf numFmtId="0" fontId="119" fillId="0" borderId="120" xfId="0" applyFont="1" applyBorder="1" applyAlignment="1">
      <alignment horizontal="left" vertical="center" wrapText="1"/>
    </xf>
    <xf numFmtId="0" fontId="119" fillId="0" borderId="122" xfId="0" applyFont="1" applyBorder="1" applyAlignment="1">
      <alignment horizontal="left" vertical="center" wrapText="1"/>
    </xf>
    <xf numFmtId="0" fontId="119" fillId="0" borderId="123" xfId="0" applyFont="1" applyBorder="1" applyAlignment="1">
      <alignment horizontal="left" vertical="center" wrapText="1"/>
    </xf>
    <xf numFmtId="0" fontId="119" fillId="0" borderId="125" xfId="0" applyFont="1" applyBorder="1" applyAlignment="1">
      <alignment horizontal="left" vertical="center" wrapText="1"/>
    </xf>
    <xf numFmtId="0" fontId="119" fillId="0" borderId="126" xfId="0" applyFont="1" applyBorder="1" applyAlignment="1">
      <alignment horizontal="left" vertical="center" wrapText="1"/>
    </xf>
    <xf numFmtId="0" fontId="120" fillId="0" borderId="145" xfId="0" applyFont="1" applyBorder="1" applyAlignment="1">
      <alignment horizontal="center" vertical="center" wrapText="1"/>
    </xf>
    <xf numFmtId="0" fontId="120" fillId="0" borderId="144" xfId="0" applyFont="1" applyBorder="1" applyAlignment="1">
      <alignment horizontal="center" vertical="center" wrapText="1"/>
    </xf>
    <xf numFmtId="0" fontId="120" fillId="0" borderId="121" xfId="0" applyFont="1" applyBorder="1" applyAlignment="1">
      <alignment horizontal="center" vertical="center" wrapText="1"/>
    </xf>
    <xf numFmtId="0" fontId="120" fillId="0" borderId="52"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6" xfId="0" applyFont="1" applyBorder="1" applyAlignment="1">
      <alignment horizontal="center" vertical="center" wrapText="1"/>
    </xf>
    <xf numFmtId="0" fontId="116" fillId="0" borderId="149" xfId="0" applyFont="1" applyBorder="1" applyAlignment="1">
      <alignment horizontal="center" vertical="center" wrapText="1"/>
    </xf>
    <xf numFmtId="0" fontId="116" fillId="0" borderId="148" xfId="0" applyFont="1" applyBorder="1" applyAlignment="1">
      <alignment horizontal="center" vertical="center" wrapText="1"/>
    </xf>
    <xf numFmtId="0" fontId="124" fillId="0" borderId="146" xfId="0" applyFont="1" applyBorder="1" applyAlignment="1">
      <alignment horizontal="center" vertical="center"/>
    </xf>
    <xf numFmtId="0" fontId="118" fillId="0" borderId="145" xfId="0" applyFont="1" applyBorder="1" applyAlignment="1">
      <alignment horizontal="center" vertical="center"/>
    </xf>
    <xf numFmtId="0" fontId="118" fillId="0" borderId="150" xfId="0" applyFont="1" applyBorder="1" applyAlignment="1">
      <alignment horizontal="center" vertical="center"/>
    </xf>
    <xf numFmtId="0" fontId="118" fillId="0" borderId="52" xfId="0" applyFont="1" applyBorder="1" applyAlignment="1">
      <alignment horizontal="center" vertical="center"/>
    </xf>
    <xf numFmtId="0" fontId="118" fillId="0" borderId="11" xfId="0" applyFont="1" applyBorder="1" applyAlignment="1">
      <alignment horizontal="center" vertical="center"/>
    </xf>
    <xf numFmtId="0" fontId="119" fillId="0" borderId="146" xfId="0" applyFont="1" applyBorder="1" applyAlignment="1">
      <alignment horizontal="center" vertical="center" wrapText="1"/>
    </xf>
    <xf numFmtId="0" fontId="119" fillId="0" borderId="145" xfId="0" applyFont="1" applyBorder="1" applyAlignment="1">
      <alignment horizontal="center" vertical="center" wrapText="1"/>
    </xf>
    <xf numFmtId="0" fontId="119" fillId="0" borderId="150" xfId="0" applyFont="1" applyBorder="1" applyAlignment="1">
      <alignment horizontal="center" vertical="center" wrapText="1"/>
    </xf>
    <xf numFmtId="0" fontId="119" fillId="0" borderId="127" xfId="0" applyFont="1" applyBorder="1" applyAlignment="1">
      <alignment horizontal="center" vertical="center" wrapText="1"/>
    </xf>
    <xf numFmtId="0" fontId="119" fillId="0" borderId="128" xfId="0" applyFont="1" applyBorder="1" applyAlignment="1">
      <alignment horizontal="center" vertical="center" wrapText="1"/>
    </xf>
    <xf numFmtId="0" fontId="119" fillId="0" borderId="52"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51" xfId="0" applyFont="1" applyBorder="1" applyAlignment="1">
      <alignment horizontal="center" vertical="center" wrapText="1"/>
    </xf>
    <xf numFmtId="0" fontId="119" fillId="0" borderId="12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45" xfId="0" applyFont="1" applyBorder="1" applyAlignment="1">
      <alignment horizontal="center" vertical="center" wrapText="1"/>
    </xf>
    <xf numFmtId="0" fontId="116" fillId="0" borderId="144" xfId="0" applyFont="1" applyBorder="1" applyAlignment="1">
      <alignment horizontal="center" vertical="center" wrapText="1"/>
    </xf>
    <xf numFmtId="0" fontId="116" fillId="0" borderId="15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55" xfId="0" applyFont="1" applyBorder="1" applyAlignment="1">
      <alignment horizontal="center" vertical="center" wrapText="1"/>
    </xf>
    <xf numFmtId="0" fontId="116" fillId="0" borderId="53" xfId="0" applyFont="1" applyBorder="1" applyAlignment="1">
      <alignment horizontal="center" vertical="center" wrapText="1"/>
    </xf>
    <xf numFmtId="0" fontId="116" fillId="0" borderId="54" xfId="0" applyFont="1" applyBorder="1" applyAlignment="1">
      <alignment horizontal="center" vertical="center" wrapText="1"/>
    </xf>
    <xf numFmtId="0" fontId="116" fillId="0" borderId="104" xfId="0" applyFont="1" applyBorder="1" applyAlignment="1">
      <alignment horizontal="center" vertical="center" wrapText="1"/>
    </xf>
    <xf numFmtId="0" fontId="119" fillId="0" borderId="53" xfId="0" applyFont="1" applyBorder="1" applyAlignment="1">
      <alignment horizontal="left" vertical="top" wrapText="1"/>
    </xf>
    <xf numFmtId="0" fontId="119" fillId="0" borderId="104" xfId="0" applyFont="1" applyBorder="1" applyAlignment="1">
      <alignment horizontal="left" vertical="top" wrapText="1"/>
    </xf>
    <xf numFmtId="0" fontId="119" fillId="0" borderId="62" xfId="0" applyFont="1" applyBorder="1" applyAlignment="1">
      <alignment horizontal="left" vertical="top" wrapText="1"/>
    </xf>
    <xf numFmtId="0" fontId="119" fillId="0" borderId="91" xfId="0" applyFont="1" applyBorder="1" applyAlignment="1">
      <alignment horizontal="left" vertical="top" wrapText="1"/>
    </xf>
    <xf numFmtId="0" fontId="119" fillId="0" borderId="118" xfId="0" applyFont="1" applyBorder="1" applyAlignment="1">
      <alignment horizontal="left" vertical="top" wrapText="1"/>
    </xf>
    <xf numFmtId="0" fontId="119" fillId="0" borderId="157" xfId="0" applyFont="1" applyBorder="1" applyAlignment="1">
      <alignment horizontal="left" vertical="top" wrapText="1"/>
    </xf>
    <xf numFmtId="0" fontId="119" fillId="0" borderId="158" xfId="0" applyFont="1" applyBorder="1" applyAlignment="1">
      <alignment horizontal="center" vertical="center" wrapText="1"/>
    </xf>
    <xf numFmtId="0" fontId="119" fillId="0" borderId="68" xfId="0" applyFont="1" applyBorder="1" applyAlignment="1">
      <alignment horizontal="center" vertical="center" wrapText="1"/>
    </xf>
    <xf numFmtId="0" fontId="116" fillId="0" borderId="145" xfId="0" applyFont="1" applyBorder="1" applyAlignment="1">
      <alignment horizontal="center" vertical="top" wrapText="1"/>
    </xf>
    <xf numFmtId="0" fontId="116" fillId="0" borderId="144" xfId="0" applyFont="1" applyBorder="1" applyAlignment="1">
      <alignment horizontal="center" vertical="top" wrapText="1"/>
    </xf>
    <xf numFmtId="0" fontId="116" fillId="0" borderId="151" xfId="0" applyFont="1" applyBorder="1" applyAlignment="1">
      <alignment horizontal="center" vertical="top" wrapText="1"/>
    </xf>
    <xf numFmtId="0" fontId="116" fillId="0" borderId="148" xfId="0" applyFont="1" applyBorder="1" applyAlignment="1">
      <alignment horizontal="center" vertical="top" wrapText="1"/>
    </xf>
    <xf numFmtId="0" fontId="105" fillId="0" borderId="130" xfId="0" applyFont="1" applyBorder="1" applyAlignment="1">
      <alignment horizontal="left" vertical="top" wrapText="1"/>
    </xf>
    <xf numFmtId="0" fontId="105" fillId="0" borderId="131" xfId="0" applyFont="1" applyBorder="1" applyAlignment="1">
      <alignment horizontal="left" vertical="top" wrapText="1"/>
    </xf>
    <xf numFmtId="0" fontId="122" fillId="0" borderId="146" xfId="0" applyFont="1" applyBorder="1" applyAlignment="1">
      <alignment horizontal="center" vertical="center"/>
    </xf>
    <xf numFmtId="0" fontId="121" fillId="0" borderId="146" xfId="0" applyFont="1" applyBorder="1" applyAlignment="1">
      <alignment horizontal="center" vertical="center" wrapText="1"/>
    </xf>
    <xf numFmtId="0" fontId="121" fillId="0" borderId="147" xfId="0" applyFont="1" applyBorder="1" applyAlignment="1">
      <alignment horizontal="center" vertical="center" wrapText="1"/>
    </xf>
    <xf numFmtId="0" fontId="105" fillId="75" borderId="149" xfId="0" applyFont="1" applyFill="1" applyBorder="1" applyAlignment="1">
      <alignment horizontal="center" vertical="center" wrapText="1"/>
    </xf>
    <xf numFmtId="0" fontId="105" fillId="75" borderId="148" xfId="0" applyFont="1" applyFill="1" applyBorder="1" applyAlignment="1">
      <alignment horizontal="center" vertical="center" wrapText="1"/>
    </xf>
    <xf numFmtId="0" fontId="106" fillId="0" borderId="149" xfId="0" applyFont="1" applyBorder="1" applyAlignment="1">
      <alignment horizontal="left" vertical="center" wrapText="1"/>
    </xf>
    <xf numFmtId="0" fontId="106" fillId="0" borderId="148" xfId="0" applyFont="1" applyBorder="1" applyAlignment="1">
      <alignment horizontal="left" vertical="center" wrapText="1"/>
    </xf>
    <xf numFmtId="0" fontId="106" fillId="0" borderId="149" xfId="13" applyFont="1" applyBorder="1" applyAlignment="1" applyProtection="1">
      <alignment horizontal="left" vertical="top" wrapText="1"/>
      <protection locked="0"/>
    </xf>
    <xf numFmtId="0" fontId="106" fillId="0" borderId="148" xfId="13" applyFont="1" applyBorder="1" applyAlignment="1" applyProtection="1">
      <alignment horizontal="left" vertical="top" wrapText="1"/>
      <protection locked="0"/>
    </xf>
    <xf numFmtId="0" fontId="155" fillId="0" borderId="149" xfId="13" applyFont="1" applyBorder="1" applyAlignment="1" applyProtection="1">
      <alignment horizontal="left" vertical="top" wrapText="1"/>
      <protection locked="0"/>
    </xf>
    <xf numFmtId="0" fontId="155" fillId="0" borderId="148" xfId="13" applyFont="1" applyBorder="1" applyAlignment="1" applyProtection="1">
      <alignment horizontal="left" vertical="top" wrapText="1"/>
      <protection locked="0"/>
    </xf>
    <xf numFmtId="0" fontId="106" fillId="0" borderId="149" xfId="0" applyFont="1" applyBorder="1" applyAlignment="1">
      <alignment horizontal="left" vertical="top" wrapText="1"/>
    </xf>
    <xf numFmtId="0" fontId="106" fillId="0" borderId="148" xfId="0" applyFont="1" applyBorder="1" applyAlignment="1">
      <alignment horizontal="left" vertical="top" wrapText="1"/>
    </xf>
    <xf numFmtId="49" fontId="106" fillId="0" borderId="0" xfId="0" applyNumberFormat="1" applyFont="1" applyAlignment="1">
      <alignment horizontal="center" vertical="center"/>
    </xf>
    <xf numFmtId="0" fontId="106" fillId="0" borderId="146" xfId="0" applyFont="1" applyBorder="1" applyAlignment="1">
      <alignment horizontal="left" vertical="top" wrapText="1"/>
    </xf>
    <xf numFmtId="0" fontId="106" fillId="0" borderId="146" xfId="0" applyFont="1" applyBorder="1" applyAlignment="1">
      <alignment horizontal="left" vertical="center" wrapText="1"/>
    </xf>
    <xf numFmtId="0" fontId="105" fillId="75" borderId="146" xfId="0" applyFont="1" applyFill="1" applyBorder="1" applyAlignment="1">
      <alignment horizontal="center" vertical="center" wrapText="1"/>
    </xf>
    <xf numFmtId="0" fontId="106" fillId="0" borderId="146" xfId="0" applyFont="1" applyBorder="1" applyAlignment="1">
      <alignment horizontal="center"/>
    </xf>
    <xf numFmtId="0" fontId="106" fillId="0" borderId="98" xfId="0" applyFont="1" applyBorder="1" applyAlignment="1">
      <alignment horizontal="left" vertical="center" wrapText="1"/>
    </xf>
    <xf numFmtId="0" fontId="106" fillId="0" borderId="96" xfId="0" applyFont="1" applyBorder="1" applyAlignment="1">
      <alignment horizontal="left" vertical="center" wrapText="1"/>
    </xf>
    <xf numFmtId="0" fontId="105" fillId="0" borderId="146" xfId="0" applyFont="1" applyBorder="1" applyAlignment="1">
      <alignment horizontal="center" vertical="center"/>
    </xf>
    <xf numFmtId="0" fontId="106" fillId="3" borderId="149" xfId="13" applyFont="1" applyFill="1" applyBorder="1" applyAlignment="1" applyProtection="1">
      <alignment horizontal="left" vertical="top" wrapText="1"/>
      <protection locked="0"/>
    </xf>
    <xf numFmtId="0" fontId="106" fillId="3" borderId="148" xfId="13" applyFont="1" applyFill="1" applyBorder="1" applyAlignment="1" applyProtection="1">
      <alignment horizontal="left" vertical="top" wrapText="1"/>
      <protection locked="0"/>
    </xf>
    <xf numFmtId="0" fontId="105" fillId="0" borderId="84" xfId="0" applyFont="1" applyBorder="1" applyAlignment="1">
      <alignment horizontal="center" vertical="center"/>
    </xf>
    <xf numFmtId="0" fontId="105" fillId="75" borderId="81" xfId="0" applyFont="1" applyFill="1" applyBorder="1" applyAlignment="1">
      <alignment horizontal="center" vertical="center" wrapText="1"/>
    </xf>
    <xf numFmtId="0" fontId="105" fillId="75" borderId="0" xfId="0" applyFont="1" applyFill="1" applyAlignment="1">
      <alignment horizontal="center" vertical="center" wrapText="1"/>
    </xf>
    <xf numFmtId="0" fontId="105" fillId="75" borderId="82" xfId="0" applyFont="1" applyFill="1" applyBorder="1" applyAlignment="1">
      <alignment horizontal="center" vertical="center" wrapText="1"/>
    </xf>
    <xf numFmtId="0" fontId="106" fillId="0" borderId="98" xfId="0" applyFont="1" applyBorder="1" applyAlignment="1">
      <alignment vertical="center" wrapText="1"/>
    </xf>
    <xf numFmtId="0" fontId="106" fillId="0" borderId="96" xfId="0" applyFont="1" applyBorder="1" applyAlignment="1">
      <alignment vertical="center" wrapText="1"/>
    </xf>
    <xf numFmtId="0" fontId="105" fillId="75" borderId="86" xfId="0" applyFont="1" applyFill="1" applyBorder="1" applyAlignment="1">
      <alignment horizontal="center" vertical="center"/>
    </xf>
    <xf numFmtId="0" fontId="105" fillId="75" borderId="87" xfId="0" applyFont="1" applyFill="1" applyBorder="1" applyAlignment="1">
      <alignment horizontal="center" vertical="center"/>
    </xf>
    <xf numFmtId="0" fontId="105" fillId="75" borderId="88" xfId="0" applyFont="1" applyFill="1" applyBorder="1" applyAlignment="1">
      <alignment horizontal="center" vertical="center"/>
    </xf>
    <xf numFmtId="0" fontId="106" fillId="3" borderId="98" xfId="0" applyFont="1" applyFill="1" applyBorder="1" applyAlignment="1">
      <alignment horizontal="left" vertical="center" wrapText="1"/>
    </xf>
    <xf numFmtId="0" fontId="106" fillId="3" borderId="96" xfId="0" applyFont="1" applyFill="1" applyBorder="1" applyAlignment="1">
      <alignment horizontal="left" vertical="center" wrapText="1"/>
    </xf>
    <xf numFmtId="0" fontId="106" fillId="0" borderId="76" xfId="0" applyFont="1" applyBorder="1" applyAlignment="1">
      <alignment horizontal="left" vertical="center" wrapText="1"/>
    </xf>
    <xf numFmtId="0" fontId="106" fillId="0" borderId="77" xfId="0" applyFont="1" applyBorder="1" applyAlignment="1">
      <alignment horizontal="left" vertical="center" wrapText="1"/>
    </xf>
    <xf numFmtId="0" fontId="105" fillId="75" borderId="72" xfId="0" applyFont="1" applyFill="1" applyBorder="1" applyAlignment="1">
      <alignment horizontal="center" vertical="center" wrapText="1"/>
    </xf>
    <xf numFmtId="0" fontId="105" fillId="75" borderId="73" xfId="0" applyFont="1" applyFill="1" applyBorder="1" applyAlignment="1">
      <alignment horizontal="center" vertical="center" wrapText="1"/>
    </xf>
    <xf numFmtId="0" fontId="105" fillId="75" borderId="74" xfId="0" applyFont="1" applyFill="1" applyBorder="1" applyAlignment="1">
      <alignment horizontal="center" vertical="center" wrapText="1"/>
    </xf>
    <xf numFmtId="0" fontId="106" fillId="0" borderId="52" xfId="0" applyFont="1" applyBorder="1" applyAlignment="1">
      <alignment horizontal="left" vertical="center" wrapText="1"/>
    </xf>
    <xf numFmtId="0" fontId="106" fillId="0" borderId="11" xfId="0" applyFont="1" applyBorder="1" applyAlignment="1">
      <alignment horizontal="left" vertical="center" wrapText="1"/>
    </xf>
    <xf numFmtId="0" fontId="155" fillId="3" borderId="98" xfId="0" applyFont="1" applyFill="1" applyBorder="1" applyAlignment="1">
      <alignment horizontal="left" vertical="center" wrapText="1"/>
    </xf>
    <xf numFmtId="0" fontId="155" fillId="3" borderId="96" xfId="0" applyFont="1" applyFill="1" applyBorder="1" applyAlignment="1">
      <alignment horizontal="left" vertical="center" wrapText="1"/>
    </xf>
    <xf numFmtId="0" fontId="106" fillId="0" borderId="139" xfId="0" applyFont="1" applyBorder="1" applyAlignment="1">
      <alignment horizontal="left" vertical="center" wrapText="1"/>
    </xf>
    <xf numFmtId="0" fontId="106" fillId="0" borderId="140" xfId="0" applyFont="1" applyBorder="1" applyAlignment="1">
      <alignment horizontal="left" vertical="center" wrapText="1"/>
    </xf>
    <xf numFmtId="0" fontId="106" fillId="0" borderId="141" xfId="0" applyFont="1" applyBorder="1" applyAlignment="1">
      <alignment horizontal="left" vertical="center" wrapText="1"/>
    </xf>
    <xf numFmtId="0" fontId="106" fillId="3" borderId="76" xfId="0" applyFont="1" applyFill="1" applyBorder="1" applyAlignment="1">
      <alignment horizontal="left" vertical="center" wrapText="1"/>
    </xf>
    <xf numFmtId="0" fontId="106" fillId="3" borderId="77" xfId="0" applyFont="1" applyFill="1" applyBorder="1" applyAlignment="1">
      <alignment horizontal="left" vertical="center" wrapText="1"/>
    </xf>
    <xf numFmtId="0" fontId="106" fillId="0" borderId="79" xfId="0" applyFont="1" applyBorder="1" applyAlignment="1">
      <alignment horizontal="left" vertical="center" wrapText="1"/>
    </xf>
    <xf numFmtId="0" fontId="106" fillId="0" borderId="80" xfId="0" applyFont="1" applyBorder="1" applyAlignment="1">
      <alignment horizontal="left" vertical="center" wrapText="1"/>
    </xf>
    <xf numFmtId="0" fontId="106" fillId="0" borderId="52" xfId="0" applyFont="1" applyBorder="1" applyAlignment="1">
      <alignment vertical="center" wrapText="1"/>
    </xf>
    <xf numFmtId="0" fontId="106" fillId="0" borderId="11" xfId="0" applyFont="1" applyBorder="1" applyAlignment="1">
      <alignment vertical="center" wrapText="1"/>
    </xf>
    <xf numFmtId="0" fontId="106" fillId="3" borderId="98" xfId="0" applyFont="1" applyFill="1" applyBorder="1" applyAlignment="1">
      <alignment vertical="center" wrapText="1"/>
    </xf>
    <xf numFmtId="0" fontId="106" fillId="3" borderId="96" xfId="0" applyFont="1" applyFill="1" applyBorder="1" applyAlignment="1">
      <alignment vertical="center" wrapText="1"/>
    </xf>
    <xf numFmtId="0" fontId="105" fillId="0" borderId="69" xfId="0" applyFont="1" applyBorder="1" applyAlignment="1">
      <alignment horizontal="center" vertical="center"/>
    </xf>
    <xf numFmtId="0" fontId="105" fillId="0" borderId="70" xfId="0" applyFont="1" applyBorder="1" applyAlignment="1">
      <alignment horizontal="center" vertical="center"/>
    </xf>
    <xf numFmtId="0" fontId="105" fillId="0" borderId="71" xfId="0" applyFont="1" applyBorder="1" applyAlignment="1">
      <alignment horizontal="center" vertical="center"/>
    </xf>
    <xf numFmtId="0" fontId="106" fillId="0" borderId="97" xfId="0" applyFont="1" applyBorder="1" applyAlignment="1">
      <alignment horizontal="left" vertical="center" wrapText="1"/>
    </xf>
    <xf numFmtId="0" fontId="155" fillId="3" borderId="98" xfId="0" applyFont="1" applyFill="1" applyBorder="1" applyAlignment="1">
      <alignment vertical="center" wrapText="1"/>
    </xf>
    <xf numFmtId="0" fontId="155" fillId="3" borderId="96" xfId="0" applyFont="1" applyFill="1" applyBorder="1" applyAlignment="1">
      <alignment vertical="center" wrapText="1"/>
    </xf>
    <xf numFmtId="0" fontId="106" fillId="0" borderId="98" xfId="0" applyFont="1" applyBorder="1" applyAlignment="1">
      <alignment horizontal="left"/>
    </xf>
    <xf numFmtId="0" fontId="106" fillId="0" borderId="96" xfId="0" applyFont="1" applyBorder="1" applyAlignment="1">
      <alignment horizontal="left"/>
    </xf>
    <xf numFmtId="43" fontId="4" fillId="0" borderId="0" xfId="7" applyFont="1" applyAlignment="1">
      <alignment horizontal="left" vertical="center"/>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rtu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activeCell="C5" sqref="C5"/>
    </sheetView>
  </sheetViews>
  <sheetFormatPr defaultRowHeight="15"/>
  <cols>
    <col min="1" max="1" width="10.28515625" style="1" customWidth="1"/>
    <col min="2" max="2" width="153" bestFit="1" customWidth="1"/>
    <col min="3" max="3" width="39.42578125" customWidth="1"/>
    <col min="7" max="7" width="25" customWidth="1"/>
  </cols>
  <sheetData>
    <row r="1" spans="1:3" ht="15.75">
      <c r="A1" s="6"/>
      <c r="B1" s="93" t="s">
        <v>148</v>
      </c>
      <c r="C1" s="46"/>
    </row>
    <row r="2" spans="1:3" s="90" customFormat="1" ht="15.75">
      <c r="A2" s="134">
        <v>1</v>
      </c>
      <c r="B2" s="91" t="s">
        <v>149</v>
      </c>
      <c r="C2" s="89" t="s">
        <v>1002</v>
      </c>
    </row>
    <row r="3" spans="1:3" s="90" customFormat="1" ht="15.75">
      <c r="A3" s="134">
        <v>2</v>
      </c>
      <c r="B3" s="92" t="s">
        <v>150</v>
      </c>
      <c r="C3" s="89" t="s">
        <v>1003</v>
      </c>
    </row>
    <row r="4" spans="1:3" s="90" customFormat="1" ht="15.75">
      <c r="A4" s="134">
        <v>3</v>
      </c>
      <c r="B4" s="92" t="s">
        <v>151</v>
      </c>
      <c r="C4" s="89" t="s">
        <v>1004</v>
      </c>
    </row>
    <row r="5" spans="1:3" s="90" customFormat="1" ht="15.75">
      <c r="A5" s="135">
        <v>4</v>
      </c>
      <c r="B5" s="95" t="s">
        <v>152</v>
      </c>
      <c r="C5" s="592" t="s">
        <v>1005</v>
      </c>
    </row>
    <row r="6" spans="1:3" s="94" customFormat="1" ht="65.25" customHeight="1">
      <c r="A6" s="728" t="s">
        <v>309</v>
      </c>
      <c r="B6" s="729"/>
      <c r="C6" s="729"/>
    </row>
    <row r="7" spans="1:3">
      <c r="A7" s="208" t="s">
        <v>240</v>
      </c>
      <c r="B7" s="209" t="s">
        <v>153</v>
      </c>
    </row>
    <row r="8" spans="1:3">
      <c r="A8" s="210">
        <v>1</v>
      </c>
      <c r="B8" s="206" t="s">
        <v>128</v>
      </c>
    </row>
    <row r="9" spans="1:3">
      <c r="A9" s="210">
        <v>2</v>
      </c>
      <c r="B9" s="206" t="s">
        <v>154</v>
      </c>
    </row>
    <row r="10" spans="1:3">
      <c r="A10" s="210">
        <v>3</v>
      </c>
      <c r="B10" s="206" t="s">
        <v>155</v>
      </c>
    </row>
    <row r="11" spans="1:3">
      <c r="A11" s="210">
        <v>4</v>
      </c>
      <c r="B11" s="206" t="s">
        <v>156</v>
      </c>
    </row>
    <row r="12" spans="1:3">
      <c r="A12" s="210">
        <v>5</v>
      </c>
      <c r="B12" s="206" t="s">
        <v>96</v>
      </c>
    </row>
    <row r="13" spans="1:3">
      <c r="A13" s="210">
        <v>6</v>
      </c>
      <c r="B13" s="211" t="s">
        <v>80</v>
      </c>
    </row>
    <row r="14" spans="1:3">
      <c r="A14" s="210">
        <v>7</v>
      </c>
      <c r="B14" s="206" t="s">
        <v>157</v>
      </c>
    </row>
    <row r="15" spans="1:3">
      <c r="A15" s="210">
        <v>8</v>
      </c>
      <c r="B15" s="206" t="s">
        <v>160</v>
      </c>
    </row>
    <row r="16" spans="1:3">
      <c r="A16" s="210">
        <v>9</v>
      </c>
      <c r="B16" s="206" t="s">
        <v>74</v>
      </c>
    </row>
    <row r="17" spans="1:2">
      <c r="A17" s="212" t="s">
        <v>366</v>
      </c>
      <c r="B17" s="206" t="s">
        <v>346</v>
      </c>
    </row>
    <row r="18" spans="1:2">
      <c r="A18" s="210">
        <v>9.1999999999999993</v>
      </c>
      <c r="B18" s="543" t="s">
        <v>946</v>
      </c>
    </row>
    <row r="19" spans="1:2">
      <c r="A19" s="210">
        <v>9.3000000000000007</v>
      </c>
      <c r="B19" s="543" t="s">
        <v>947</v>
      </c>
    </row>
    <row r="20" spans="1:2">
      <c r="A20" s="210">
        <v>10</v>
      </c>
      <c r="B20" s="206" t="s">
        <v>161</v>
      </c>
    </row>
    <row r="21" spans="1:2">
      <c r="A21" s="210">
        <v>11</v>
      </c>
      <c r="B21" s="211" t="s">
        <v>144</v>
      </c>
    </row>
    <row r="22" spans="1:2">
      <c r="A22" s="210">
        <v>12</v>
      </c>
      <c r="B22" s="211" t="s">
        <v>141</v>
      </c>
    </row>
    <row r="23" spans="1:2">
      <c r="A23" s="210">
        <v>13</v>
      </c>
      <c r="B23" s="213" t="s">
        <v>285</v>
      </c>
    </row>
    <row r="24" spans="1:2">
      <c r="A24" s="210">
        <v>14</v>
      </c>
      <c r="B24" s="206" t="s">
        <v>339</v>
      </c>
    </row>
    <row r="25" spans="1:2">
      <c r="A25" s="210">
        <v>15</v>
      </c>
      <c r="B25" s="206" t="s">
        <v>73</v>
      </c>
    </row>
    <row r="26" spans="1:2">
      <c r="A26" s="210">
        <v>15.1</v>
      </c>
      <c r="B26" s="206" t="s">
        <v>375</v>
      </c>
    </row>
    <row r="27" spans="1:2">
      <c r="A27" s="542">
        <v>15.2</v>
      </c>
      <c r="B27" s="543" t="s">
        <v>970</v>
      </c>
    </row>
    <row r="28" spans="1:2">
      <c r="A28" s="210">
        <v>16</v>
      </c>
      <c r="B28" s="206" t="s">
        <v>422</v>
      </c>
    </row>
    <row r="29" spans="1:2">
      <c r="A29" s="210">
        <v>17</v>
      </c>
      <c r="B29" s="206" t="s">
        <v>646</v>
      </c>
    </row>
    <row r="30" spans="1:2">
      <c r="A30" s="210">
        <v>18</v>
      </c>
      <c r="B30" s="206" t="s">
        <v>906</v>
      </c>
    </row>
    <row r="31" spans="1:2">
      <c r="A31" s="210">
        <v>19</v>
      </c>
      <c r="B31" s="206" t="s">
        <v>907</v>
      </c>
    </row>
    <row r="32" spans="1:2">
      <c r="A32" s="210">
        <v>20</v>
      </c>
      <c r="B32" s="206" t="s">
        <v>908</v>
      </c>
    </row>
    <row r="33" spans="1:2">
      <c r="A33" s="210">
        <v>21</v>
      </c>
      <c r="B33" s="206" t="s">
        <v>515</v>
      </c>
    </row>
    <row r="34" spans="1:2">
      <c r="A34" s="210">
        <v>22</v>
      </c>
      <c r="B34" s="206" t="s">
        <v>909</v>
      </c>
    </row>
    <row r="35" spans="1:2" ht="25.5">
      <c r="A35" s="210">
        <v>23</v>
      </c>
      <c r="B35" s="500" t="s">
        <v>905</v>
      </c>
    </row>
    <row r="36" spans="1:2">
      <c r="A36" s="210">
        <v>24</v>
      </c>
      <c r="B36" s="206" t="s">
        <v>910</v>
      </c>
    </row>
    <row r="37" spans="1:2">
      <c r="A37" s="210">
        <v>25</v>
      </c>
      <c r="B37" s="206" t="s">
        <v>911</v>
      </c>
    </row>
    <row r="38" spans="1:2">
      <c r="A38" s="210">
        <v>26</v>
      </c>
      <c r="B38" s="206"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EACE8900-297D-44B4-ACE8-8A3A7E700C6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showGridLines="0" zoomScale="80" zoomScaleNormal="80" workbookViewId="0">
      <pane xSplit="1" ySplit="5" topLeftCell="B6" activePane="bottomRight" state="frozen"/>
      <selection activeCell="B30" sqref="B30"/>
      <selection pane="topRight" activeCell="B30" sqref="B30"/>
      <selection pane="bottomLeft" activeCell="B30" sqref="B30"/>
      <selection pane="bottomRight"/>
    </sheetView>
  </sheetViews>
  <sheetFormatPr defaultRowHeight="15"/>
  <cols>
    <col min="1" max="1" width="9.5703125" style="1" bestFit="1" customWidth="1"/>
    <col min="2" max="2" width="132.42578125" style="1" customWidth="1"/>
    <col min="3" max="3" width="18.42578125" style="601" customWidth="1"/>
    <col min="6" max="6" width="17" style="602" bestFit="1" customWidth="1"/>
  </cols>
  <sheetData>
    <row r="1" spans="1:6" ht="15.75">
      <c r="A1" s="13" t="s">
        <v>97</v>
      </c>
      <c r="B1" s="12" t="str">
        <f>Info!C2</f>
        <v>სს "ბანკი ქართუ"</v>
      </c>
      <c r="D1" s="1"/>
      <c r="E1" s="1"/>
      <c r="F1" s="601"/>
    </row>
    <row r="2" spans="1:6" s="13" customFormat="1" ht="15.75" customHeight="1">
      <c r="A2" s="13" t="s">
        <v>98</v>
      </c>
      <c r="B2" s="593">
        <f>'1. key ratios'!B2</f>
        <v>46203</v>
      </c>
      <c r="C2" s="639"/>
      <c r="F2" s="639"/>
    </row>
    <row r="3" spans="1:6" s="13" customFormat="1" ht="15.75" customHeight="1">
      <c r="C3" s="639"/>
      <c r="F3" s="639"/>
    </row>
    <row r="4" spans="1:6" ht="15.75" thickBot="1">
      <c r="A4" s="1" t="s">
        <v>246</v>
      </c>
      <c r="B4" s="22" t="s">
        <v>74</v>
      </c>
    </row>
    <row r="5" spans="1:6">
      <c r="A5" s="65" t="s">
        <v>25</v>
      </c>
      <c r="B5" s="66"/>
      <c r="C5" s="640" t="s">
        <v>26</v>
      </c>
    </row>
    <row r="6" spans="1:6">
      <c r="A6" s="67">
        <v>1</v>
      </c>
      <c r="B6" s="42" t="s">
        <v>27</v>
      </c>
      <c r="C6" s="641">
        <f>SUM(C7:C11)</f>
        <v>477150808.40425915</v>
      </c>
    </row>
    <row r="7" spans="1:6">
      <c r="A7" s="67">
        <v>2</v>
      </c>
      <c r="B7" s="39" t="s">
        <v>28</v>
      </c>
      <c r="C7" s="642">
        <v>114430000</v>
      </c>
    </row>
    <row r="8" spans="1:6">
      <c r="A8" s="67">
        <v>3</v>
      </c>
      <c r="B8" s="34" t="s">
        <v>29</v>
      </c>
      <c r="C8" s="642">
        <v>0</v>
      </c>
    </row>
    <row r="9" spans="1:6">
      <c r="A9" s="67">
        <v>4</v>
      </c>
      <c r="B9" s="34" t="s">
        <v>30</v>
      </c>
      <c r="C9" s="642">
        <v>0</v>
      </c>
    </row>
    <row r="10" spans="1:6">
      <c r="A10" s="67">
        <v>5</v>
      </c>
      <c r="B10" s="34" t="s">
        <v>31</v>
      </c>
      <c r="C10" s="642">
        <v>7438034.3799999999</v>
      </c>
    </row>
    <row r="11" spans="1:6">
      <c r="A11" s="67">
        <v>6</v>
      </c>
      <c r="B11" s="40" t="s">
        <v>32</v>
      </c>
      <c r="C11" s="642">
        <v>355282774.02425915</v>
      </c>
    </row>
    <row r="12" spans="1:6" s="2" customFormat="1">
      <c r="A12" s="67">
        <v>7</v>
      </c>
      <c r="B12" s="42" t="s">
        <v>33</v>
      </c>
      <c r="C12" s="643">
        <f>SUM(C13:C28)</f>
        <v>15458606.34</v>
      </c>
      <c r="F12" s="602"/>
    </row>
    <row r="13" spans="1:6" s="2" customFormat="1">
      <c r="A13" s="67">
        <v>8</v>
      </c>
      <c r="B13" s="41" t="s">
        <v>34</v>
      </c>
      <c r="C13" s="642">
        <v>0</v>
      </c>
      <c r="F13" s="602"/>
    </row>
    <row r="14" spans="1:6" s="2" customFormat="1" ht="25.5">
      <c r="A14" s="67">
        <v>9</v>
      </c>
      <c r="B14" s="35" t="s">
        <v>35</v>
      </c>
      <c r="C14" s="642">
        <v>0</v>
      </c>
      <c r="F14" s="602"/>
    </row>
    <row r="15" spans="1:6" s="2" customFormat="1">
      <c r="A15" s="67">
        <v>10</v>
      </c>
      <c r="B15" s="36" t="s">
        <v>36</v>
      </c>
      <c r="C15" s="642">
        <v>15458606.34</v>
      </c>
      <c r="F15" s="602"/>
    </row>
    <row r="16" spans="1:6" s="2" customFormat="1">
      <c r="A16" s="67">
        <v>11</v>
      </c>
      <c r="B16" s="37" t="s">
        <v>37</v>
      </c>
      <c r="C16" s="642">
        <v>0</v>
      </c>
      <c r="F16" s="602"/>
    </row>
    <row r="17" spans="1:6" s="2" customFormat="1">
      <c r="A17" s="67">
        <v>12</v>
      </c>
      <c r="B17" s="36" t="s">
        <v>38</v>
      </c>
      <c r="C17" s="642">
        <v>0</v>
      </c>
      <c r="F17" s="602"/>
    </row>
    <row r="18" spans="1:6" s="2" customFormat="1">
      <c r="A18" s="67">
        <v>13</v>
      </c>
      <c r="B18" s="36" t="s">
        <v>39</v>
      </c>
      <c r="C18" s="642">
        <v>0</v>
      </c>
      <c r="F18" s="602"/>
    </row>
    <row r="19" spans="1:6" s="2" customFormat="1">
      <c r="A19" s="67">
        <v>14</v>
      </c>
      <c r="B19" s="36" t="s">
        <v>40</v>
      </c>
      <c r="C19" s="642">
        <v>0</v>
      </c>
      <c r="F19" s="602"/>
    </row>
    <row r="20" spans="1:6" s="2" customFormat="1" ht="25.5">
      <c r="A20" s="67">
        <v>15</v>
      </c>
      <c r="B20" s="36" t="s">
        <v>41</v>
      </c>
      <c r="C20" s="642">
        <v>0</v>
      </c>
      <c r="F20" s="602"/>
    </row>
    <row r="21" spans="1:6" s="2" customFormat="1" ht="25.5">
      <c r="A21" s="67">
        <v>16</v>
      </c>
      <c r="B21" s="35" t="s">
        <v>42</v>
      </c>
      <c r="C21" s="642">
        <v>0</v>
      </c>
      <c r="F21" s="602"/>
    </row>
    <row r="22" spans="1:6" s="2" customFormat="1">
      <c r="A22" s="67">
        <v>17</v>
      </c>
      <c r="B22" s="68" t="s">
        <v>43</v>
      </c>
      <c r="C22" s="642">
        <v>0</v>
      </c>
      <c r="F22" s="602"/>
    </row>
    <row r="23" spans="1:6" s="2" customFormat="1">
      <c r="A23" s="67">
        <v>18</v>
      </c>
      <c r="B23" s="535" t="s">
        <v>694</v>
      </c>
      <c r="C23" s="642">
        <v>0</v>
      </c>
      <c r="F23" s="602"/>
    </row>
    <row r="24" spans="1:6" s="2" customFormat="1" ht="25.5">
      <c r="A24" s="67">
        <v>19</v>
      </c>
      <c r="B24" s="35" t="s">
        <v>44</v>
      </c>
      <c r="C24" s="642">
        <v>0</v>
      </c>
      <c r="F24" s="602"/>
    </row>
    <row r="25" spans="1:6" s="2" customFormat="1" ht="25.5">
      <c r="A25" s="67">
        <v>20</v>
      </c>
      <c r="B25" s="35" t="s">
        <v>45</v>
      </c>
      <c r="C25" s="642">
        <v>0</v>
      </c>
      <c r="F25" s="602"/>
    </row>
    <row r="26" spans="1:6" s="2" customFormat="1" ht="25.5">
      <c r="A26" s="67">
        <v>21</v>
      </c>
      <c r="B26" s="37" t="s">
        <v>46</v>
      </c>
      <c r="C26" s="642">
        <v>0</v>
      </c>
      <c r="F26" s="602"/>
    </row>
    <row r="27" spans="1:6" s="2" customFormat="1">
      <c r="A27" s="67">
        <v>22</v>
      </c>
      <c r="B27" s="37" t="s">
        <v>47</v>
      </c>
      <c r="C27" s="642">
        <v>0</v>
      </c>
      <c r="F27" s="602"/>
    </row>
    <row r="28" spans="1:6" s="2" customFormat="1" ht="25.5">
      <c r="A28" s="67">
        <v>23</v>
      </c>
      <c r="B28" s="37" t="s">
        <v>48</v>
      </c>
      <c r="C28" s="642">
        <v>0</v>
      </c>
      <c r="F28" s="602"/>
    </row>
    <row r="29" spans="1:6" s="2" customFormat="1">
      <c r="A29" s="67">
        <v>24</v>
      </c>
      <c r="B29" s="43" t="s">
        <v>22</v>
      </c>
      <c r="C29" s="643">
        <f>C6-C12</f>
        <v>461692202.06425917</v>
      </c>
      <c r="F29" s="602"/>
    </row>
    <row r="30" spans="1:6" s="2" customFormat="1">
      <c r="A30" s="69"/>
      <c r="B30" s="38"/>
      <c r="C30" s="644"/>
      <c r="F30" s="602"/>
    </row>
    <row r="31" spans="1:6" s="2" customFormat="1">
      <c r="A31" s="69">
        <v>25</v>
      </c>
      <c r="B31" s="43" t="s">
        <v>49</v>
      </c>
      <c r="C31" s="643">
        <f>C32+C35</f>
        <v>71423100.000000015</v>
      </c>
      <c r="F31" s="602"/>
    </row>
    <row r="32" spans="1:6" s="2" customFormat="1">
      <c r="A32" s="69">
        <v>26</v>
      </c>
      <c r="B32" s="34" t="s">
        <v>50</v>
      </c>
      <c r="C32" s="645">
        <f>C33+C34</f>
        <v>71423100.000000015</v>
      </c>
      <c r="F32" s="602"/>
    </row>
    <row r="33" spans="1:6" s="2" customFormat="1">
      <c r="A33" s="69">
        <v>27</v>
      </c>
      <c r="B33" s="87" t="s">
        <v>51</v>
      </c>
      <c r="C33" s="642">
        <v>23845347.84</v>
      </c>
      <c r="F33" s="602"/>
    </row>
    <row r="34" spans="1:6" s="2" customFormat="1">
      <c r="A34" s="69">
        <v>28</v>
      </c>
      <c r="B34" s="87" t="s">
        <v>52</v>
      </c>
      <c r="C34" s="642">
        <v>47577752.160000011</v>
      </c>
      <c r="F34" s="602"/>
    </row>
    <row r="35" spans="1:6" s="2" customFormat="1">
      <c r="A35" s="69">
        <v>29</v>
      </c>
      <c r="B35" s="34" t="s">
        <v>53</v>
      </c>
      <c r="C35" s="642">
        <v>0</v>
      </c>
      <c r="F35" s="602"/>
    </row>
    <row r="36" spans="1:6" s="2" customFormat="1">
      <c r="A36" s="69">
        <v>30</v>
      </c>
      <c r="B36" s="43" t="s">
        <v>54</v>
      </c>
      <c r="C36" s="643">
        <f>SUM(C37:C41)</f>
        <v>0</v>
      </c>
      <c r="F36" s="602"/>
    </row>
    <row r="37" spans="1:6" s="2" customFormat="1">
      <c r="A37" s="69">
        <v>31</v>
      </c>
      <c r="B37" s="35" t="s">
        <v>55</v>
      </c>
      <c r="C37" s="644"/>
      <c r="F37" s="602"/>
    </row>
    <row r="38" spans="1:6" s="2" customFormat="1">
      <c r="A38" s="69">
        <v>32</v>
      </c>
      <c r="B38" s="36" t="s">
        <v>56</v>
      </c>
      <c r="C38" s="644"/>
      <c r="F38" s="602"/>
    </row>
    <row r="39" spans="1:6" s="2" customFormat="1" ht="25.5">
      <c r="A39" s="69">
        <v>33</v>
      </c>
      <c r="B39" s="35" t="s">
        <v>57</v>
      </c>
      <c r="C39" s="644"/>
      <c r="F39" s="602"/>
    </row>
    <row r="40" spans="1:6" s="2" customFormat="1" ht="25.5">
      <c r="A40" s="69">
        <v>34</v>
      </c>
      <c r="B40" s="35" t="s">
        <v>45</v>
      </c>
      <c r="C40" s="644"/>
      <c r="F40" s="602"/>
    </row>
    <row r="41" spans="1:6" s="2" customFormat="1" ht="25.5">
      <c r="A41" s="69">
        <v>35</v>
      </c>
      <c r="B41" s="37" t="s">
        <v>58</v>
      </c>
      <c r="C41" s="644"/>
      <c r="F41" s="602"/>
    </row>
    <row r="42" spans="1:6" s="2" customFormat="1">
      <c r="A42" s="69">
        <v>36</v>
      </c>
      <c r="B42" s="43" t="s">
        <v>23</v>
      </c>
      <c r="C42" s="643">
        <f>C31-C36</f>
        <v>71423100.000000015</v>
      </c>
      <c r="F42" s="602"/>
    </row>
    <row r="43" spans="1:6" s="2" customFormat="1">
      <c r="A43" s="69"/>
      <c r="B43" s="38"/>
      <c r="C43" s="644"/>
      <c r="F43" s="602"/>
    </row>
    <row r="44" spans="1:6" s="2" customFormat="1">
      <c r="A44" s="69">
        <v>37</v>
      </c>
      <c r="B44" s="44" t="s">
        <v>59</v>
      </c>
      <c r="C44" s="643">
        <f>SUM(C45:C47)</f>
        <v>6348720</v>
      </c>
      <c r="F44" s="602"/>
    </row>
    <row r="45" spans="1:6" s="2" customFormat="1">
      <c r="A45" s="69">
        <v>38</v>
      </c>
      <c r="B45" s="34" t="s">
        <v>60</v>
      </c>
      <c r="C45" s="642">
        <v>6348720</v>
      </c>
      <c r="F45" s="602"/>
    </row>
    <row r="46" spans="1:6" s="2" customFormat="1">
      <c r="A46" s="69">
        <v>39</v>
      </c>
      <c r="B46" s="34" t="s">
        <v>61</v>
      </c>
      <c r="C46" s="644"/>
      <c r="F46" s="602"/>
    </row>
    <row r="47" spans="1:6" s="2" customFormat="1">
      <c r="A47" s="69">
        <v>40</v>
      </c>
      <c r="B47" s="536" t="s">
        <v>693</v>
      </c>
      <c r="C47" s="644"/>
      <c r="F47" s="602"/>
    </row>
    <row r="48" spans="1:6" s="2" customFormat="1">
      <c r="A48" s="69">
        <v>41</v>
      </c>
      <c r="B48" s="44" t="s">
        <v>62</v>
      </c>
      <c r="C48" s="643">
        <f>SUM(C49:C52)</f>
        <v>0</v>
      </c>
      <c r="F48" s="602"/>
    </row>
    <row r="49" spans="1:6" s="2" customFormat="1">
      <c r="A49" s="69">
        <v>42</v>
      </c>
      <c r="B49" s="35" t="s">
        <v>63</v>
      </c>
      <c r="C49" s="644"/>
      <c r="F49" s="602"/>
    </row>
    <row r="50" spans="1:6" s="2" customFormat="1">
      <c r="A50" s="69">
        <v>43</v>
      </c>
      <c r="B50" s="36" t="s">
        <v>64</v>
      </c>
      <c r="C50" s="644"/>
      <c r="F50" s="602"/>
    </row>
    <row r="51" spans="1:6" s="2" customFormat="1" ht="25.5">
      <c r="A51" s="69">
        <v>44</v>
      </c>
      <c r="B51" s="35" t="s">
        <v>65</v>
      </c>
      <c r="C51" s="644"/>
      <c r="F51" s="602"/>
    </row>
    <row r="52" spans="1:6" s="2" customFormat="1" ht="25.5">
      <c r="A52" s="69">
        <v>45</v>
      </c>
      <c r="B52" s="35" t="s">
        <v>45</v>
      </c>
      <c r="C52" s="644"/>
      <c r="F52" s="602"/>
    </row>
    <row r="53" spans="1:6" s="2" customFormat="1" ht="15.75" thickBot="1">
      <c r="A53" s="69">
        <v>46</v>
      </c>
      <c r="B53" s="70" t="s">
        <v>24</v>
      </c>
      <c r="C53" s="646">
        <f>C44-C48</f>
        <v>6348720</v>
      </c>
      <c r="F53" s="602"/>
    </row>
    <row r="56" spans="1:6">
      <c r="B56" s="1" t="s">
        <v>130</v>
      </c>
    </row>
  </sheetData>
  <dataValidations count="1">
    <dataValidation operator="lessThanOrEqual" allowBlank="1" showInputMessage="1" showErrorMessage="1" errorTitle="Should be negative number" error="Should be whole negative number or 0" sqref="C29:C32 C36:C44 C46: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H23"/>
  <sheetViews>
    <sheetView showGridLines="0" zoomScale="80" zoomScaleNormal="80" workbookViewId="0"/>
  </sheetViews>
  <sheetFormatPr defaultColWidth="9.28515625" defaultRowHeight="12.75"/>
  <cols>
    <col min="1" max="1" width="10.7109375" style="1" bestFit="1" customWidth="1"/>
    <col min="2" max="2" width="59" style="1" customWidth="1"/>
    <col min="3" max="3" width="16.7109375" style="1" bestFit="1" customWidth="1"/>
    <col min="4" max="4" width="22.28515625" style="1" customWidth="1"/>
    <col min="5" max="6" width="9.28515625" style="1"/>
    <col min="7" max="7" width="9.42578125" style="1" bestFit="1" customWidth="1"/>
    <col min="8" max="8" width="13.5703125" style="1" bestFit="1" customWidth="1"/>
    <col min="9" max="16384" width="9.28515625" style="1"/>
  </cols>
  <sheetData>
    <row r="1" spans="1:8" ht="15">
      <c r="A1" s="13" t="s">
        <v>97</v>
      </c>
      <c r="B1" s="12" t="str">
        <f>Info!C2</f>
        <v>სს "ბანკი ქართუ"</v>
      </c>
    </row>
    <row r="2" spans="1:8" s="13" customFormat="1" ht="15.75" customHeight="1">
      <c r="A2" s="13" t="s">
        <v>98</v>
      </c>
      <c r="B2" s="593">
        <f>'1. key ratios'!B2</f>
        <v>46203</v>
      </c>
    </row>
    <row r="3" spans="1:8" s="13" customFormat="1" ht="15.75" customHeight="1"/>
    <row r="4" spans="1:8" ht="13.5" thickBot="1">
      <c r="A4" s="1" t="s">
        <v>345</v>
      </c>
      <c r="B4" s="198" t="s">
        <v>346</v>
      </c>
    </row>
    <row r="5" spans="1:8" s="30" customFormat="1">
      <c r="A5" s="755" t="s">
        <v>347</v>
      </c>
      <c r="B5" s="756"/>
      <c r="C5" s="188" t="s">
        <v>348</v>
      </c>
      <c r="D5" s="189" t="s">
        <v>349</v>
      </c>
    </row>
    <row r="6" spans="1:8" s="199" customFormat="1">
      <c r="A6" s="190">
        <v>1</v>
      </c>
      <c r="B6" s="191" t="s">
        <v>350</v>
      </c>
      <c r="C6" s="191"/>
      <c r="D6" s="192"/>
    </row>
    <row r="7" spans="1:8" s="199" customFormat="1">
      <c r="A7" s="193" t="s">
        <v>351</v>
      </c>
      <c r="B7" s="194" t="s">
        <v>352</v>
      </c>
      <c r="C7" s="214">
        <v>4.4999999999999998E-2</v>
      </c>
      <c r="D7" s="647">
        <f>C7*'5. RWA'!$C$13</f>
        <v>83735579.163183302</v>
      </c>
      <c r="F7" s="652"/>
      <c r="G7" s="906"/>
      <c r="H7" s="906"/>
    </row>
    <row r="8" spans="1:8" s="199" customFormat="1">
      <c r="A8" s="193" t="s">
        <v>353</v>
      </c>
      <c r="B8" s="194" t="s">
        <v>354</v>
      </c>
      <c r="C8" s="215">
        <v>0.06</v>
      </c>
      <c r="D8" s="647">
        <f>C8*'5. RWA'!$C$13</f>
        <v>111647438.88424441</v>
      </c>
      <c r="F8" s="652"/>
      <c r="G8" s="906"/>
      <c r="H8" s="906"/>
    </row>
    <row r="9" spans="1:8" s="199" customFormat="1">
      <c r="A9" s="193" t="s">
        <v>355</v>
      </c>
      <c r="B9" s="194" t="s">
        <v>356</v>
      </c>
      <c r="C9" s="215">
        <v>0.08</v>
      </c>
      <c r="D9" s="647">
        <f>C9*'5. RWA'!$C$13</f>
        <v>148863251.84565923</v>
      </c>
      <c r="F9" s="652"/>
      <c r="G9" s="906"/>
      <c r="H9" s="906"/>
    </row>
    <row r="10" spans="1:8" s="199" customFormat="1">
      <c r="A10" s="190" t="s">
        <v>357</v>
      </c>
      <c r="B10" s="191" t="s">
        <v>358</v>
      </c>
      <c r="C10" s="216"/>
      <c r="D10" s="648"/>
      <c r="F10" s="652"/>
      <c r="G10" s="906"/>
      <c r="H10" s="906"/>
    </row>
    <row r="11" spans="1:8" s="200" customFormat="1">
      <c r="A11" s="195" t="s">
        <v>359</v>
      </c>
      <c r="B11" s="196" t="s">
        <v>997</v>
      </c>
      <c r="C11" s="217">
        <v>2.5000000000000001E-2</v>
      </c>
      <c r="D11" s="649">
        <f>C11*'5. RWA'!$C$13</f>
        <v>46519766.20176851</v>
      </c>
      <c r="F11" s="652"/>
      <c r="G11" s="906"/>
      <c r="H11" s="906"/>
    </row>
    <row r="12" spans="1:8" s="200" customFormat="1">
      <c r="A12" s="195" t="s">
        <v>360</v>
      </c>
      <c r="B12" s="196" t="s">
        <v>361</v>
      </c>
      <c r="C12" s="217">
        <v>7.4999999999999997E-3</v>
      </c>
      <c r="D12" s="649">
        <f>C12*'5. RWA'!$C$13</f>
        <v>13955929.860530552</v>
      </c>
      <c r="F12" s="652"/>
      <c r="G12" s="906"/>
      <c r="H12" s="906"/>
    </row>
    <row r="13" spans="1:8" s="200" customFormat="1">
      <c r="A13" s="195" t="s">
        <v>362</v>
      </c>
      <c r="B13" s="196" t="s">
        <v>363</v>
      </c>
      <c r="C13" s="217">
        <v>0</v>
      </c>
      <c r="D13" s="649">
        <f>C13*'5. RWA'!$C$13</f>
        <v>0</v>
      </c>
      <c r="F13" s="652"/>
      <c r="G13" s="906"/>
      <c r="H13" s="906"/>
    </row>
    <row r="14" spans="1:8" s="199" customFormat="1">
      <c r="A14" s="190" t="s">
        <v>364</v>
      </c>
      <c r="B14" s="191" t="s">
        <v>409</v>
      </c>
      <c r="C14" s="218"/>
      <c r="D14" s="648"/>
      <c r="F14" s="652"/>
      <c r="G14" s="906"/>
      <c r="H14" s="906"/>
    </row>
    <row r="15" spans="1:8" s="199" customFormat="1">
      <c r="A15" s="207" t="s">
        <v>367</v>
      </c>
      <c r="B15" s="196" t="s">
        <v>410</v>
      </c>
      <c r="C15" s="217">
        <v>9.3668159823452085E-2</v>
      </c>
      <c r="D15" s="649">
        <f>C15*'5. RWA'!$C$13</f>
        <v>174296835.82147509</v>
      </c>
      <c r="F15" s="652"/>
      <c r="G15" s="906"/>
      <c r="H15" s="906"/>
    </row>
    <row r="16" spans="1:8" s="199" customFormat="1">
      <c r="A16" s="207" t="s">
        <v>368</v>
      </c>
      <c r="B16" s="196" t="s">
        <v>370</v>
      </c>
      <c r="C16" s="217">
        <v>0.1116385127399715</v>
      </c>
      <c r="D16" s="649">
        <f>C16*'5. RWA'!$C$13</f>
        <v>207735900.47106516</v>
      </c>
      <c r="F16" s="652"/>
      <c r="G16" s="906"/>
      <c r="H16" s="906"/>
    </row>
    <row r="17" spans="1:8" s="199" customFormat="1">
      <c r="A17" s="207" t="s">
        <v>369</v>
      </c>
      <c r="B17" s="196" t="s">
        <v>407</v>
      </c>
      <c r="C17" s="217">
        <v>0.13528371394591809</v>
      </c>
      <c r="D17" s="649">
        <f>C17*'5. RWA'!$C$13</f>
        <v>251734669.74684158</v>
      </c>
      <c r="F17" s="652"/>
      <c r="G17" s="906"/>
      <c r="H17" s="906"/>
    </row>
    <row r="18" spans="1:8" s="30" customFormat="1">
      <c r="A18" s="757" t="s">
        <v>408</v>
      </c>
      <c r="B18" s="758"/>
      <c r="C18" s="219" t="s">
        <v>348</v>
      </c>
      <c r="D18" s="650" t="s">
        <v>349</v>
      </c>
      <c r="F18" s="652"/>
      <c r="G18" s="906"/>
      <c r="H18" s="906"/>
    </row>
    <row r="19" spans="1:8" s="199" customFormat="1">
      <c r="A19" s="197">
        <v>4</v>
      </c>
      <c r="B19" s="196" t="s">
        <v>22</v>
      </c>
      <c r="C19" s="217">
        <f>C7+C11+C12+C13+C15</f>
        <v>0.1711681598234521</v>
      </c>
      <c r="D19" s="647">
        <f>C19*'5. RWA'!$C$13</f>
        <v>318508111.04695749</v>
      </c>
      <c r="F19" s="652"/>
      <c r="G19" s="906"/>
      <c r="H19" s="906"/>
    </row>
    <row r="20" spans="1:8" s="199" customFormat="1">
      <c r="A20" s="197">
        <v>5</v>
      </c>
      <c r="B20" s="196" t="s">
        <v>75</v>
      </c>
      <c r="C20" s="217">
        <f>C8+C11+C12+C13+C16</f>
        <v>0.20413851273997149</v>
      </c>
      <c r="D20" s="647">
        <f>C20*'5. RWA'!$C$13</f>
        <v>379859035.41760862</v>
      </c>
      <c r="F20" s="652"/>
      <c r="G20" s="906"/>
      <c r="H20" s="906"/>
    </row>
    <row r="21" spans="1:8" s="199" customFormat="1" ht="13.5" thickBot="1">
      <c r="A21" s="201" t="s">
        <v>365</v>
      </c>
      <c r="B21" s="202" t="s">
        <v>74</v>
      </c>
      <c r="C21" s="220">
        <f>C9+C11+C12+C13+C17</f>
        <v>0.24778371394591811</v>
      </c>
      <c r="D21" s="651">
        <f>C21*'5. RWA'!$C$13</f>
        <v>461073617.65479988</v>
      </c>
      <c r="F21" s="652"/>
      <c r="G21" s="906"/>
      <c r="H21" s="906"/>
    </row>
    <row r="23" spans="1:8">
      <c r="B23" s="17"/>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C6" sqref="C6"/>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2">
      <c r="A1" s="506" t="s">
        <v>97</v>
      </c>
      <c r="B1" s="12" t="str">
        <f>Info!C2</f>
        <v>სს "ბანკი ქართუ"</v>
      </c>
    </row>
    <row r="2" spans="1:2">
      <c r="A2" s="506" t="s">
        <v>98</v>
      </c>
      <c r="B2" s="593">
        <f>'1. key ratios'!B2</f>
        <v>46203</v>
      </c>
    </row>
    <row r="3" spans="1:2">
      <c r="A3" s="507" t="s">
        <v>948</v>
      </c>
      <c r="B3" s="502" t="s">
        <v>919</v>
      </c>
    </row>
    <row r="4" spans="1:2" ht="15.75" thickBot="1"/>
    <row r="5" spans="1:2">
      <c r="A5" s="512"/>
      <c r="B5" s="513" t="s">
        <v>920</v>
      </c>
    </row>
    <row r="6" spans="1:2">
      <c r="A6" s="508" t="s">
        <v>921</v>
      </c>
      <c r="B6" s="514">
        <f>SUM(B7,B11)</f>
        <v>539464022.06425917</v>
      </c>
    </row>
    <row r="7" spans="1:2">
      <c r="A7" s="508" t="s">
        <v>954</v>
      </c>
      <c r="B7" s="514">
        <f>SUM(B8:B10)</f>
        <v>539464022.06425917</v>
      </c>
    </row>
    <row r="8" spans="1:2">
      <c r="A8" s="509" t="s">
        <v>922</v>
      </c>
      <c r="B8" s="515">
        <f>'9. Capital'!C29</f>
        <v>461692202.06425917</v>
      </c>
    </row>
    <row r="9" spans="1:2">
      <c r="A9" s="509" t="s">
        <v>923</v>
      </c>
      <c r="B9" s="515">
        <f>'9. Capital'!C42</f>
        <v>71423100.000000015</v>
      </c>
    </row>
    <row r="10" spans="1:2">
      <c r="A10" s="509" t="s">
        <v>924</v>
      </c>
      <c r="B10" s="515">
        <f>'9. Capital'!C53</f>
        <v>6348720</v>
      </c>
    </row>
    <row r="11" spans="1:2">
      <c r="A11" s="508" t="s">
        <v>925</v>
      </c>
      <c r="B11" s="514">
        <f>SUM(B12:B13)</f>
        <v>0</v>
      </c>
    </row>
    <row r="12" spans="1:2">
      <c r="A12" s="509" t="s">
        <v>955</v>
      </c>
      <c r="B12" s="515"/>
    </row>
    <row r="13" spans="1:2">
      <c r="A13" s="509" t="s">
        <v>956</v>
      </c>
      <c r="B13" s="515"/>
    </row>
    <row r="14" spans="1:2">
      <c r="A14" s="508" t="s">
        <v>926</v>
      </c>
      <c r="B14" s="514">
        <f>SUM(B15:B16)</f>
        <v>539464022.06425917</v>
      </c>
    </row>
    <row r="15" spans="1:2">
      <c r="A15" s="510" t="s">
        <v>927</v>
      </c>
      <c r="B15" s="515"/>
    </row>
    <row r="16" spans="1:2">
      <c r="A16" s="510" t="s">
        <v>74</v>
      </c>
      <c r="B16" s="515">
        <f>B7</f>
        <v>539464022.06425917</v>
      </c>
    </row>
    <row r="17" spans="1:5">
      <c r="A17" s="508" t="s">
        <v>928</v>
      </c>
      <c r="B17" s="514"/>
    </row>
    <row r="18" spans="1:5">
      <c r="A18" s="510" t="s">
        <v>929</v>
      </c>
      <c r="B18" s="515">
        <f>'5. RWA'!C13</f>
        <v>1860790648.0707402</v>
      </c>
    </row>
    <row r="19" spans="1:5">
      <c r="A19" s="510" t="s">
        <v>930</v>
      </c>
      <c r="B19" s="515">
        <f>'15.1. LR'!C36</f>
        <v>0</v>
      </c>
    </row>
    <row r="20" spans="1:5">
      <c r="A20" s="508" t="s">
        <v>931</v>
      </c>
      <c r="B20" s="514"/>
    </row>
    <row r="21" spans="1:5">
      <c r="A21" s="511" t="s">
        <v>932</v>
      </c>
      <c r="B21" s="516">
        <f>IFERROR(B6/B18,0)</f>
        <v>0.28991118513174663</v>
      </c>
    </row>
    <row r="22" spans="1:5">
      <c r="A22" s="511" t="s">
        <v>933</v>
      </c>
      <c r="B22" s="516">
        <f>IFERROR(B6/B19,0)</f>
        <v>0</v>
      </c>
    </row>
    <row r="23" spans="1:5" ht="15.75" thickBot="1">
      <c r="A23" s="517" t="s">
        <v>934</v>
      </c>
      <c r="B23" s="518">
        <f>IFERROR(B6/B14,0)</f>
        <v>1</v>
      </c>
    </row>
    <row r="24" spans="1:5" ht="16.5" customHeight="1">
      <c r="A24" s="505" t="s">
        <v>957</v>
      </c>
      <c r="B24" s="503"/>
      <c r="C24" s="503"/>
      <c r="D24" s="503"/>
      <c r="E24" s="503"/>
    </row>
    <row r="25" spans="1:5" ht="25.5" customHeight="1">
      <c r="A25" s="505" t="s">
        <v>958</v>
      </c>
    </row>
    <row r="26" spans="1:5" ht="57" customHeight="1">
      <c r="A26" s="505" t="s">
        <v>959</v>
      </c>
    </row>
    <row r="27" spans="1:5">
      <c r="A27" s="504"/>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election activeCell="B30" sqref="B30"/>
    </sheetView>
  </sheetViews>
  <sheetFormatPr defaultRowHeight="15"/>
  <cols>
    <col min="1" max="1" width="82" customWidth="1"/>
    <col min="2" max="2" width="28.140625" bestFit="1" customWidth="1"/>
    <col min="3" max="3" width="28.28515625" customWidth="1"/>
    <col min="4" max="6" width="28.140625" customWidth="1"/>
  </cols>
  <sheetData>
    <row r="1" spans="1:6">
      <c r="A1" s="506" t="s">
        <v>97</v>
      </c>
      <c r="B1" s="12" t="str">
        <f>Info!C2</f>
        <v>სს "ბანკი ქართუ"</v>
      </c>
      <c r="C1" s="1"/>
    </row>
    <row r="2" spans="1:6">
      <c r="A2" s="506" t="s">
        <v>98</v>
      </c>
      <c r="B2" s="593">
        <f>'1. key ratios'!B2</f>
        <v>46203</v>
      </c>
      <c r="C2" s="1"/>
    </row>
    <row r="3" spans="1:6">
      <c r="A3" s="507" t="s">
        <v>949</v>
      </c>
      <c r="B3" s="502" t="s">
        <v>919</v>
      </c>
      <c r="C3" s="1"/>
    </row>
    <row r="5" spans="1:6">
      <c r="A5" s="504"/>
    </row>
    <row r="6" spans="1:6" ht="15.75" thickBot="1">
      <c r="A6" s="519"/>
      <c r="B6" s="519"/>
      <c r="C6" s="519"/>
      <c r="D6" s="519"/>
      <c r="E6" s="519"/>
      <c r="F6" s="519"/>
    </row>
    <row r="7" spans="1:6">
      <c r="A7" s="759"/>
      <c r="B7" s="761" t="s">
        <v>935</v>
      </c>
      <c r="C7" s="761"/>
      <c r="D7" s="761"/>
      <c r="E7" s="761"/>
      <c r="F7" s="762" t="s">
        <v>936</v>
      </c>
    </row>
    <row r="8" spans="1:6" ht="25.5">
      <c r="A8" s="760"/>
      <c r="B8" s="520" t="s">
        <v>937</v>
      </c>
      <c r="C8" s="520" t="s">
        <v>938</v>
      </c>
      <c r="D8" s="520" t="s">
        <v>939</v>
      </c>
      <c r="E8" s="520" t="s">
        <v>940</v>
      </c>
      <c r="F8" s="763"/>
    </row>
    <row r="9" spans="1:6">
      <c r="A9" s="521" t="s">
        <v>941</v>
      </c>
      <c r="B9" s="522">
        <f>B13+B17</f>
        <v>0</v>
      </c>
      <c r="C9" s="522">
        <f t="shared" ref="C9:E9" si="0">C13+C17</f>
        <v>0</v>
      </c>
      <c r="D9" s="522">
        <f t="shared" si="0"/>
        <v>0</v>
      </c>
      <c r="E9" s="522">
        <f t="shared" si="0"/>
        <v>0</v>
      </c>
      <c r="F9" s="523">
        <f>F13+F17</f>
        <v>0</v>
      </c>
    </row>
    <row r="10" spans="1:6">
      <c r="A10" s="524" t="s">
        <v>942</v>
      </c>
      <c r="B10" s="525">
        <f t="shared" ref="B10:E12" si="1">B14+B18</f>
        <v>0</v>
      </c>
      <c r="C10" s="525">
        <f t="shared" si="1"/>
        <v>0</v>
      </c>
      <c r="D10" s="525">
        <f t="shared" si="1"/>
        <v>0</v>
      </c>
      <c r="E10" s="525">
        <f t="shared" si="1"/>
        <v>0</v>
      </c>
      <c r="F10" s="523">
        <f>SUM(B10:E10)</f>
        <v>0</v>
      </c>
    </row>
    <row r="11" spans="1:6">
      <c r="A11" s="524" t="s">
        <v>943</v>
      </c>
      <c r="B11" s="525">
        <f t="shared" si="1"/>
        <v>0</v>
      </c>
      <c r="C11" s="525">
        <f t="shared" si="1"/>
        <v>0</v>
      </c>
      <c r="D11" s="525">
        <f t="shared" si="1"/>
        <v>0</v>
      </c>
      <c r="E11" s="525">
        <f t="shared" si="1"/>
        <v>0</v>
      </c>
      <c r="F11" s="523">
        <f t="shared" ref="F11:F12" si="2">SUM(B11:E11)</f>
        <v>0</v>
      </c>
    </row>
    <row r="12" spans="1:6">
      <c r="A12" s="526" t="s">
        <v>944</v>
      </c>
      <c r="B12" s="525">
        <f t="shared" si="1"/>
        <v>0</v>
      </c>
      <c r="C12" s="525">
        <f t="shared" si="1"/>
        <v>0</v>
      </c>
      <c r="D12" s="525">
        <f t="shared" si="1"/>
        <v>0</v>
      </c>
      <c r="E12" s="525">
        <f t="shared" si="1"/>
        <v>0</v>
      </c>
      <c r="F12" s="523">
        <f t="shared" si="2"/>
        <v>0</v>
      </c>
    </row>
    <row r="13" spans="1:6">
      <c r="A13" s="527" t="s">
        <v>945</v>
      </c>
      <c r="B13" s="528"/>
      <c r="C13" s="528"/>
      <c r="D13" s="528"/>
      <c r="E13" s="528"/>
      <c r="F13" s="529"/>
    </row>
    <row r="14" spans="1:6">
      <c r="A14" s="524" t="s">
        <v>942</v>
      </c>
      <c r="B14" s="530"/>
      <c r="C14" s="530"/>
      <c r="D14" s="530"/>
      <c r="E14" s="530"/>
      <c r="F14" s="531"/>
    </row>
    <row r="15" spans="1:6">
      <c r="A15" s="524" t="s">
        <v>943</v>
      </c>
      <c r="B15" s="530"/>
      <c r="C15" s="530"/>
      <c r="D15" s="530"/>
      <c r="E15" s="530"/>
      <c r="F15" s="531"/>
    </row>
    <row r="16" spans="1:6">
      <c r="A16" s="526" t="s">
        <v>944</v>
      </c>
      <c r="B16" s="530"/>
      <c r="C16" s="530"/>
      <c r="D16" s="530"/>
      <c r="E16" s="530"/>
      <c r="F16" s="531"/>
    </row>
    <row r="17" spans="1:6">
      <c r="A17" s="527" t="s">
        <v>925</v>
      </c>
      <c r="B17" s="528"/>
      <c r="C17" s="528"/>
      <c r="D17" s="528"/>
      <c r="E17" s="528"/>
      <c r="F17" s="531"/>
    </row>
    <row r="18" spans="1:6">
      <c r="A18" s="524" t="s">
        <v>942</v>
      </c>
      <c r="B18" s="530"/>
      <c r="C18" s="530"/>
      <c r="D18" s="530"/>
      <c r="E18" s="530"/>
      <c r="F18" s="531"/>
    </row>
    <row r="19" spans="1:6">
      <c r="A19" s="524" t="s">
        <v>943</v>
      </c>
      <c r="B19" s="530"/>
      <c r="C19" s="530"/>
      <c r="D19" s="530"/>
      <c r="E19" s="530"/>
      <c r="F19" s="531"/>
    </row>
    <row r="20" spans="1:6" ht="15.75" thickBot="1">
      <c r="A20" s="532" t="s">
        <v>944</v>
      </c>
      <c r="B20" s="533"/>
      <c r="C20" s="533"/>
      <c r="D20" s="533"/>
      <c r="E20" s="533"/>
      <c r="F20" s="53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G68"/>
  <sheetViews>
    <sheetView showGridLines="0" zoomScale="80" zoomScaleNormal="80" workbookViewId="0">
      <pane xSplit="1" ySplit="5" topLeftCell="B6" activePane="bottomRight" state="frozen"/>
      <selection activeCell="B30" sqref="B30"/>
      <selection pane="topRight" activeCell="B30" sqref="B30"/>
      <selection pane="bottomLeft" activeCell="B30" sqref="B30"/>
      <selection pane="bottomRight"/>
    </sheetView>
  </sheetViews>
  <sheetFormatPr defaultRowHeight="15.75"/>
  <cols>
    <col min="1" max="1" width="10.7109375" style="31" customWidth="1"/>
    <col min="2" max="2" width="91.7109375" style="31" customWidth="1"/>
    <col min="3" max="3" width="53.28515625" style="654" customWidth="1"/>
    <col min="4" max="4" width="32.28515625" style="31" customWidth="1"/>
    <col min="5" max="5" width="9.42578125" customWidth="1"/>
    <col min="7" max="7" width="17" bestFit="1" customWidth="1"/>
  </cols>
  <sheetData>
    <row r="1" spans="1:7">
      <c r="A1" s="13" t="s">
        <v>97</v>
      </c>
      <c r="B1" s="14" t="str">
        <f>Info!C2</f>
        <v>სს "ბანკი ქართუ"</v>
      </c>
      <c r="E1" s="1"/>
      <c r="F1" s="1"/>
    </row>
    <row r="2" spans="1:7" s="13" customFormat="1" ht="15.75" customHeight="1">
      <c r="A2" s="13" t="s">
        <v>98</v>
      </c>
      <c r="B2" s="593">
        <f>'1. key ratios'!B2</f>
        <v>46203</v>
      </c>
      <c r="C2" s="639"/>
    </row>
    <row r="3" spans="1:7" s="13" customFormat="1" ht="15.75" customHeight="1">
      <c r="A3" s="19"/>
      <c r="C3" s="639"/>
    </row>
    <row r="4" spans="1:7" s="13" customFormat="1" ht="15.75" customHeight="1" thickBot="1">
      <c r="A4" s="13" t="s">
        <v>247</v>
      </c>
      <c r="B4" s="110" t="s">
        <v>161</v>
      </c>
      <c r="C4" s="639"/>
      <c r="D4" s="112" t="s">
        <v>76</v>
      </c>
    </row>
    <row r="5" spans="1:7" ht="25.5">
      <c r="A5" s="76" t="s">
        <v>25</v>
      </c>
      <c r="B5" s="77" t="s">
        <v>133</v>
      </c>
      <c r="C5" s="655" t="s">
        <v>826</v>
      </c>
      <c r="D5" s="111" t="s">
        <v>162</v>
      </c>
    </row>
    <row r="6" spans="1:7">
      <c r="A6" s="355">
        <v>1</v>
      </c>
      <c r="B6" s="318" t="s">
        <v>811</v>
      </c>
      <c r="C6" s="656">
        <f>SUM(C7:C9)</f>
        <v>615691920.78769982</v>
      </c>
      <c r="D6" s="71"/>
      <c r="E6" s="4"/>
      <c r="G6" s="602"/>
    </row>
    <row r="7" spans="1:7">
      <c r="A7" s="355">
        <v>1.1000000000000001</v>
      </c>
      <c r="B7" s="319" t="s">
        <v>85</v>
      </c>
      <c r="C7" s="653">
        <v>50852616.654200003</v>
      </c>
      <c r="D7" s="72"/>
      <c r="E7" s="4"/>
      <c r="G7" s="602"/>
    </row>
    <row r="8" spans="1:7">
      <c r="A8" s="355">
        <v>1.2</v>
      </c>
      <c r="B8" s="319" t="s">
        <v>86</v>
      </c>
      <c r="C8" s="653">
        <v>205495531.61367998</v>
      </c>
      <c r="D8" s="72"/>
      <c r="E8" s="4"/>
      <c r="G8" s="602"/>
    </row>
    <row r="9" spans="1:7">
      <c r="A9" s="355">
        <v>1.3</v>
      </c>
      <c r="B9" s="319" t="s">
        <v>87</v>
      </c>
      <c r="C9" s="653">
        <v>359343772.51981986</v>
      </c>
      <c r="D9" s="72"/>
      <c r="E9" s="4"/>
      <c r="G9" s="602"/>
    </row>
    <row r="10" spans="1:7">
      <c r="A10" s="355">
        <v>2</v>
      </c>
      <c r="B10" s="320" t="s">
        <v>698</v>
      </c>
      <c r="C10" s="653">
        <v>0</v>
      </c>
      <c r="D10" s="72"/>
      <c r="E10" s="4"/>
      <c r="G10" s="602"/>
    </row>
    <row r="11" spans="1:7">
      <c r="A11" s="355">
        <v>2.1</v>
      </c>
      <c r="B11" s="321" t="s">
        <v>699</v>
      </c>
      <c r="C11" s="653">
        <v>0</v>
      </c>
      <c r="D11" s="73"/>
      <c r="E11" s="5"/>
      <c r="G11" s="602"/>
    </row>
    <row r="12" spans="1:7" ht="23.65" customHeight="1">
      <c r="A12" s="355">
        <v>3</v>
      </c>
      <c r="B12" s="322" t="s">
        <v>700</v>
      </c>
      <c r="C12" s="653">
        <v>0</v>
      </c>
      <c r="D12" s="73"/>
      <c r="E12" s="5"/>
      <c r="G12" s="602"/>
    </row>
    <row r="13" spans="1:7" ht="22.9" customHeight="1">
      <c r="A13" s="355">
        <v>4</v>
      </c>
      <c r="B13" s="323" t="s">
        <v>701</v>
      </c>
      <c r="C13" s="653">
        <v>0</v>
      </c>
      <c r="D13" s="73"/>
      <c r="E13" s="5"/>
      <c r="G13" s="602"/>
    </row>
    <row r="14" spans="1:7">
      <c r="A14" s="355">
        <v>5</v>
      </c>
      <c r="B14" s="323" t="s">
        <v>702</v>
      </c>
      <c r="C14" s="657">
        <f>SUM(C15:C17)</f>
        <v>175637.53</v>
      </c>
      <c r="D14" s="73"/>
      <c r="E14" s="5"/>
      <c r="G14" s="602"/>
    </row>
    <row r="15" spans="1:7">
      <c r="A15" s="355">
        <v>5.0999999999999996</v>
      </c>
      <c r="B15" s="324" t="s">
        <v>703</v>
      </c>
      <c r="C15" s="653">
        <v>175637.53</v>
      </c>
      <c r="D15" s="73"/>
      <c r="E15" s="4"/>
      <c r="G15" s="602"/>
    </row>
    <row r="16" spans="1:7">
      <c r="A16" s="355">
        <v>5.2</v>
      </c>
      <c r="B16" s="324" t="s">
        <v>538</v>
      </c>
      <c r="C16" s="653">
        <v>0</v>
      </c>
      <c r="D16" s="72"/>
      <c r="E16" s="4"/>
      <c r="G16" s="602"/>
    </row>
    <row r="17" spans="1:7">
      <c r="A17" s="355">
        <v>5.3</v>
      </c>
      <c r="B17" s="324" t="s">
        <v>704</v>
      </c>
      <c r="C17" s="653">
        <v>0</v>
      </c>
      <c r="D17" s="72"/>
      <c r="E17" s="4"/>
      <c r="G17" s="602"/>
    </row>
    <row r="18" spans="1:7">
      <c r="A18" s="355">
        <v>6</v>
      </c>
      <c r="B18" s="322" t="s">
        <v>705</v>
      </c>
      <c r="C18" s="658">
        <f>SUM(C19:C20)</f>
        <v>1243189625.7433209</v>
      </c>
      <c r="D18" s="72"/>
      <c r="E18" s="4"/>
      <c r="G18" s="602"/>
    </row>
    <row r="19" spans="1:7">
      <c r="A19" s="355">
        <v>6.1</v>
      </c>
      <c r="B19" s="324" t="s">
        <v>538</v>
      </c>
      <c r="C19" s="653">
        <v>76138034.165068105</v>
      </c>
      <c r="D19" s="72"/>
      <c r="E19" s="4"/>
      <c r="G19" s="602"/>
    </row>
    <row r="20" spans="1:7">
      <c r="A20" s="355">
        <v>6.2</v>
      </c>
      <c r="B20" s="324" t="s">
        <v>704</v>
      </c>
      <c r="C20" s="653">
        <v>1167051591.5782528</v>
      </c>
      <c r="D20" s="72"/>
      <c r="E20" s="4"/>
      <c r="G20" s="602"/>
    </row>
    <row r="21" spans="1:7">
      <c r="A21" s="355">
        <v>7</v>
      </c>
      <c r="B21" s="325" t="s">
        <v>706</v>
      </c>
      <c r="C21" s="653">
        <v>9527300</v>
      </c>
      <c r="D21" s="72"/>
      <c r="E21" s="4"/>
      <c r="G21" s="602"/>
    </row>
    <row r="22" spans="1:7">
      <c r="A22" s="355">
        <v>8</v>
      </c>
      <c r="B22" s="326" t="s">
        <v>707</v>
      </c>
      <c r="C22" s="653">
        <v>0</v>
      </c>
      <c r="D22" s="72"/>
      <c r="E22" s="4"/>
      <c r="G22" s="602"/>
    </row>
    <row r="23" spans="1:7">
      <c r="A23" s="355">
        <v>9</v>
      </c>
      <c r="B23" s="323" t="s">
        <v>708</v>
      </c>
      <c r="C23" s="658">
        <f>SUM(C24:C25)</f>
        <v>24912541.56258833</v>
      </c>
      <c r="D23" s="375"/>
      <c r="E23" s="4"/>
      <c r="G23" s="602"/>
    </row>
    <row r="24" spans="1:7">
      <c r="A24" s="355">
        <v>9.1</v>
      </c>
      <c r="B24" s="327" t="s">
        <v>709</v>
      </c>
      <c r="C24" s="653">
        <v>24912541.56258833</v>
      </c>
      <c r="D24" s="74"/>
      <c r="E24" s="4"/>
      <c r="G24" s="602"/>
    </row>
    <row r="25" spans="1:7">
      <c r="A25" s="355">
        <v>9.1999999999999993</v>
      </c>
      <c r="B25" s="327" t="s">
        <v>710</v>
      </c>
      <c r="C25" s="653">
        <v>0</v>
      </c>
      <c r="D25" s="374"/>
      <c r="E25" s="3"/>
      <c r="G25" s="602"/>
    </row>
    <row r="26" spans="1:7">
      <c r="A26" s="355">
        <v>10</v>
      </c>
      <c r="B26" s="323" t="s">
        <v>36</v>
      </c>
      <c r="C26" s="659">
        <f>SUM(C27:C28)</f>
        <v>15458606.34</v>
      </c>
      <c r="D26" s="499" t="s">
        <v>903</v>
      </c>
      <c r="E26" s="4"/>
      <c r="G26" s="602"/>
    </row>
    <row r="27" spans="1:7">
      <c r="A27" s="355">
        <v>10.1</v>
      </c>
      <c r="B27" s="327" t="s">
        <v>711</v>
      </c>
      <c r="C27" s="653">
        <v>0</v>
      </c>
      <c r="D27" s="72"/>
      <c r="E27" s="4"/>
      <c r="G27" s="602"/>
    </row>
    <row r="28" spans="1:7">
      <c r="A28" s="355">
        <v>10.199999999999999</v>
      </c>
      <c r="B28" s="327" t="s">
        <v>712</v>
      </c>
      <c r="C28" s="653">
        <v>15458606.34</v>
      </c>
      <c r="D28" s="72"/>
      <c r="E28" s="4"/>
      <c r="G28" s="602"/>
    </row>
    <row r="29" spans="1:7">
      <c r="A29" s="355">
        <v>11</v>
      </c>
      <c r="B29" s="323" t="s">
        <v>713</v>
      </c>
      <c r="C29" s="658">
        <f>SUM(C30:C31)</f>
        <v>3764221.6954356106</v>
      </c>
      <c r="D29" s="72"/>
      <c r="E29" s="4"/>
      <c r="G29" s="602"/>
    </row>
    <row r="30" spans="1:7">
      <c r="A30" s="355">
        <v>11.1</v>
      </c>
      <c r="B30" s="327" t="s">
        <v>714</v>
      </c>
      <c r="C30" s="653">
        <v>3764221.6954356106</v>
      </c>
      <c r="D30" s="72"/>
      <c r="E30" s="4"/>
      <c r="G30" s="602"/>
    </row>
    <row r="31" spans="1:7">
      <c r="A31" s="355">
        <v>11.2</v>
      </c>
      <c r="B31" s="327" t="s">
        <v>715</v>
      </c>
      <c r="C31" s="653">
        <v>0</v>
      </c>
      <c r="D31" s="72"/>
      <c r="E31" s="4"/>
      <c r="G31" s="602"/>
    </row>
    <row r="32" spans="1:7">
      <c r="A32" s="355">
        <v>13</v>
      </c>
      <c r="B32" s="323" t="s">
        <v>88</v>
      </c>
      <c r="C32" s="653">
        <v>49563728.32447987</v>
      </c>
      <c r="D32" s="72"/>
      <c r="E32" s="4"/>
      <c r="G32" s="602"/>
    </row>
    <row r="33" spans="1:7">
      <c r="A33" s="355">
        <v>13.1</v>
      </c>
      <c r="B33" s="328" t="s">
        <v>716</v>
      </c>
      <c r="C33" s="653">
        <v>47213611.428850867</v>
      </c>
      <c r="D33" s="72"/>
      <c r="E33" s="4"/>
      <c r="G33" s="602"/>
    </row>
    <row r="34" spans="1:7">
      <c r="A34" s="355">
        <v>13.2</v>
      </c>
      <c r="B34" s="328" t="s">
        <v>717</v>
      </c>
      <c r="C34" s="653">
        <v>0</v>
      </c>
      <c r="D34" s="74"/>
      <c r="E34" s="4"/>
      <c r="G34" s="602"/>
    </row>
    <row r="35" spans="1:7">
      <c r="A35" s="355">
        <v>14</v>
      </c>
      <c r="B35" s="329" t="s">
        <v>718</v>
      </c>
      <c r="C35" s="660">
        <f>SUM(C6,C10,C12,C13,C14,C18,C21,C22,C23,C26,C29,C32)</f>
        <v>1962283581.9835243</v>
      </c>
      <c r="D35" s="74"/>
      <c r="E35" s="4"/>
      <c r="G35" s="602"/>
    </row>
    <row r="36" spans="1:7">
      <c r="A36" s="355"/>
      <c r="B36" s="330" t="s">
        <v>93</v>
      </c>
      <c r="C36" s="661"/>
      <c r="D36" s="75"/>
      <c r="E36" s="4"/>
      <c r="G36" s="602"/>
    </row>
    <row r="37" spans="1:7">
      <c r="A37" s="355">
        <v>15</v>
      </c>
      <c r="B37" s="331" t="s">
        <v>719</v>
      </c>
      <c r="C37" s="653">
        <v>0</v>
      </c>
      <c r="D37" s="374"/>
      <c r="E37" s="3"/>
      <c r="G37" s="602"/>
    </row>
    <row r="38" spans="1:7">
      <c r="A38" s="355">
        <v>15.1</v>
      </c>
      <c r="B38" s="332" t="s">
        <v>699</v>
      </c>
      <c r="C38" s="653">
        <v>0</v>
      </c>
      <c r="D38" s="72"/>
      <c r="E38" s="4"/>
      <c r="G38" s="602"/>
    </row>
    <row r="39" spans="1:7" ht="21">
      <c r="A39" s="355">
        <v>16</v>
      </c>
      <c r="B39" s="325" t="s">
        <v>720</v>
      </c>
      <c r="C39" s="653">
        <v>0</v>
      </c>
      <c r="D39" s="72"/>
      <c r="E39" s="4"/>
      <c r="G39" s="602"/>
    </row>
    <row r="40" spans="1:7">
      <c r="A40" s="355">
        <v>17</v>
      </c>
      <c r="B40" s="325" t="s">
        <v>721</v>
      </c>
      <c r="C40" s="658">
        <f>SUM(C41:C44)</f>
        <v>1374927009.567019</v>
      </c>
      <c r="D40" s="72"/>
      <c r="E40" s="4"/>
      <c r="G40" s="602"/>
    </row>
    <row r="41" spans="1:7">
      <c r="A41" s="355">
        <v>17.100000000000001</v>
      </c>
      <c r="B41" s="333" t="s">
        <v>722</v>
      </c>
      <c r="C41" s="653">
        <v>1364783587.165628</v>
      </c>
      <c r="D41" s="72"/>
      <c r="E41" s="4"/>
      <c r="G41" s="602"/>
    </row>
    <row r="42" spans="1:7">
      <c r="A42" s="366">
        <v>17.2</v>
      </c>
      <c r="B42" s="367" t="s">
        <v>89</v>
      </c>
      <c r="C42" s="653">
        <v>0</v>
      </c>
      <c r="D42" s="74"/>
      <c r="E42" s="4"/>
      <c r="G42" s="602"/>
    </row>
    <row r="43" spans="1:7">
      <c r="A43" s="355">
        <v>17.3</v>
      </c>
      <c r="B43" s="368" t="s">
        <v>723</v>
      </c>
      <c r="C43" s="653">
        <v>0</v>
      </c>
      <c r="D43" s="369"/>
      <c r="E43" s="4"/>
      <c r="G43" s="602"/>
    </row>
    <row r="44" spans="1:7">
      <c r="A44" s="355">
        <v>17.399999999999999</v>
      </c>
      <c r="B44" s="368" t="s">
        <v>724</v>
      </c>
      <c r="C44" s="653">
        <v>10143422.401391</v>
      </c>
      <c r="D44" s="369"/>
      <c r="E44" s="4"/>
      <c r="G44" s="602"/>
    </row>
    <row r="45" spans="1:7">
      <c r="A45" s="355">
        <v>18</v>
      </c>
      <c r="B45" s="341" t="s">
        <v>725</v>
      </c>
      <c r="C45" s="653">
        <v>701921.37865486019</v>
      </c>
      <c r="D45" s="369"/>
      <c r="E45" s="3"/>
      <c r="G45" s="602"/>
    </row>
    <row r="46" spans="1:7">
      <c r="A46" s="355">
        <v>19</v>
      </c>
      <c r="B46" s="341" t="s">
        <v>726</v>
      </c>
      <c r="C46" s="662">
        <f>SUM(C47:C48)</f>
        <v>3088094.3215556527</v>
      </c>
      <c r="D46" s="370"/>
      <c r="G46" s="602"/>
    </row>
    <row r="47" spans="1:7">
      <c r="A47" s="355">
        <v>19.100000000000001</v>
      </c>
      <c r="B47" s="371" t="s">
        <v>727</v>
      </c>
      <c r="C47" s="653">
        <v>0</v>
      </c>
      <c r="D47" s="370"/>
      <c r="G47" s="602"/>
    </row>
    <row r="48" spans="1:7">
      <c r="A48" s="355">
        <v>19.2</v>
      </c>
      <c r="B48" s="371" t="s">
        <v>728</v>
      </c>
      <c r="C48" s="653">
        <v>3088094.3215556527</v>
      </c>
      <c r="D48" s="370"/>
      <c r="G48" s="602"/>
    </row>
    <row r="49" spans="1:7">
      <c r="A49" s="355">
        <v>20</v>
      </c>
      <c r="B49" s="337" t="s">
        <v>90</v>
      </c>
      <c r="C49" s="653">
        <v>79335303.392840773</v>
      </c>
      <c r="D49" s="499" t="s">
        <v>1028</v>
      </c>
      <c r="G49" s="602"/>
    </row>
    <row r="50" spans="1:7">
      <c r="A50" s="355">
        <v>21</v>
      </c>
      <c r="B50" s="338" t="s">
        <v>78</v>
      </c>
      <c r="C50" s="653">
        <v>3235098.995193</v>
      </c>
      <c r="D50" s="370"/>
      <c r="G50" s="602"/>
    </row>
    <row r="51" spans="1:7">
      <c r="A51" s="355">
        <v>21.1</v>
      </c>
      <c r="B51" s="334" t="s">
        <v>729</v>
      </c>
      <c r="C51" s="653">
        <v>0</v>
      </c>
      <c r="D51" s="370"/>
      <c r="G51" s="602"/>
    </row>
    <row r="52" spans="1:7">
      <c r="A52" s="355">
        <v>22</v>
      </c>
      <c r="B52" s="337" t="s">
        <v>730</v>
      </c>
      <c r="C52" s="662">
        <f>SUM(C37,C39,C40,C45,C46,C49,C50)</f>
        <v>1461287427.6552634</v>
      </c>
      <c r="D52" s="370"/>
      <c r="G52" s="602"/>
    </row>
    <row r="53" spans="1:7">
      <c r="A53" s="355"/>
      <c r="B53" s="339" t="s">
        <v>731</v>
      </c>
      <c r="C53" s="663"/>
      <c r="D53" s="370"/>
      <c r="G53" s="602"/>
    </row>
    <row r="54" spans="1:7">
      <c r="A54" s="355">
        <v>23</v>
      </c>
      <c r="B54" s="337" t="s">
        <v>94</v>
      </c>
      <c r="C54" s="653">
        <v>114430000</v>
      </c>
      <c r="D54" s="499" t="s">
        <v>1029</v>
      </c>
      <c r="G54" s="602"/>
    </row>
    <row r="55" spans="1:7">
      <c r="A55" s="355">
        <v>24</v>
      </c>
      <c r="B55" s="337" t="s">
        <v>732</v>
      </c>
      <c r="C55" s="653">
        <v>0</v>
      </c>
      <c r="D55" s="370"/>
      <c r="G55" s="602"/>
    </row>
    <row r="56" spans="1:7">
      <c r="A56" s="355">
        <v>25</v>
      </c>
      <c r="B56" s="337" t="s">
        <v>91</v>
      </c>
      <c r="C56" s="653">
        <v>0</v>
      </c>
      <c r="D56" s="370"/>
      <c r="G56" s="602"/>
    </row>
    <row r="57" spans="1:7">
      <c r="A57" s="355">
        <v>26</v>
      </c>
      <c r="B57" s="341" t="s">
        <v>733</v>
      </c>
      <c r="C57" s="653">
        <v>0</v>
      </c>
      <c r="D57" s="370"/>
      <c r="G57" s="602"/>
    </row>
    <row r="58" spans="1:7">
      <c r="A58" s="355">
        <v>27</v>
      </c>
      <c r="B58" s="341" t="s">
        <v>734</v>
      </c>
      <c r="C58" s="664">
        <f>SUM(C59:C60)</f>
        <v>23845347.84</v>
      </c>
      <c r="D58" s="370"/>
      <c r="G58" s="602"/>
    </row>
    <row r="59" spans="1:7">
      <c r="A59" s="355">
        <v>27.1</v>
      </c>
      <c r="B59" s="371" t="s">
        <v>735</v>
      </c>
      <c r="C59" s="653">
        <v>23845347.84</v>
      </c>
      <c r="D59" s="499" t="s">
        <v>1030</v>
      </c>
      <c r="G59" s="602"/>
    </row>
    <row r="60" spans="1:7">
      <c r="A60" s="355">
        <v>27.2</v>
      </c>
      <c r="B60" s="368" t="s">
        <v>736</v>
      </c>
      <c r="C60" s="653">
        <v>0</v>
      </c>
      <c r="D60" s="370"/>
      <c r="G60" s="602"/>
    </row>
    <row r="61" spans="1:7">
      <c r="A61" s="355">
        <v>28</v>
      </c>
      <c r="B61" s="338" t="s">
        <v>737</v>
      </c>
      <c r="C61" s="653">
        <v>0</v>
      </c>
      <c r="D61" s="370"/>
      <c r="G61" s="602"/>
    </row>
    <row r="62" spans="1:7">
      <c r="A62" s="355">
        <v>29</v>
      </c>
      <c r="B62" s="341" t="s">
        <v>738</v>
      </c>
      <c r="C62" s="664">
        <f>SUM(C63:C65)</f>
        <v>0</v>
      </c>
      <c r="D62" s="370"/>
      <c r="G62" s="602"/>
    </row>
    <row r="63" spans="1:7">
      <c r="A63" s="355">
        <v>29.1</v>
      </c>
      <c r="B63" s="372" t="s">
        <v>739</v>
      </c>
      <c r="C63" s="653">
        <v>0</v>
      </c>
      <c r="D63" s="370"/>
      <c r="G63" s="602"/>
    </row>
    <row r="64" spans="1:7" ht="24" customHeight="1">
      <c r="A64" s="355">
        <v>29.2</v>
      </c>
      <c r="B64" s="371" t="s">
        <v>740</v>
      </c>
      <c r="C64" s="653">
        <v>0</v>
      </c>
      <c r="D64" s="370"/>
      <c r="G64" s="602"/>
    </row>
    <row r="65" spans="1:7" ht="22.15" customHeight="1">
      <c r="A65" s="355">
        <v>29.3</v>
      </c>
      <c r="B65" s="373" t="s">
        <v>741</v>
      </c>
      <c r="C65" s="653">
        <v>0</v>
      </c>
      <c r="D65" s="370"/>
      <c r="G65" s="602"/>
    </row>
    <row r="66" spans="1:7">
      <c r="A66" s="355">
        <v>30</v>
      </c>
      <c r="B66" s="341" t="s">
        <v>92</v>
      </c>
      <c r="C66" s="653">
        <v>362720808.40425909</v>
      </c>
      <c r="D66" s="499" t="s">
        <v>1031</v>
      </c>
      <c r="G66" s="602"/>
    </row>
    <row r="67" spans="1:7">
      <c r="A67" s="355">
        <v>31</v>
      </c>
      <c r="B67" s="340" t="s">
        <v>742</v>
      </c>
      <c r="C67" s="664">
        <f>SUM(C54,C55,C56,C57,C58,C61,C62,C66)</f>
        <v>500996156.24425912</v>
      </c>
      <c r="D67" s="370"/>
      <c r="G67" s="602"/>
    </row>
    <row r="68" spans="1:7">
      <c r="A68" s="355">
        <v>32</v>
      </c>
      <c r="B68" s="341" t="s">
        <v>743</v>
      </c>
      <c r="C68" s="664">
        <f>SUM(C52,C67)</f>
        <v>1962283583.8995225</v>
      </c>
      <c r="D68" s="370"/>
      <c r="G68" s="602"/>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39"/>
  <sheetViews>
    <sheetView showGridLines="0" zoomScale="80" zoomScaleNormal="80" workbookViewId="0">
      <pane xSplit="2" ySplit="7" topLeftCell="C8"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97" style="1" bestFit="1" customWidth="1"/>
    <col min="3" max="3" width="15.28515625" style="1" bestFit="1" customWidth="1"/>
    <col min="4" max="4" width="13.42578125" style="1" bestFit="1" customWidth="1"/>
    <col min="5" max="5" width="16.42578125" style="1" bestFit="1" customWidth="1"/>
    <col min="6" max="6" width="13.42578125" style="1" bestFit="1" customWidth="1"/>
    <col min="7" max="7" width="9.5703125" style="1" bestFit="1" customWidth="1"/>
    <col min="8" max="8" width="13.42578125" style="1" bestFit="1" customWidth="1"/>
    <col min="9" max="9" width="15.28515625" style="1" bestFit="1" customWidth="1"/>
    <col min="10" max="10" width="13.42578125" style="1" bestFit="1" customWidth="1"/>
    <col min="11" max="11" width="9.5703125" style="1" bestFit="1" customWidth="1"/>
    <col min="12" max="12" width="13.42578125" style="1" bestFit="1" customWidth="1"/>
    <col min="13" max="13" width="18" style="1" bestFit="1" customWidth="1"/>
    <col min="14" max="14" width="16.42578125" style="1" bestFit="1" customWidth="1"/>
    <col min="15" max="15" width="14.28515625" style="1" bestFit="1" customWidth="1"/>
    <col min="16" max="16" width="13.42578125" style="1" bestFit="1" customWidth="1"/>
    <col min="17" max="17" width="15.28515625" style="1" bestFit="1" customWidth="1"/>
    <col min="18" max="18" width="13.42578125" style="1" bestFit="1" customWidth="1"/>
    <col min="19" max="19" width="31.7109375" style="1" bestFit="1" customWidth="1"/>
    <col min="20" max="16384" width="9.28515625" style="8"/>
  </cols>
  <sheetData>
    <row r="1" spans="1:19">
      <c r="A1" s="1" t="s">
        <v>97</v>
      </c>
      <c r="B1" s="1" t="str">
        <f>Info!C2</f>
        <v>სს "ბანკი ქართუ"</v>
      </c>
    </row>
    <row r="2" spans="1:19">
      <c r="A2" s="1" t="s">
        <v>98</v>
      </c>
      <c r="B2" s="593">
        <f>'1. key ratios'!B2</f>
        <v>46203</v>
      </c>
    </row>
    <row r="4" spans="1:19" ht="26.25" thickBot="1">
      <c r="A4" s="30" t="s">
        <v>248</v>
      </c>
      <c r="B4" s="144" t="s">
        <v>282</v>
      </c>
    </row>
    <row r="5" spans="1:19">
      <c r="A5" s="62"/>
      <c r="B5" s="64"/>
      <c r="C5" s="56" t="s">
        <v>0</v>
      </c>
      <c r="D5" s="56" t="s">
        <v>1</v>
      </c>
      <c r="E5" s="56" t="s">
        <v>2</v>
      </c>
      <c r="F5" s="56" t="s">
        <v>3</v>
      </c>
      <c r="G5" s="56" t="s">
        <v>4</v>
      </c>
      <c r="H5" s="56" t="s">
        <v>5</v>
      </c>
      <c r="I5" s="56" t="s">
        <v>134</v>
      </c>
      <c r="J5" s="56" t="s">
        <v>135</v>
      </c>
      <c r="K5" s="56" t="s">
        <v>136</v>
      </c>
      <c r="L5" s="56" t="s">
        <v>137</v>
      </c>
      <c r="M5" s="56" t="s">
        <v>138</v>
      </c>
      <c r="N5" s="56" t="s">
        <v>139</v>
      </c>
      <c r="O5" s="56" t="s">
        <v>269</v>
      </c>
      <c r="P5" s="56" t="s">
        <v>270</v>
      </c>
      <c r="Q5" s="56" t="s">
        <v>271</v>
      </c>
      <c r="R5" s="140" t="s">
        <v>272</v>
      </c>
      <c r="S5" s="57" t="s">
        <v>273</v>
      </c>
    </row>
    <row r="6" spans="1:19" ht="46.5" customHeight="1">
      <c r="A6" s="78"/>
      <c r="B6" s="768" t="s">
        <v>274</v>
      </c>
      <c r="C6" s="766">
        <v>0</v>
      </c>
      <c r="D6" s="767"/>
      <c r="E6" s="766">
        <v>0.2</v>
      </c>
      <c r="F6" s="767"/>
      <c r="G6" s="766">
        <v>0.35</v>
      </c>
      <c r="H6" s="767"/>
      <c r="I6" s="766">
        <v>0.5</v>
      </c>
      <c r="J6" s="767"/>
      <c r="K6" s="766">
        <v>0.75</v>
      </c>
      <c r="L6" s="767"/>
      <c r="M6" s="766">
        <v>1</v>
      </c>
      <c r="N6" s="767"/>
      <c r="O6" s="766">
        <v>1.5</v>
      </c>
      <c r="P6" s="767"/>
      <c r="Q6" s="766">
        <v>2.5</v>
      </c>
      <c r="R6" s="767"/>
      <c r="S6" s="764" t="s">
        <v>145</v>
      </c>
    </row>
    <row r="7" spans="1:19">
      <c r="A7" s="78"/>
      <c r="B7" s="769"/>
      <c r="C7" s="143" t="s">
        <v>267</v>
      </c>
      <c r="D7" s="143" t="s">
        <v>268</v>
      </c>
      <c r="E7" s="143" t="s">
        <v>267</v>
      </c>
      <c r="F7" s="143" t="s">
        <v>268</v>
      </c>
      <c r="G7" s="143" t="s">
        <v>267</v>
      </c>
      <c r="H7" s="143" t="s">
        <v>268</v>
      </c>
      <c r="I7" s="143" t="s">
        <v>267</v>
      </c>
      <c r="J7" s="143" t="s">
        <v>268</v>
      </c>
      <c r="K7" s="143" t="s">
        <v>267</v>
      </c>
      <c r="L7" s="143" t="s">
        <v>268</v>
      </c>
      <c r="M7" s="143" t="s">
        <v>267</v>
      </c>
      <c r="N7" s="143" t="s">
        <v>268</v>
      </c>
      <c r="O7" s="143" t="s">
        <v>267</v>
      </c>
      <c r="P7" s="143" t="s">
        <v>268</v>
      </c>
      <c r="Q7" s="143" t="s">
        <v>267</v>
      </c>
      <c r="R7" s="143" t="s">
        <v>268</v>
      </c>
      <c r="S7" s="765"/>
    </row>
    <row r="8" spans="1:19">
      <c r="A8" s="60">
        <v>1</v>
      </c>
      <c r="B8" s="86" t="s">
        <v>123</v>
      </c>
      <c r="C8" s="665">
        <v>33230002.040883519</v>
      </c>
      <c r="D8" s="665">
        <v>0</v>
      </c>
      <c r="E8" s="665">
        <v>0</v>
      </c>
      <c r="F8" s="666">
        <v>0</v>
      </c>
      <c r="G8" s="665">
        <v>0</v>
      </c>
      <c r="H8" s="665">
        <v>0</v>
      </c>
      <c r="I8" s="665">
        <v>0</v>
      </c>
      <c r="J8" s="665">
        <v>0</v>
      </c>
      <c r="K8" s="665">
        <v>0</v>
      </c>
      <c r="L8" s="665">
        <v>0</v>
      </c>
      <c r="M8" s="665">
        <v>194156368.07367998</v>
      </c>
      <c r="N8" s="665">
        <v>0</v>
      </c>
      <c r="O8" s="665">
        <v>0</v>
      </c>
      <c r="P8" s="665">
        <v>0</v>
      </c>
      <c r="Q8" s="665">
        <v>0</v>
      </c>
      <c r="R8" s="666">
        <v>0</v>
      </c>
      <c r="S8" s="147">
        <f>$C$6*SUM(C8:D8)+$E$6*SUM(E8:F8)+$G$6*SUM(G8:H8)+$I$6*SUM(I8:J8)+$K$6*SUM(K8:L8)+$M$6*SUM(M8:N8)+$O$6*SUM(O8:P8)+$Q$6*SUM(Q8:R8)</f>
        <v>194156368.07367998</v>
      </c>
    </row>
    <row r="9" spans="1:19">
      <c r="A9" s="60">
        <v>2</v>
      </c>
      <c r="B9" s="86" t="s">
        <v>124</v>
      </c>
      <c r="C9" s="665">
        <v>0</v>
      </c>
      <c r="D9" s="665">
        <v>0</v>
      </c>
      <c r="E9" s="665">
        <v>0</v>
      </c>
      <c r="F9" s="665">
        <v>0</v>
      </c>
      <c r="G9" s="665">
        <v>0</v>
      </c>
      <c r="H9" s="665">
        <v>0</v>
      </c>
      <c r="I9" s="665">
        <v>0</v>
      </c>
      <c r="J9" s="665">
        <v>0</v>
      </c>
      <c r="K9" s="665">
        <v>0</v>
      </c>
      <c r="L9" s="665">
        <v>0</v>
      </c>
      <c r="M9" s="665">
        <v>0</v>
      </c>
      <c r="N9" s="665">
        <v>0</v>
      </c>
      <c r="O9" s="665">
        <v>0</v>
      </c>
      <c r="P9" s="665">
        <v>0</v>
      </c>
      <c r="Q9" s="665">
        <v>0</v>
      </c>
      <c r="R9" s="666">
        <v>0</v>
      </c>
      <c r="S9" s="147">
        <f t="shared" ref="S9:S21" si="0">$C$6*SUM(C9:D9)+$E$6*SUM(E9:F9)+$G$6*SUM(G9:H9)+$I$6*SUM(I9:J9)+$K$6*SUM(K9:L9)+$M$6*SUM(M9:N9)+$O$6*SUM(O9:P9)+$Q$6*SUM(Q9:R9)</f>
        <v>0</v>
      </c>
    </row>
    <row r="10" spans="1:19">
      <c r="A10" s="60">
        <v>3</v>
      </c>
      <c r="B10" s="86" t="s">
        <v>125</v>
      </c>
      <c r="C10" s="665">
        <v>0</v>
      </c>
      <c r="D10" s="665">
        <v>0</v>
      </c>
      <c r="E10" s="665">
        <v>0</v>
      </c>
      <c r="F10" s="665">
        <v>0</v>
      </c>
      <c r="G10" s="665">
        <v>0</v>
      </c>
      <c r="H10" s="665">
        <v>0</v>
      </c>
      <c r="I10" s="665">
        <v>0</v>
      </c>
      <c r="J10" s="665">
        <v>0</v>
      </c>
      <c r="K10" s="665">
        <v>0</v>
      </c>
      <c r="L10" s="665">
        <v>0</v>
      </c>
      <c r="M10" s="665">
        <v>0</v>
      </c>
      <c r="N10" s="665">
        <v>0</v>
      </c>
      <c r="O10" s="665">
        <v>0</v>
      </c>
      <c r="P10" s="665">
        <v>0</v>
      </c>
      <c r="Q10" s="665">
        <v>0</v>
      </c>
      <c r="R10" s="666">
        <v>0</v>
      </c>
      <c r="S10" s="147">
        <f t="shared" si="0"/>
        <v>0</v>
      </c>
    </row>
    <row r="11" spans="1:19">
      <c r="A11" s="60">
        <v>4</v>
      </c>
      <c r="B11" s="86" t="s">
        <v>126</v>
      </c>
      <c r="C11" s="665">
        <v>0</v>
      </c>
      <c r="D11" s="665">
        <v>0</v>
      </c>
      <c r="E11" s="665">
        <v>0</v>
      </c>
      <c r="F11" s="665">
        <v>0</v>
      </c>
      <c r="G11" s="665">
        <v>0</v>
      </c>
      <c r="H11" s="665">
        <v>0</v>
      </c>
      <c r="I11" s="665">
        <v>0</v>
      </c>
      <c r="J11" s="665">
        <v>0</v>
      </c>
      <c r="K11" s="665">
        <v>0</v>
      </c>
      <c r="L11" s="665">
        <v>0</v>
      </c>
      <c r="M11" s="665">
        <v>0</v>
      </c>
      <c r="N11" s="665">
        <v>0</v>
      </c>
      <c r="O11" s="665">
        <v>0</v>
      </c>
      <c r="P11" s="665">
        <v>0</v>
      </c>
      <c r="Q11" s="665">
        <v>0</v>
      </c>
      <c r="R11" s="666">
        <v>0</v>
      </c>
      <c r="S11" s="147">
        <f t="shared" si="0"/>
        <v>0</v>
      </c>
    </row>
    <row r="12" spans="1:19">
      <c r="A12" s="60">
        <v>5</v>
      </c>
      <c r="B12" s="86" t="s">
        <v>912</v>
      </c>
      <c r="C12" s="665">
        <v>0</v>
      </c>
      <c r="D12" s="665">
        <v>0</v>
      </c>
      <c r="E12" s="665">
        <v>0</v>
      </c>
      <c r="F12" s="665">
        <v>0</v>
      </c>
      <c r="G12" s="665">
        <v>0</v>
      </c>
      <c r="H12" s="665">
        <v>0</v>
      </c>
      <c r="I12" s="665">
        <v>0</v>
      </c>
      <c r="J12" s="665">
        <v>0</v>
      </c>
      <c r="K12" s="665">
        <v>0</v>
      </c>
      <c r="L12" s="665">
        <v>0</v>
      </c>
      <c r="M12" s="665">
        <v>0</v>
      </c>
      <c r="N12" s="665">
        <v>0</v>
      </c>
      <c r="O12" s="665">
        <v>0</v>
      </c>
      <c r="P12" s="665">
        <v>0</v>
      </c>
      <c r="Q12" s="665">
        <v>0</v>
      </c>
      <c r="R12" s="666">
        <v>0</v>
      </c>
      <c r="S12" s="147">
        <f t="shared" si="0"/>
        <v>0</v>
      </c>
    </row>
    <row r="13" spans="1:19">
      <c r="A13" s="60">
        <v>6</v>
      </c>
      <c r="B13" s="86" t="s">
        <v>127</v>
      </c>
      <c r="C13" s="665">
        <v>0</v>
      </c>
      <c r="D13" s="665">
        <v>0</v>
      </c>
      <c r="E13" s="665">
        <v>253715425.1764766</v>
      </c>
      <c r="F13" s="665">
        <v>0</v>
      </c>
      <c r="G13" s="665">
        <v>0</v>
      </c>
      <c r="H13" s="665">
        <v>0</v>
      </c>
      <c r="I13" s="665">
        <v>94106405.788479492</v>
      </c>
      <c r="J13" s="665">
        <v>0</v>
      </c>
      <c r="K13" s="665">
        <v>0</v>
      </c>
      <c r="L13" s="665">
        <v>0</v>
      </c>
      <c r="M13" s="665">
        <v>8729080.6199637912</v>
      </c>
      <c r="N13" s="665">
        <v>0</v>
      </c>
      <c r="O13" s="665">
        <v>2792860.9348999998</v>
      </c>
      <c r="P13" s="665">
        <v>0</v>
      </c>
      <c r="Q13" s="665">
        <v>0</v>
      </c>
      <c r="R13" s="666">
        <v>0</v>
      </c>
      <c r="S13" s="147">
        <f t="shared" si="0"/>
        <v>110714659.95184885</v>
      </c>
    </row>
    <row r="14" spans="1:19">
      <c r="A14" s="60">
        <v>7</v>
      </c>
      <c r="B14" s="86" t="s">
        <v>71</v>
      </c>
      <c r="C14" s="665">
        <v>0</v>
      </c>
      <c r="D14" s="665">
        <v>0</v>
      </c>
      <c r="E14" s="665">
        <v>0</v>
      </c>
      <c r="F14" s="665">
        <v>0</v>
      </c>
      <c r="G14" s="665">
        <v>0</v>
      </c>
      <c r="H14" s="665">
        <v>0</v>
      </c>
      <c r="I14" s="665">
        <v>0</v>
      </c>
      <c r="J14" s="665">
        <v>0</v>
      </c>
      <c r="K14" s="665">
        <v>0</v>
      </c>
      <c r="L14" s="665">
        <v>0</v>
      </c>
      <c r="M14" s="665">
        <v>1130367050.3475945</v>
      </c>
      <c r="N14" s="665">
        <v>119554185.9629547</v>
      </c>
      <c r="O14" s="665">
        <v>0</v>
      </c>
      <c r="P14" s="665">
        <v>0</v>
      </c>
      <c r="Q14" s="665">
        <v>0</v>
      </c>
      <c r="R14" s="666">
        <v>0</v>
      </c>
      <c r="S14" s="147">
        <f t="shared" si="0"/>
        <v>1249921236.3105493</v>
      </c>
    </row>
    <row r="15" spans="1:19">
      <c r="A15" s="60">
        <v>8</v>
      </c>
      <c r="B15" s="86" t="s">
        <v>72</v>
      </c>
      <c r="C15" s="665">
        <v>0</v>
      </c>
      <c r="D15" s="665">
        <v>0</v>
      </c>
      <c r="E15" s="665">
        <v>0</v>
      </c>
      <c r="F15" s="665">
        <v>0</v>
      </c>
      <c r="G15" s="665">
        <v>0</v>
      </c>
      <c r="H15" s="665">
        <v>0</v>
      </c>
      <c r="I15" s="665">
        <v>0</v>
      </c>
      <c r="J15" s="665">
        <v>0</v>
      </c>
      <c r="K15" s="665">
        <v>0</v>
      </c>
      <c r="L15" s="665">
        <v>0</v>
      </c>
      <c r="M15" s="665">
        <v>0</v>
      </c>
      <c r="N15" s="665">
        <v>0</v>
      </c>
      <c r="O15" s="665">
        <v>0</v>
      </c>
      <c r="P15" s="665">
        <v>0</v>
      </c>
      <c r="Q15" s="665">
        <v>0</v>
      </c>
      <c r="R15" s="666">
        <v>0</v>
      </c>
      <c r="S15" s="147">
        <f t="shared" si="0"/>
        <v>0</v>
      </c>
    </row>
    <row r="16" spans="1:19">
      <c r="A16" s="60">
        <v>9</v>
      </c>
      <c r="B16" s="86" t="s">
        <v>913</v>
      </c>
      <c r="C16" s="665">
        <v>0</v>
      </c>
      <c r="D16" s="665">
        <v>0</v>
      </c>
      <c r="E16" s="665">
        <v>0</v>
      </c>
      <c r="F16" s="665">
        <v>0</v>
      </c>
      <c r="G16" s="665">
        <v>0</v>
      </c>
      <c r="H16" s="665">
        <v>0</v>
      </c>
      <c r="I16" s="665">
        <v>0</v>
      </c>
      <c r="J16" s="665">
        <v>0</v>
      </c>
      <c r="K16" s="665">
        <v>0</v>
      </c>
      <c r="L16" s="665">
        <v>0</v>
      </c>
      <c r="M16" s="665">
        <v>0</v>
      </c>
      <c r="N16" s="665">
        <v>0</v>
      </c>
      <c r="O16" s="665">
        <v>0</v>
      </c>
      <c r="P16" s="665">
        <v>0</v>
      </c>
      <c r="Q16" s="665">
        <v>0</v>
      </c>
      <c r="R16" s="666">
        <v>0</v>
      </c>
      <c r="S16" s="147">
        <f t="shared" si="0"/>
        <v>0</v>
      </c>
    </row>
    <row r="17" spans="1:19">
      <c r="A17" s="60">
        <v>10</v>
      </c>
      <c r="B17" s="86" t="s">
        <v>67</v>
      </c>
      <c r="C17" s="665">
        <v>0</v>
      </c>
      <c r="D17" s="665">
        <v>0</v>
      </c>
      <c r="E17" s="665">
        <v>0</v>
      </c>
      <c r="F17" s="665">
        <v>0</v>
      </c>
      <c r="G17" s="665">
        <v>0</v>
      </c>
      <c r="H17" s="665">
        <v>0</v>
      </c>
      <c r="I17" s="665">
        <v>0</v>
      </c>
      <c r="J17" s="665">
        <v>0</v>
      </c>
      <c r="K17" s="665">
        <v>0</v>
      </c>
      <c r="L17" s="665">
        <v>0</v>
      </c>
      <c r="M17" s="665">
        <v>51673507.677791283</v>
      </c>
      <c r="N17" s="665">
        <v>0</v>
      </c>
      <c r="O17" s="665">
        <v>0</v>
      </c>
      <c r="P17" s="665">
        <v>0</v>
      </c>
      <c r="Q17" s="665">
        <v>0</v>
      </c>
      <c r="R17" s="666">
        <v>0</v>
      </c>
      <c r="S17" s="147">
        <f t="shared" si="0"/>
        <v>51673507.677791283</v>
      </c>
    </row>
    <row r="18" spans="1:19">
      <c r="A18" s="60">
        <v>11</v>
      </c>
      <c r="B18" s="86" t="s">
        <v>68</v>
      </c>
      <c r="C18" s="665">
        <v>0</v>
      </c>
      <c r="D18" s="665">
        <v>0</v>
      </c>
      <c r="E18" s="665">
        <v>0</v>
      </c>
      <c r="F18" s="665">
        <v>0</v>
      </c>
      <c r="G18" s="665">
        <v>0</v>
      </c>
      <c r="H18" s="665">
        <v>0</v>
      </c>
      <c r="I18" s="665">
        <v>0</v>
      </c>
      <c r="J18" s="665">
        <v>0</v>
      </c>
      <c r="K18" s="665">
        <v>0</v>
      </c>
      <c r="L18" s="665">
        <v>0</v>
      </c>
      <c r="M18" s="665">
        <v>0</v>
      </c>
      <c r="N18" s="665">
        <v>0</v>
      </c>
      <c r="O18" s="665">
        <v>0</v>
      </c>
      <c r="P18" s="665">
        <v>0</v>
      </c>
      <c r="Q18" s="665">
        <v>0</v>
      </c>
      <c r="R18" s="666">
        <v>0</v>
      </c>
      <c r="S18" s="147">
        <f t="shared" si="0"/>
        <v>0</v>
      </c>
    </row>
    <row r="19" spans="1:19">
      <c r="A19" s="60">
        <v>12</v>
      </c>
      <c r="B19" s="86" t="s">
        <v>69</v>
      </c>
      <c r="C19" s="665">
        <v>0</v>
      </c>
      <c r="D19" s="665">
        <v>0</v>
      </c>
      <c r="E19" s="665">
        <v>0</v>
      </c>
      <c r="F19" s="665">
        <v>0</v>
      </c>
      <c r="G19" s="665">
        <v>0</v>
      </c>
      <c r="H19" s="665">
        <v>0</v>
      </c>
      <c r="I19" s="665">
        <v>0</v>
      </c>
      <c r="J19" s="665">
        <v>0</v>
      </c>
      <c r="K19" s="665">
        <v>0</v>
      </c>
      <c r="L19" s="665">
        <v>0</v>
      </c>
      <c r="M19" s="665">
        <v>0</v>
      </c>
      <c r="N19" s="665">
        <v>0</v>
      </c>
      <c r="O19" s="665">
        <v>0</v>
      </c>
      <c r="P19" s="665">
        <v>0</v>
      </c>
      <c r="Q19" s="665">
        <v>0</v>
      </c>
      <c r="R19" s="666">
        <v>0</v>
      </c>
      <c r="S19" s="147">
        <f t="shared" si="0"/>
        <v>0</v>
      </c>
    </row>
    <row r="20" spans="1:19">
      <c r="A20" s="60">
        <v>13</v>
      </c>
      <c r="B20" s="86" t="s">
        <v>70</v>
      </c>
      <c r="C20" s="665">
        <v>0</v>
      </c>
      <c r="D20" s="665">
        <v>0</v>
      </c>
      <c r="E20" s="665">
        <v>0</v>
      </c>
      <c r="F20" s="665">
        <v>0</v>
      </c>
      <c r="G20" s="665">
        <v>0</v>
      </c>
      <c r="H20" s="665">
        <v>0</v>
      </c>
      <c r="I20" s="665">
        <v>0</v>
      </c>
      <c r="J20" s="665">
        <v>0</v>
      </c>
      <c r="K20" s="665">
        <v>0</v>
      </c>
      <c r="L20" s="665">
        <v>0</v>
      </c>
      <c r="M20" s="665">
        <v>0</v>
      </c>
      <c r="N20" s="665">
        <v>0</v>
      </c>
      <c r="O20" s="665">
        <v>0</v>
      </c>
      <c r="P20" s="665">
        <v>0</v>
      </c>
      <c r="Q20" s="665">
        <v>0</v>
      </c>
      <c r="R20" s="666">
        <v>0</v>
      </c>
      <c r="S20" s="147">
        <f t="shared" si="0"/>
        <v>0</v>
      </c>
    </row>
    <row r="21" spans="1:19">
      <c r="A21" s="60">
        <v>14</v>
      </c>
      <c r="B21" s="86" t="s">
        <v>143</v>
      </c>
      <c r="C21" s="665">
        <v>58781807.056788325</v>
      </c>
      <c r="D21" s="665">
        <v>0</v>
      </c>
      <c r="E21" s="665">
        <v>0</v>
      </c>
      <c r="F21" s="665">
        <v>0</v>
      </c>
      <c r="G21" s="665">
        <v>0</v>
      </c>
      <c r="H21" s="665">
        <v>0</v>
      </c>
      <c r="I21" s="665">
        <v>0</v>
      </c>
      <c r="J21" s="665">
        <v>0</v>
      </c>
      <c r="K21" s="665">
        <v>0</v>
      </c>
      <c r="L21" s="665">
        <v>0</v>
      </c>
      <c r="M21" s="665">
        <v>95175838.173053622</v>
      </c>
      <c r="N21" s="665">
        <v>1890933.7073712312</v>
      </c>
      <c r="O21" s="665">
        <v>0</v>
      </c>
      <c r="P21" s="665">
        <v>0</v>
      </c>
      <c r="Q21" s="665">
        <v>24096630.099999998</v>
      </c>
      <c r="R21" s="666">
        <v>0</v>
      </c>
      <c r="S21" s="147">
        <f t="shared" si="0"/>
        <v>157308347.13042486</v>
      </c>
    </row>
    <row r="22" spans="1:19" ht="13.5" thickBot="1">
      <c r="A22" s="54"/>
      <c r="B22" s="82" t="s">
        <v>66</v>
      </c>
      <c r="C22" s="667">
        <f>SUM(C8:C21)</f>
        <v>92011809.097671837</v>
      </c>
      <c r="D22" s="667">
        <f t="shared" ref="D22:S22" si="1">SUM(D8:D21)</f>
        <v>0</v>
      </c>
      <c r="E22" s="667">
        <f t="shared" si="1"/>
        <v>253715425.1764766</v>
      </c>
      <c r="F22" s="667">
        <f t="shared" si="1"/>
        <v>0</v>
      </c>
      <c r="G22" s="667">
        <f t="shared" si="1"/>
        <v>0</v>
      </c>
      <c r="H22" s="667">
        <f t="shared" si="1"/>
        <v>0</v>
      </c>
      <c r="I22" s="667">
        <f t="shared" si="1"/>
        <v>94106405.788479492</v>
      </c>
      <c r="J22" s="667">
        <f t="shared" si="1"/>
        <v>0</v>
      </c>
      <c r="K22" s="667">
        <f t="shared" si="1"/>
        <v>0</v>
      </c>
      <c r="L22" s="667">
        <f t="shared" si="1"/>
        <v>0</v>
      </c>
      <c r="M22" s="667">
        <f t="shared" si="1"/>
        <v>1480101844.8920832</v>
      </c>
      <c r="N22" s="667">
        <f t="shared" si="1"/>
        <v>121445119.67032593</v>
      </c>
      <c r="O22" s="667">
        <f t="shared" si="1"/>
        <v>2792860.9348999998</v>
      </c>
      <c r="P22" s="667">
        <f t="shared" si="1"/>
        <v>0</v>
      </c>
      <c r="Q22" s="667">
        <f t="shared" si="1"/>
        <v>24096630.099999998</v>
      </c>
      <c r="R22" s="667">
        <f t="shared" si="1"/>
        <v>0</v>
      </c>
      <c r="S22" s="668">
        <f t="shared" si="1"/>
        <v>1763774119.1442943</v>
      </c>
    </row>
    <row r="25" spans="1:19">
      <c r="C25" s="601"/>
      <c r="D25" s="601"/>
      <c r="E25" s="601"/>
      <c r="F25" s="601"/>
      <c r="G25" s="601"/>
      <c r="H25" s="601"/>
      <c r="I25" s="601"/>
      <c r="J25" s="601"/>
      <c r="K25" s="601"/>
      <c r="L25" s="601"/>
      <c r="M25" s="601"/>
      <c r="N25" s="601"/>
      <c r="O25" s="601"/>
      <c r="P25" s="601"/>
      <c r="Q25" s="601"/>
      <c r="R25" s="601"/>
      <c r="S25" s="601"/>
    </row>
    <row r="26" spans="1:19">
      <c r="C26" s="601"/>
      <c r="D26" s="601"/>
      <c r="E26" s="601"/>
      <c r="F26" s="601"/>
      <c r="G26" s="601"/>
      <c r="H26" s="601"/>
      <c r="I26" s="601"/>
      <c r="J26" s="601"/>
      <c r="K26" s="601"/>
      <c r="L26" s="601"/>
      <c r="M26" s="601"/>
      <c r="N26" s="601"/>
      <c r="O26" s="601"/>
      <c r="P26" s="601"/>
      <c r="Q26" s="601"/>
      <c r="R26" s="601"/>
      <c r="S26" s="601"/>
    </row>
    <row r="27" spans="1:19">
      <c r="C27" s="601"/>
      <c r="D27" s="601"/>
      <c r="E27" s="601"/>
      <c r="F27" s="601"/>
      <c r="G27" s="601"/>
      <c r="H27" s="601"/>
      <c r="I27" s="601"/>
      <c r="J27" s="601"/>
      <c r="K27" s="601"/>
      <c r="L27" s="601"/>
      <c r="M27" s="601"/>
      <c r="N27" s="601"/>
      <c r="O27" s="601"/>
      <c r="P27" s="601"/>
      <c r="Q27" s="601"/>
      <c r="R27" s="601"/>
      <c r="S27" s="601"/>
    </row>
    <row r="28" spans="1:19">
      <c r="C28" s="601"/>
      <c r="D28" s="601"/>
      <c r="E28" s="601"/>
      <c r="F28" s="601"/>
      <c r="G28" s="601"/>
      <c r="H28" s="601"/>
      <c r="I28" s="601"/>
      <c r="J28" s="601"/>
      <c r="K28" s="601"/>
      <c r="L28" s="601"/>
      <c r="M28" s="601"/>
      <c r="N28" s="601"/>
      <c r="O28" s="601"/>
      <c r="P28" s="601"/>
      <c r="Q28" s="601"/>
      <c r="R28" s="601"/>
      <c r="S28" s="601"/>
    </row>
    <row r="29" spans="1:19">
      <c r="C29" s="601"/>
      <c r="D29" s="601"/>
      <c r="E29" s="601"/>
      <c r="F29" s="601"/>
      <c r="G29" s="601"/>
      <c r="H29" s="601"/>
      <c r="I29" s="601"/>
      <c r="J29" s="601"/>
      <c r="K29" s="601"/>
      <c r="L29" s="601"/>
      <c r="M29" s="601"/>
      <c r="N29" s="601"/>
      <c r="O29" s="601"/>
      <c r="P29" s="601"/>
      <c r="Q29" s="601"/>
      <c r="R29" s="601"/>
      <c r="S29" s="601"/>
    </row>
    <row r="30" spans="1:19">
      <c r="C30" s="601"/>
      <c r="D30" s="601"/>
      <c r="E30" s="601"/>
      <c r="F30" s="601"/>
      <c r="G30" s="601"/>
      <c r="H30" s="601"/>
      <c r="I30" s="601"/>
      <c r="J30" s="601"/>
      <c r="K30" s="601"/>
      <c r="L30" s="601"/>
      <c r="M30" s="601"/>
      <c r="N30" s="601"/>
      <c r="O30" s="601"/>
      <c r="P30" s="601"/>
      <c r="Q30" s="601"/>
      <c r="R30" s="601"/>
      <c r="S30" s="601"/>
    </row>
    <row r="31" spans="1:19">
      <c r="C31" s="601"/>
      <c r="D31" s="601"/>
      <c r="E31" s="601"/>
      <c r="F31" s="601"/>
      <c r="G31" s="601"/>
      <c r="H31" s="601"/>
      <c r="I31" s="601"/>
      <c r="J31" s="601"/>
      <c r="K31" s="601"/>
      <c r="L31" s="601"/>
      <c r="M31" s="601"/>
      <c r="N31" s="601"/>
      <c r="O31" s="601"/>
      <c r="P31" s="601"/>
      <c r="Q31" s="601"/>
      <c r="R31" s="601"/>
      <c r="S31" s="601"/>
    </row>
    <row r="32" spans="1:19">
      <c r="C32" s="601"/>
      <c r="D32" s="601"/>
      <c r="E32" s="601"/>
      <c r="F32" s="601"/>
      <c r="G32" s="601"/>
      <c r="H32" s="601"/>
      <c r="I32" s="601"/>
      <c r="J32" s="601"/>
      <c r="K32" s="601"/>
      <c r="L32" s="601"/>
      <c r="M32" s="601"/>
      <c r="N32" s="601"/>
      <c r="O32" s="601"/>
      <c r="P32" s="601"/>
      <c r="Q32" s="601"/>
      <c r="R32" s="601"/>
      <c r="S32" s="601"/>
    </row>
    <row r="33" spans="3:19">
      <c r="C33" s="601"/>
      <c r="D33" s="601"/>
      <c r="E33" s="601"/>
      <c r="F33" s="601"/>
      <c r="G33" s="601"/>
      <c r="H33" s="601"/>
      <c r="I33" s="601"/>
      <c r="J33" s="601"/>
      <c r="K33" s="601"/>
      <c r="L33" s="601"/>
      <c r="M33" s="601"/>
      <c r="N33" s="601"/>
      <c r="O33" s="601"/>
      <c r="P33" s="601"/>
      <c r="Q33" s="601"/>
      <c r="R33" s="601"/>
      <c r="S33" s="601"/>
    </row>
    <row r="34" spans="3:19">
      <c r="C34" s="601"/>
      <c r="D34" s="601"/>
      <c r="E34" s="601"/>
      <c r="F34" s="601"/>
      <c r="G34" s="601"/>
      <c r="H34" s="601"/>
      <c r="I34" s="601"/>
      <c r="J34" s="601"/>
      <c r="K34" s="601"/>
      <c r="L34" s="601"/>
      <c r="M34" s="601"/>
      <c r="N34" s="601"/>
      <c r="O34" s="601"/>
      <c r="P34" s="601"/>
      <c r="Q34" s="601"/>
      <c r="R34" s="601"/>
      <c r="S34" s="601"/>
    </row>
    <row r="35" spans="3:19">
      <c r="C35" s="601"/>
      <c r="D35" s="601"/>
      <c r="E35" s="601"/>
      <c r="F35" s="601"/>
      <c r="G35" s="601"/>
      <c r="H35" s="601"/>
      <c r="I35" s="601"/>
      <c r="J35" s="601"/>
      <c r="K35" s="601"/>
      <c r="L35" s="601"/>
      <c r="M35" s="601"/>
      <c r="N35" s="601"/>
      <c r="O35" s="601"/>
      <c r="P35" s="601"/>
      <c r="Q35" s="601"/>
      <c r="R35" s="601"/>
      <c r="S35" s="601"/>
    </row>
    <row r="36" spans="3:19">
      <c r="C36" s="601"/>
      <c r="D36" s="601"/>
      <c r="E36" s="601"/>
      <c r="F36" s="601"/>
      <c r="G36" s="601"/>
      <c r="H36" s="601"/>
      <c r="I36" s="601"/>
      <c r="J36" s="601"/>
      <c r="K36" s="601"/>
      <c r="L36" s="601"/>
      <c r="M36" s="601"/>
      <c r="N36" s="601"/>
      <c r="O36" s="601"/>
      <c r="P36" s="601"/>
      <c r="Q36" s="601"/>
      <c r="R36" s="601"/>
      <c r="S36" s="601"/>
    </row>
    <row r="37" spans="3:19">
      <c r="C37" s="601"/>
      <c r="D37" s="601"/>
      <c r="E37" s="601"/>
      <c r="F37" s="601"/>
      <c r="G37" s="601"/>
      <c r="H37" s="601"/>
      <c r="I37" s="601"/>
      <c r="J37" s="601"/>
      <c r="K37" s="601"/>
      <c r="L37" s="601"/>
      <c r="M37" s="601"/>
      <c r="N37" s="601"/>
      <c r="O37" s="601"/>
      <c r="P37" s="601"/>
      <c r="Q37" s="601"/>
      <c r="R37" s="601"/>
      <c r="S37" s="601"/>
    </row>
    <row r="38" spans="3:19">
      <c r="C38" s="601"/>
      <c r="D38" s="601"/>
      <c r="E38" s="601"/>
      <c r="F38" s="601"/>
      <c r="G38" s="601"/>
      <c r="H38" s="601"/>
      <c r="I38" s="601"/>
      <c r="J38" s="601"/>
      <c r="K38" s="601"/>
      <c r="L38" s="601"/>
      <c r="M38" s="601"/>
      <c r="N38" s="601"/>
      <c r="O38" s="601"/>
      <c r="P38" s="601"/>
      <c r="Q38" s="601"/>
      <c r="R38" s="601"/>
      <c r="S38" s="601"/>
    </row>
    <row r="39" spans="3:19">
      <c r="C39" s="601"/>
      <c r="D39" s="601"/>
      <c r="E39" s="601"/>
      <c r="F39" s="601"/>
      <c r="G39" s="601"/>
      <c r="H39" s="601"/>
      <c r="I39" s="601"/>
      <c r="J39" s="601"/>
      <c r="K39" s="601"/>
      <c r="L39" s="601"/>
      <c r="M39" s="601"/>
      <c r="N39" s="601"/>
      <c r="O39" s="601"/>
      <c r="P39" s="601"/>
      <c r="Q39" s="601"/>
      <c r="R39" s="601"/>
      <c r="S39" s="601"/>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97" style="1" bestFit="1" customWidth="1"/>
    <col min="3" max="3" width="19" style="1" customWidth="1"/>
    <col min="4" max="4" width="19.5703125" style="1" customWidth="1"/>
    <col min="5" max="5" width="31.28515625" style="1" customWidth="1"/>
    <col min="6" max="6" width="29.28515625" style="1" customWidth="1"/>
    <col min="7" max="7" width="28.5703125" style="1" customWidth="1"/>
    <col min="8" max="8" width="26.42578125" style="1" customWidth="1"/>
    <col min="9" max="9" width="23.7109375" style="1" customWidth="1"/>
    <col min="10" max="10" width="21.5703125" style="1" customWidth="1"/>
    <col min="11" max="11" width="15.7109375" style="1" customWidth="1"/>
    <col min="12" max="12" width="13.28515625" style="1" customWidth="1"/>
    <col min="13" max="13" width="20.7109375" style="1" customWidth="1"/>
    <col min="14" max="14" width="19.28515625" style="1" customWidth="1"/>
    <col min="15" max="15" width="18.42578125" style="1" customWidth="1"/>
    <col min="16" max="16" width="19" style="1" customWidth="1"/>
    <col min="17" max="17" width="20.28515625" style="1" customWidth="1"/>
    <col min="18" max="18" width="18" style="1" customWidth="1"/>
    <col min="19" max="19" width="36" style="1" customWidth="1"/>
    <col min="20" max="20" width="19.42578125" style="1" customWidth="1"/>
    <col min="21" max="21" width="19.28515625" style="1" customWidth="1"/>
    <col min="22" max="22" width="20" style="1" customWidth="1"/>
    <col min="23" max="16384" width="9.28515625" style="8"/>
  </cols>
  <sheetData>
    <row r="1" spans="1:22">
      <c r="A1" s="1" t="s">
        <v>97</v>
      </c>
      <c r="B1" s="1" t="str">
        <f>Info!C2</f>
        <v>სს "ბანკი ქართუ"</v>
      </c>
    </row>
    <row r="2" spans="1:22">
      <c r="A2" s="1" t="s">
        <v>98</v>
      </c>
      <c r="B2" s="593">
        <f>'1. key ratios'!B2</f>
        <v>46203</v>
      </c>
    </row>
    <row r="4" spans="1:22" ht="27.75" thickBot="1">
      <c r="A4" s="1" t="s">
        <v>249</v>
      </c>
      <c r="B4" s="144" t="s">
        <v>283</v>
      </c>
      <c r="V4" s="112" t="s">
        <v>76</v>
      </c>
    </row>
    <row r="5" spans="1:22">
      <c r="A5" s="52"/>
      <c r="B5" s="53"/>
      <c r="C5" s="770" t="s">
        <v>105</v>
      </c>
      <c r="D5" s="771"/>
      <c r="E5" s="771"/>
      <c r="F5" s="771"/>
      <c r="G5" s="771"/>
      <c r="H5" s="771"/>
      <c r="I5" s="771"/>
      <c r="J5" s="771"/>
      <c r="K5" s="771"/>
      <c r="L5" s="772"/>
      <c r="M5" s="770" t="s">
        <v>106</v>
      </c>
      <c r="N5" s="771"/>
      <c r="O5" s="771"/>
      <c r="P5" s="771"/>
      <c r="Q5" s="771"/>
      <c r="R5" s="771"/>
      <c r="S5" s="772"/>
      <c r="T5" s="775" t="s">
        <v>281</v>
      </c>
      <c r="U5" s="775" t="s">
        <v>280</v>
      </c>
      <c r="V5" s="773" t="s">
        <v>107</v>
      </c>
    </row>
    <row r="6" spans="1:22" s="30" customFormat="1" ht="127.5">
      <c r="A6" s="58"/>
      <c r="B6" s="88"/>
      <c r="C6" s="50" t="s">
        <v>108</v>
      </c>
      <c r="D6" s="49" t="s">
        <v>109</v>
      </c>
      <c r="E6" s="47" t="s">
        <v>110</v>
      </c>
      <c r="F6" s="47" t="s">
        <v>275</v>
      </c>
      <c r="G6" s="49" t="s">
        <v>111</v>
      </c>
      <c r="H6" s="49" t="s">
        <v>112</v>
      </c>
      <c r="I6" s="49" t="s">
        <v>113</v>
      </c>
      <c r="J6" s="49" t="s">
        <v>142</v>
      </c>
      <c r="K6" s="49" t="s">
        <v>114</v>
      </c>
      <c r="L6" s="51" t="s">
        <v>115</v>
      </c>
      <c r="M6" s="50" t="s">
        <v>116</v>
      </c>
      <c r="N6" s="49" t="s">
        <v>117</v>
      </c>
      <c r="O6" s="49" t="s">
        <v>118</v>
      </c>
      <c r="P6" s="49" t="s">
        <v>119</v>
      </c>
      <c r="Q6" s="49" t="s">
        <v>120</v>
      </c>
      <c r="R6" s="49" t="s">
        <v>121</v>
      </c>
      <c r="S6" s="51" t="s">
        <v>122</v>
      </c>
      <c r="T6" s="776"/>
      <c r="U6" s="776"/>
      <c r="V6" s="774"/>
    </row>
    <row r="7" spans="1:22">
      <c r="A7" s="81">
        <v>1</v>
      </c>
      <c r="B7" s="86" t="s">
        <v>123</v>
      </c>
      <c r="C7" s="669">
        <v>0</v>
      </c>
      <c r="D7" s="665">
        <v>0</v>
      </c>
      <c r="E7" s="665">
        <v>0</v>
      </c>
      <c r="F7" s="665">
        <v>0</v>
      </c>
      <c r="G7" s="665">
        <v>0</v>
      </c>
      <c r="H7" s="665">
        <v>0</v>
      </c>
      <c r="I7" s="665">
        <v>0</v>
      </c>
      <c r="J7" s="665">
        <v>0</v>
      </c>
      <c r="K7" s="665">
        <v>0</v>
      </c>
      <c r="L7" s="670">
        <v>0</v>
      </c>
      <c r="M7" s="669">
        <v>0</v>
      </c>
      <c r="N7" s="665">
        <v>0</v>
      </c>
      <c r="O7" s="665">
        <v>0</v>
      </c>
      <c r="P7" s="665">
        <v>0</v>
      </c>
      <c r="Q7" s="665">
        <v>0</v>
      </c>
      <c r="R7" s="665">
        <v>0</v>
      </c>
      <c r="S7" s="670">
        <v>0</v>
      </c>
      <c r="T7" s="671">
        <v>0</v>
      </c>
      <c r="U7" s="672">
        <v>0</v>
      </c>
      <c r="V7" s="673">
        <f>SUM(C7:S7)</f>
        <v>0</v>
      </c>
    </row>
    <row r="8" spans="1:22">
      <c r="A8" s="81">
        <v>2</v>
      </c>
      <c r="B8" s="86" t="s">
        <v>124</v>
      </c>
      <c r="C8" s="669">
        <v>0</v>
      </c>
      <c r="D8" s="665">
        <v>0</v>
      </c>
      <c r="E8" s="665">
        <v>0</v>
      </c>
      <c r="F8" s="665">
        <v>0</v>
      </c>
      <c r="G8" s="665">
        <v>0</v>
      </c>
      <c r="H8" s="665">
        <v>0</v>
      </c>
      <c r="I8" s="665">
        <v>0</v>
      </c>
      <c r="J8" s="665">
        <v>0</v>
      </c>
      <c r="K8" s="665">
        <v>0</v>
      </c>
      <c r="L8" s="670">
        <v>0</v>
      </c>
      <c r="M8" s="669">
        <v>0</v>
      </c>
      <c r="N8" s="665">
        <v>0</v>
      </c>
      <c r="O8" s="665">
        <v>0</v>
      </c>
      <c r="P8" s="665">
        <v>0</v>
      </c>
      <c r="Q8" s="665">
        <v>0</v>
      </c>
      <c r="R8" s="665">
        <v>0</v>
      </c>
      <c r="S8" s="670">
        <v>0</v>
      </c>
      <c r="T8" s="672">
        <v>0</v>
      </c>
      <c r="U8" s="672">
        <v>0</v>
      </c>
      <c r="V8" s="673">
        <f t="shared" ref="V8:V20" si="0">SUM(C8:S8)</f>
        <v>0</v>
      </c>
    </row>
    <row r="9" spans="1:22">
      <c r="A9" s="81">
        <v>3</v>
      </c>
      <c r="B9" s="86" t="s">
        <v>125</v>
      </c>
      <c r="C9" s="669">
        <v>0</v>
      </c>
      <c r="D9" s="665">
        <v>0</v>
      </c>
      <c r="E9" s="665">
        <v>0</v>
      </c>
      <c r="F9" s="665">
        <v>0</v>
      </c>
      <c r="G9" s="665">
        <v>0</v>
      </c>
      <c r="H9" s="665">
        <v>0</v>
      </c>
      <c r="I9" s="665">
        <v>0</v>
      </c>
      <c r="J9" s="665">
        <v>0</v>
      </c>
      <c r="K9" s="665">
        <v>0</v>
      </c>
      <c r="L9" s="670">
        <v>0</v>
      </c>
      <c r="M9" s="669">
        <v>0</v>
      </c>
      <c r="N9" s="665">
        <v>0</v>
      </c>
      <c r="O9" s="665">
        <v>0</v>
      </c>
      <c r="P9" s="665">
        <v>0</v>
      </c>
      <c r="Q9" s="665">
        <v>0</v>
      </c>
      <c r="R9" s="665">
        <v>0</v>
      </c>
      <c r="S9" s="670">
        <v>0</v>
      </c>
      <c r="T9" s="672">
        <v>0</v>
      </c>
      <c r="U9" s="672">
        <v>0</v>
      </c>
      <c r="V9" s="673">
        <f>SUM(C9:S9)</f>
        <v>0</v>
      </c>
    </row>
    <row r="10" spans="1:22">
      <c r="A10" s="81">
        <v>4</v>
      </c>
      <c r="B10" s="86" t="s">
        <v>126</v>
      </c>
      <c r="C10" s="669">
        <v>0</v>
      </c>
      <c r="D10" s="665">
        <v>0</v>
      </c>
      <c r="E10" s="665">
        <v>0</v>
      </c>
      <c r="F10" s="665">
        <v>0</v>
      </c>
      <c r="G10" s="665">
        <v>0</v>
      </c>
      <c r="H10" s="665">
        <v>0</v>
      </c>
      <c r="I10" s="665">
        <v>0</v>
      </c>
      <c r="J10" s="665">
        <v>0</v>
      </c>
      <c r="K10" s="665">
        <v>0</v>
      </c>
      <c r="L10" s="670">
        <v>0</v>
      </c>
      <c r="M10" s="669">
        <v>0</v>
      </c>
      <c r="N10" s="665">
        <v>0</v>
      </c>
      <c r="O10" s="665">
        <v>0</v>
      </c>
      <c r="P10" s="665">
        <v>0</v>
      </c>
      <c r="Q10" s="665">
        <v>0</v>
      </c>
      <c r="R10" s="665">
        <v>0</v>
      </c>
      <c r="S10" s="670">
        <v>0</v>
      </c>
      <c r="T10" s="672">
        <v>0</v>
      </c>
      <c r="U10" s="672">
        <v>0</v>
      </c>
      <c r="V10" s="673">
        <f t="shared" si="0"/>
        <v>0</v>
      </c>
    </row>
    <row r="11" spans="1:22">
      <c r="A11" s="81">
        <v>5</v>
      </c>
      <c r="B11" s="86" t="s">
        <v>912</v>
      </c>
      <c r="C11" s="669">
        <v>0</v>
      </c>
      <c r="D11" s="665">
        <v>0</v>
      </c>
      <c r="E11" s="665">
        <v>0</v>
      </c>
      <c r="F11" s="665">
        <v>0</v>
      </c>
      <c r="G11" s="665">
        <v>0</v>
      </c>
      <c r="H11" s="665">
        <v>0</v>
      </c>
      <c r="I11" s="665">
        <v>0</v>
      </c>
      <c r="J11" s="665">
        <v>0</v>
      </c>
      <c r="K11" s="665">
        <v>0</v>
      </c>
      <c r="L11" s="670">
        <v>0</v>
      </c>
      <c r="M11" s="669">
        <v>0</v>
      </c>
      <c r="N11" s="665">
        <v>0</v>
      </c>
      <c r="O11" s="665">
        <v>0</v>
      </c>
      <c r="P11" s="665">
        <v>0</v>
      </c>
      <c r="Q11" s="665">
        <v>0</v>
      </c>
      <c r="R11" s="665">
        <v>0</v>
      </c>
      <c r="S11" s="670">
        <v>0</v>
      </c>
      <c r="T11" s="672">
        <v>0</v>
      </c>
      <c r="U11" s="672">
        <v>0</v>
      </c>
      <c r="V11" s="673">
        <f t="shared" si="0"/>
        <v>0</v>
      </c>
    </row>
    <row r="12" spans="1:22">
      <c r="A12" s="81">
        <v>6</v>
      </c>
      <c r="B12" s="86" t="s">
        <v>127</v>
      </c>
      <c r="C12" s="669">
        <v>0</v>
      </c>
      <c r="D12" s="665">
        <v>0</v>
      </c>
      <c r="E12" s="665">
        <v>0</v>
      </c>
      <c r="F12" s="665">
        <v>0</v>
      </c>
      <c r="G12" s="665">
        <v>0</v>
      </c>
      <c r="H12" s="665">
        <v>0</v>
      </c>
      <c r="I12" s="665">
        <v>0</v>
      </c>
      <c r="J12" s="665">
        <v>0</v>
      </c>
      <c r="K12" s="665">
        <v>0</v>
      </c>
      <c r="L12" s="670">
        <v>0</v>
      </c>
      <c r="M12" s="669">
        <v>0</v>
      </c>
      <c r="N12" s="665">
        <v>0</v>
      </c>
      <c r="O12" s="665">
        <v>0</v>
      </c>
      <c r="P12" s="665">
        <v>0</v>
      </c>
      <c r="Q12" s="665">
        <v>0</v>
      </c>
      <c r="R12" s="665">
        <v>0</v>
      </c>
      <c r="S12" s="670">
        <v>0</v>
      </c>
      <c r="T12" s="672">
        <v>0</v>
      </c>
      <c r="U12" s="672">
        <v>0</v>
      </c>
      <c r="V12" s="673">
        <f t="shared" si="0"/>
        <v>0</v>
      </c>
    </row>
    <row r="13" spans="1:22">
      <c r="A13" s="81">
        <v>7</v>
      </c>
      <c r="B13" s="86" t="s">
        <v>71</v>
      </c>
      <c r="C13" s="669">
        <v>0</v>
      </c>
      <c r="D13" s="665">
        <v>89489249.736549646</v>
      </c>
      <c r="E13" s="665">
        <v>0</v>
      </c>
      <c r="F13" s="665">
        <v>0</v>
      </c>
      <c r="G13" s="665">
        <v>0</v>
      </c>
      <c r="H13" s="665">
        <v>0</v>
      </c>
      <c r="I13" s="665">
        <v>0</v>
      </c>
      <c r="J13" s="665">
        <v>0</v>
      </c>
      <c r="K13" s="665">
        <v>0</v>
      </c>
      <c r="L13" s="670">
        <v>0</v>
      </c>
      <c r="M13" s="669">
        <v>0</v>
      </c>
      <c r="N13" s="665">
        <v>0</v>
      </c>
      <c r="O13" s="665">
        <v>0</v>
      </c>
      <c r="P13" s="665">
        <v>0</v>
      </c>
      <c r="Q13" s="665">
        <v>0</v>
      </c>
      <c r="R13" s="665">
        <v>0</v>
      </c>
      <c r="S13" s="670">
        <v>0</v>
      </c>
      <c r="T13" s="672">
        <v>80978856.781907365</v>
      </c>
      <c r="U13" s="672">
        <v>8510392.9546422865</v>
      </c>
      <c r="V13" s="673">
        <f t="shared" si="0"/>
        <v>89489249.736549646</v>
      </c>
    </row>
    <row r="14" spans="1:22">
      <c r="A14" s="81">
        <v>8</v>
      </c>
      <c r="B14" s="86" t="s">
        <v>72</v>
      </c>
      <c r="C14" s="669">
        <v>0</v>
      </c>
      <c r="D14" s="665">
        <v>0</v>
      </c>
      <c r="E14" s="665">
        <v>0</v>
      </c>
      <c r="F14" s="665">
        <v>0</v>
      </c>
      <c r="G14" s="665">
        <v>0</v>
      </c>
      <c r="H14" s="665">
        <v>0</v>
      </c>
      <c r="I14" s="665">
        <v>0</v>
      </c>
      <c r="J14" s="665">
        <v>0</v>
      </c>
      <c r="K14" s="665">
        <v>0</v>
      </c>
      <c r="L14" s="670">
        <v>0</v>
      </c>
      <c r="M14" s="669">
        <v>0</v>
      </c>
      <c r="N14" s="665">
        <v>0</v>
      </c>
      <c r="O14" s="665">
        <v>0</v>
      </c>
      <c r="P14" s="665">
        <v>0</v>
      </c>
      <c r="Q14" s="665">
        <v>0</v>
      </c>
      <c r="R14" s="665">
        <v>0</v>
      </c>
      <c r="S14" s="670">
        <v>0</v>
      </c>
      <c r="T14" s="672">
        <v>0</v>
      </c>
      <c r="U14" s="672">
        <v>0</v>
      </c>
      <c r="V14" s="673">
        <f t="shared" si="0"/>
        <v>0</v>
      </c>
    </row>
    <row r="15" spans="1:22">
      <c r="A15" s="81">
        <v>9</v>
      </c>
      <c r="B15" s="86" t="s">
        <v>913</v>
      </c>
      <c r="C15" s="669">
        <v>0</v>
      </c>
      <c r="D15" s="665">
        <v>0</v>
      </c>
      <c r="E15" s="665">
        <v>0</v>
      </c>
      <c r="F15" s="665">
        <v>0</v>
      </c>
      <c r="G15" s="665">
        <v>0</v>
      </c>
      <c r="H15" s="665">
        <v>0</v>
      </c>
      <c r="I15" s="665">
        <v>0</v>
      </c>
      <c r="J15" s="665">
        <v>0</v>
      </c>
      <c r="K15" s="665">
        <v>0</v>
      </c>
      <c r="L15" s="670">
        <v>0</v>
      </c>
      <c r="M15" s="669">
        <v>0</v>
      </c>
      <c r="N15" s="665">
        <v>0</v>
      </c>
      <c r="O15" s="665">
        <v>0</v>
      </c>
      <c r="P15" s="665">
        <v>0</v>
      </c>
      <c r="Q15" s="665">
        <v>0</v>
      </c>
      <c r="R15" s="665">
        <v>0</v>
      </c>
      <c r="S15" s="670">
        <v>0</v>
      </c>
      <c r="T15" s="672">
        <v>0</v>
      </c>
      <c r="U15" s="672">
        <v>0</v>
      </c>
      <c r="V15" s="673">
        <f t="shared" si="0"/>
        <v>0</v>
      </c>
    </row>
    <row r="16" spans="1:22">
      <c r="A16" s="81">
        <v>10</v>
      </c>
      <c r="B16" s="86" t="s">
        <v>67</v>
      </c>
      <c r="C16" s="669">
        <v>0</v>
      </c>
      <c r="D16" s="665">
        <v>1005.9123592000001</v>
      </c>
      <c r="E16" s="665">
        <v>0</v>
      </c>
      <c r="F16" s="665">
        <v>0</v>
      </c>
      <c r="G16" s="665">
        <v>0</v>
      </c>
      <c r="H16" s="665">
        <v>0</v>
      </c>
      <c r="I16" s="665">
        <v>0</v>
      </c>
      <c r="J16" s="665">
        <v>0</v>
      </c>
      <c r="K16" s="665">
        <v>0</v>
      </c>
      <c r="L16" s="670">
        <v>0</v>
      </c>
      <c r="M16" s="669">
        <v>0</v>
      </c>
      <c r="N16" s="665">
        <v>0</v>
      </c>
      <c r="O16" s="665">
        <v>0</v>
      </c>
      <c r="P16" s="665">
        <v>0</v>
      </c>
      <c r="Q16" s="665">
        <v>0</v>
      </c>
      <c r="R16" s="665">
        <v>0</v>
      </c>
      <c r="S16" s="670">
        <v>0</v>
      </c>
      <c r="T16" s="672">
        <v>1005.9123592000001</v>
      </c>
      <c r="U16" s="672">
        <v>0</v>
      </c>
      <c r="V16" s="673">
        <f t="shared" si="0"/>
        <v>1005.9123592000001</v>
      </c>
    </row>
    <row r="17" spans="1:22">
      <c r="A17" s="81">
        <v>11</v>
      </c>
      <c r="B17" s="86" t="s">
        <v>68</v>
      </c>
      <c r="C17" s="669">
        <v>0</v>
      </c>
      <c r="D17" s="665">
        <v>0</v>
      </c>
      <c r="E17" s="665">
        <v>0</v>
      </c>
      <c r="F17" s="665">
        <v>0</v>
      </c>
      <c r="G17" s="665">
        <v>0</v>
      </c>
      <c r="H17" s="665">
        <v>0</v>
      </c>
      <c r="I17" s="665">
        <v>0</v>
      </c>
      <c r="J17" s="665">
        <v>0</v>
      </c>
      <c r="K17" s="665">
        <v>0</v>
      </c>
      <c r="L17" s="670">
        <v>0</v>
      </c>
      <c r="M17" s="669">
        <v>0</v>
      </c>
      <c r="N17" s="665">
        <v>0</v>
      </c>
      <c r="O17" s="665">
        <v>0</v>
      </c>
      <c r="P17" s="665">
        <v>0</v>
      </c>
      <c r="Q17" s="665">
        <v>0</v>
      </c>
      <c r="R17" s="665">
        <v>0</v>
      </c>
      <c r="S17" s="670">
        <v>0</v>
      </c>
      <c r="T17" s="672">
        <v>0</v>
      </c>
      <c r="U17" s="672">
        <v>0</v>
      </c>
      <c r="V17" s="673">
        <f t="shared" si="0"/>
        <v>0</v>
      </c>
    </row>
    <row r="18" spans="1:22">
      <c r="A18" s="81">
        <v>12</v>
      </c>
      <c r="B18" s="86" t="s">
        <v>69</v>
      </c>
      <c r="C18" s="669">
        <v>0</v>
      </c>
      <c r="D18" s="665">
        <v>0</v>
      </c>
      <c r="E18" s="665">
        <v>0</v>
      </c>
      <c r="F18" s="665">
        <v>0</v>
      </c>
      <c r="G18" s="665">
        <v>0</v>
      </c>
      <c r="H18" s="665">
        <v>0</v>
      </c>
      <c r="I18" s="665">
        <v>0</v>
      </c>
      <c r="J18" s="665">
        <v>0</v>
      </c>
      <c r="K18" s="665">
        <v>0</v>
      </c>
      <c r="L18" s="670">
        <v>0</v>
      </c>
      <c r="M18" s="669">
        <v>0</v>
      </c>
      <c r="N18" s="665">
        <v>0</v>
      </c>
      <c r="O18" s="665">
        <v>0</v>
      </c>
      <c r="P18" s="665">
        <v>0</v>
      </c>
      <c r="Q18" s="665">
        <v>0</v>
      </c>
      <c r="R18" s="665">
        <v>0</v>
      </c>
      <c r="S18" s="670">
        <v>0</v>
      </c>
      <c r="T18" s="672">
        <v>0</v>
      </c>
      <c r="U18" s="672">
        <v>0</v>
      </c>
      <c r="V18" s="673">
        <f t="shared" si="0"/>
        <v>0</v>
      </c>
    </row>
    <row r="19" spans="1:22">
      <c r="A19" s="81">
        <v>13</v>
      </c>
      <c r="B19" s="86" t="s">
        <v>70</v>
      </c>
      <c r="C19" s="669">
        <v>0</v>
      </c>
      <c r="D19" s="665">
        <v>0</v>
      </c>
      <c r="E19" s="665">
        <v>0</v>
      </c>
      <c r="F19" s="665">
        <v>0</v>
      </c>
      <c r="G19" s="665">
        <v>0</v>
      </c>
      <c r="H19" s="665">
        <v>0</v>
      </c>
      <c r="I19" s="665">
        <v>0</v>
      </c>
      <c r="J19" s="665">
        <v>0</v>
      </c>
      <c r="K19" s="665">
        <v>0</v>
      </c>
      <c r="L19" s="670">
        <v>0</v>
      </c>
      <c r="M19" s="669">
        <v>0</v>
      </c>
      <c r="N19" s="665">
        <v>0</v>
      </c>
      <c r="O19" s="665">
        <v>0</v>
      </c>
      <c r="P19" s="665">
        <v>0</v>
      </c>
      <c r="Q19" s="665">
        <v>0</v>
      </c>
      <c r="R19" s="665">
        <v>0</v>
      </c>
      <c r="S19" s="670">
        <v>0</v>
      </c>
      <c r="T19" s="672">
        <v>0</v>
      </c>
      <c r="U19" s="672">
        <v>0</v>
      </c>
      <c r="V19" s="673">
        <f t="shared" si="0"/>
        <v>0</v>
      </c>
    </row>
    <row r="20" spans="1:22">
      <c r="A20" s="81">
        <v>14</v>
      </c>
      <c r="B20" s="86" t="s">
        <v>143</v>
      </c>
      <c r="C20" s="669">
        <v>0</v>
      </c>
      <c r="D20" s="665">
        <v>7666348.2258705245</v>
      </c>
      <c r="E20" s="665">
        <v>0</v>
      </c>
      <c r="F20" s="665">
        <v>0</v>
      </c>
      <c r="G20" s="665">
        <v>0</v>
      </c>
      <c r="H20" s="665">
        <v>0</v>
      </c>
      <c r="I20" s="665">
        <v>0</v>
      </c>
      <c r="J20" s="665">
        <v>0</v>
      </c>
      <c r="K20" s="665">
        <v>0</v>
      </c>
      <c r="L20" s="670">
        <v>0</v>
      </c>
      <c r="M20" s="669">
        <v>0</v>
      </c>
      <c r="N20" s="665">
        <v>0</v>
      </c>
      <c r="O20" s="665">
        <v>0</v>
      </c>
      <c r="P20" s="665">
        <v>0</v>
      </c>
      <c r="Q20" s="665">
        <v>0</v>
      </c>
      <c r="R20" s="665">
        <v>0</v>
      </c>
      <c r="S20" s="670">
        <v>0</v>
      </c>
      <c r="T20" s="672">
        <v>7639781.0998669621</v>
      </c>
      <c r="U20" s="672">
        <v>26567.126003562698</v>
      </c>
      <c r="V20" s="673">
        <f t="shared" si="0"/>
        <v>7666348.2258705245</v>
      </c>
    </row>
    <row r="21" spans="1:22" ht="13.5" thickBot="1">
      <c r="A21" s="54"/>
      <c r="B21" s="55" t="s">
        <v>66</v>
      </c>
      <c r="C21" s="674">
        <f>SUM(C7:C20)</f>
        <v>0</v>
      </c>
      <c r="D21" s="667">
        <f t="shared" ref="D21:V21" si="1">SUM(D7:D20)</f>
        <v>97156603.874779359</v>
      </c>
      <c r="E21" s="667">
        <f t="shared" si="1"/>
        <v>0</v>
      </c>
      <c r="F21" s="667">
        <f t="shared" si="1"/>
        <v>0</v>
      </c>
      <c r="G21" s="667">
        <f t="shared" si="1"/>
        <v>0</v>
      </c>
      <c r="H21" s="667">
        <f t="shared" si="1"/>
        <v>0</v>
      </c>
      <c r="I21" s="667">
        <f t="shared" si="1"/>
        <v>0</v>
      </c>
      <c r="J21" s="667">
        <f t="shared" si="1"/>
        <v>0</v>
      </c>
      <c r="K21" s="667">
        <f t="shared" si="1"/>
        <v>0</v>
      </c>
      <c r="L21" s="668">
        <f t="shared" si="1"/>
        <v>0</v>
      </c>
      <c r="M21" s="674">
        <f t="shared" si="1"/>
        <v>0</v>
      </c>
      <c r="N21" s="667">
        <f t="shared" si="1"/>
        <v>0</v>
      </c>
      <c r="O21" s="667">
        <f t="shared" si="1"/>
        <v>0</v>
      </c>
      <c r="P21" s="667">
        <f t="shared" si="1"/>
        <v>0</v>
      </c>
      <c r="Q21" s="667">
        <f t="shared" si="1"/>
        <v>0</v>
      </c>
      <c r="R21" s="667">
        <f t="shared" si="1"/>
        <v>0</v>
      </c>
      <c r="S21" s="668">
        <f t="shared" si="1"/>
        <v>0</v>
      </c>
      <c r="T21" s="668">
        <f>SUM(T7:T20)</f>
        <v>88619643.794133514</v>
      </c>
      <c r="U21" s="668">
        <f t="shared" si="1"/>
        <v>8536960.0806458499</v>
      </c>
      <c r="V21" s="675">
        <f t="shared" si="1"/>
        <v>97156603.874779359</v>
      </c>
    </row>
    <row r="24" spans="1:22">
      <c r="C24" s="33"/>
      <c r="D24" s="33"/>
      <c r="E24" s="33"/>
    </row>
    <row r="25" spans="1:22">
      <c r="A25" s="29"/>
      <c r="B25" s="29"/>
      <c r="C25" s="676"/>
      <c r="D25" s="676"/>
      <c r="E25" s="676"/>
      <c r="F25" s="676"/>
      <c r="G25" s="676"/>
      <c r="H25" s="676"/>
      <c r="I25" s="676"/>
      <c r="J25" s="676"/>
      <c r="K25" s="676"/>
      <c r="L25" s="676"/>
      <c r="M25" s="676"/>
      <c r="N25" s="676"/>
      <c r="O25" s="676"/>
      <c r="P25" s="676"/>
      <c r="Q25" s="676"/>
      <c r="R25" s="676"/>
      <c r="S25" s="676"/>
      <c r="T25" s="676"/>
      <c r="U25" s="676"/>
      <c r="V25" s="676"/>
    </row>
    <row r="26" spans="1:22">
      <c r="A26" s="29"/>
      <c r="B26" s="48"/>
      <c r="C26" s="676"/>
      <c r="D26" s="676"/>
      <c r="E26" s="676"/>
      <c r="F26" s="676"/>
      <c r="G26" s="676"/>
      <c r="H26" s="676"/>
      <c r="I26" s="676"/>
      <c r="J26" s="676"/>
      <c r="K26" s="676"/>
      <c r="L26" s="676"/>
      <c r="M26" s="676"/>
      <c r="N26" s="676"/>
      <c r="O26" s="676"/>
      <c r="P26" s="676"/>
      <c r="Q26" s="676"/>
      <c r="R26" s="676"/>
      <c r="S26" s="676"/>
      <c r="T26" s="676"/>
      <c r="U26" s="676"/>
      <c r="V26" s="676"/>
    </row>
    <row r="27" spans="1:22">
      <c r="A27" s="29"/>
      <c r="B27" s="29"/>
      <c r="C27" s="676"/>
      <c r="D27" s="676"/>
      <c r="E27" s="676"/>
      <c r="F27" s="676"/>
      <c r="G27" s="676"/>
      <c r="H27" s="676"/>
      <c r="I27" s="676"/>
      <c r="J27" s="676"/>
      <c r="K27" s="676"/>
      <c r="L27" s="676"/>
      <c r="M27" s="676"/>
      <c r="N27" s="676"/>
      <c r="O27" s="676"/>
      <c r="P27" s="676"/>
      <c r="Q27" s="676"/>
      <c r="R27" s="676"/>
      <c r="S27" s="676"/>
      <c r="T27" s="676"/>
      <c r="U27" s="676"/>
      <c r="V27" s="676"/>
    </row>
    <row r="28" spans="1:22">
      <c r="A28" s="29"/>
      <c r="B28" s="48"/>
      <c r="C28" s="676"/>
      <c r="D28" s="676"/>
      <c r="E28" s="676"/>
      <c r="F28" s="676"/>
      <c r="G28" s="676"/>
      <c r="H28" s="676"/>
      <c r="I28" s="676"/>
      <c r="J28" s="676"/>
      <c r="K28" s="676"/>
      <c r="L28" s="676"/>
      <c r="M28" s="676"/>
      <c r="N28" s="676"/>
      <c r="O28" s="676"/>
      <c r="P28" s="676"/>
      <c r="Q28" s="676"/>
      <c r="R28" s="676"/>
      <c r="S28" s="676"/>
      <c r="T28" s="676"/>
      <c r="U28" s="676"/>
      <c r="V28" s="676"/>
    </row>
    <row r="29" spans="1:22">
      <c r="C29" s="676"/>
      <c r="D29" s="676"/>
      <c r="E29" s="676"/>
      <c r="F29" s="676"/>
      <c r="G29" s="676"/>
      <c r="H29" s="676"/>
      <c r="I29" s="676"/>
      <c r="J29" s="676"/>
      <c r="K29" s="676"/>
      <c r="L29" s="676"/>
      <c r="M29" s="676"/>
      <c r="N29" s="676"/>
      <c r="O29" s="676"/>
      <c r="P29" s="676"/>
      <c r="Q29" s="676"/>
      <c r="R29" s="676"/>
      <c r="S29" s="676"/>
      <c r="T29" s="676"/>
      <c r="U29" s="676"/>
      <c r="V29" s="676"/>
    </row>
    <row r="30" spans="1:22">
      <c r="C30" s="676"/>
      <c r="D30" s="676"/>
      <c r="E30" s="676"/>
      <c r="F30" s="676"/>
      <c r="G30" s="676"/>
      <c r="H30" s="676"/>
      <c r="I30" s="676"/>
      <c r="J30" s="676"/>
      <c r="K30" s="676"/>
      <c r="L30" s="676"/>
      <c r="M30" s="676"/>
      <c r="N30" s="676"/>
      <c r="O30" s="676"/>
      <c r="P30" s="676"/>
      <c r="Q30" s="676"/>
      <c r="R30" s="676"/>
      <c r="S30" s="676"/>
      <c r="T30" s="676"/>
      <c r="U30" s="676"/>
      <c r="V30" s="676"/>
    </row>
    <row r="31" spans="1:22">
      <c r="C31" s="676"/>
      <c r="D31" s="676"/>
      <c r="E31" s="676"/>
      <c r="F31" s="676"/>
      <c r="G31" s="676"/>
      <c r="H31" s="676"/>
      <c r="I31" s="676"/>
      <c r="J31" s="676"/>
      <c r="K31" s="676"/>
      <c r="L31" s="676"/>
      <c r="M31" s="676"/>
      <c r="N31" s="676"/>
      <c r="O31" s="676"/>
      <c r="P31" s="676"/>
      <c r="Q31" s="676"/>
      <c r="R31" s="676"/>
      <c r="S31" s="676"/>
      <c r="T31" s="676"/>
      <c r="U31" s="676"/>
      <c r="V31" s="676"/>
    </row>
    <row r="32" spans="1:22">
      <c r="C32" s="676"/>
      <c r="D32" s="676"/>
      <c r="E32" s="676"/>
      <c r="F32" s="676"/>
      <c r="G32" s="676"/>
      <c r="H32" s="676"/>
      <c r="I32" s="676"/>
      <c r="J32" s="676"/>
      <c r="K32" s="676"/>
      <c r="L32" s="676"/>
      <c r="M32" s="676"/>
      <c r="N32" s="676"/>
      <c r="O32" s="676"/>
      <c r="P32" s="676"/>
      <c r="Q32" s="676"/>
      <c r="R32" s="676"/>
      <c r="S32" s="676"/>
      <c r="T32" s="676"/>
      <c r="U32" s="676"/>
      <c r="V32" s="676"/>
    </row>
    <row r="33" spans="3:22">
      <c r="C33" s="676"/>
      <c r="D33" s="676"/>
      <c r="E33" s="676"/>
      <c r="F33" s="676"/>
      <c r="G33" s="676"/>
      <c r="H33" s="676"/>
      <c r="I33" s="676"/>
      <c r="J33" s="676"/>
      <c r="K33" s="676"/>
      <c r="L33" s="676"/>
      <c r="M33" s="676"/>
      <c r="N33" s="676"/>
      <c r="O33" s="676"/>
      <c r="P33" s="676"/>
      <c r="Q33" s="676"/>
      <c r="R33" s="676"/>
      <c r="S33" s="676"/>
      <c r="T33" s="676"/>
      <c r="U33" s="676"/>
      <c r="V33" s="676"/>
    </row>
    <row r="34" spans="3:22">
      <c r="C34" s="676"/>
      <c r="D34" s="676"/>
      <c r="E34" s="676"/>
      <c r="F34" s="676"/>
      <c r="G34" s="676"/>
      <c r="H34" s="676"/>
      <c r="I34" s="676"/>
      <c r="J34" s="676"/>
      <c r="K34" s="676"/>
      <c r="L34" s="676"/>
      <c r="M34" s="676"/>
      <c r="N34" s="676"/>
      <c r="O34" s="676"/>
      <c r="P34" s="676"/>
      <c r="Q34" s="676"/>
      <c r="R34" s="676"/>
      <c r="S34" s="676"/>
      <c r="T34" s="676"/>
      <c r="U34" s="676"/>
      <c r="V34" s="676"/>
    </row>
    <row r="35" spans="3:22">
      <c r="C35" s="676"/>
      <c r="D35" s="676"/>
      <c r="E35" s="676"/>
      <c r="F35" s="676"/>
      <c r="G35" s="676"/>
      <c r="H35" s="676"/>
      <c r="I35" s="676"/>
      <c r="J35" s="676"/>
      <c r="K35" s="676"/>
      <c r="L35" s="676"/>
      <c r="M35" s="676"/>
      <c r="N35" s="676"/>
      <c r="O35" s="676"/>
      <c r="P35" s="676"/>
      <c r="Q35" s="676"/>
      <c r="R35" s="676"/>
      <c r="S35" s="676"/>
      <c r="T35" s="676"/>
      <c r="U35" s="676"/>
      <c r="V35" s="676"/>
    </row>
    <row r="36" spans="3:22">
      <c r="C36" s="676"/>
      <c r="D36" s="676"/>
      <c r="E36" s="676"/>
      <c r="F36" s="676"/>
      <c r="G36" s="676"/>
      <c r="H36" s="676"/>
      <c r="I36" s="676"/>
      <c r="J36" s="676"/>
      <c r="K36" s="676"/>
      <c r="L36" s="676"/>
      <c r="M36" s="676"/>
      <c r="N36" s="676"/>
      <c r="O36" s="676"/>
      <c r="P36" s="676"/>
      <c r="Q36" s="676"/>
      <c r="R36" s="676"/>
      <c r="S36" s="676"/>
      <c r="T36" s="676"/>
      <c r="U36" s="676"/>
      <c r="V36" s="676"/>
    </row>
    <row r="37" spans="3:22">
      <c r="C37" s="676"/>
      <c r="D37" s="676"/>
      <c r="E37" s="676"/>
      <c r="F37" s="676"/>
      <c r="G37" s="676"/>
      <c r="H37" s="676"/>
      <c r="I37" s="676"/>
      <c r="J37" s="676"/>
      <c r="K37" s="676"/>
      <c r="L37" s="676"/>
      <c r="M37" s="676"/>
      <c r="N37" s="676"/>
      <c r="O37" s="676"/>
      <c r="P37" s="676"/>
      <c r="Q37" s="676"/>
      <c r="R37" s="676"/>
      <c r="S37" s="676"/>
      <c r="T37" s="676"/>
      <c r="U37" s="676"/>
      <c r="V37" s="676"/>
    </row>
    <row r="38" spans="3:22">
      <c r="C38" s="676"/>
      <c r="D38" s="676"/>
      <c r="E38" s="676"/>
      <c r="F38" s="676"/>
      <c r="G38" s="676"/>
      <c r="H38" s="676"/>
      <c r="I38" s="676"/>
      <c r="J38" s="676"/>
      <c r="K38" s="676"/>
      <c r="L38" s="676"/>
      <c r="M38" s="676"/>
      <c r="N38" s="676"/>
      <c r="O38" s="676"/>
      <c r="P38" s="676"/>
      <c r="Q38" s="676"/>
      <c r="R38" s="676"/>
      <c r="S38" s="676"/>
      <c r="T38" s="676"/>
      <c r="U38" s="676"/>
      <c r="V38" s="676"/>
    </row>
    <row r="39" spans="3:22">
      <c r="C39" s="676"/>
      <c r="D39" s="676"/>
      <c r="E39" s="676"/>
      <c r="F39" s="676"/>
      <c r="G39" s="676"/>
      <c r="H39" s="676"/>
      <c r="I39" s="676"/>
      <c r="J39" s="676"/>
      <c r="K39" s="676"/>
      <c r="L39" s="676"/>
      <c r="M39" s="676"/>
      <c r="N39" s="676"/>
      <c r="O39" s="676"/>
      <c r="P39" s="676"/>
      <c r="Q39" s="676"/>
      <c r="R39" s="676"/>
      <c r="S39" s="676"/>
      <c r="T39" s="676"/>
      <c r="U39" s="676"/>
      <c r="V39" s="67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P28"/>
  <sheetViews>
    <sheetView showGridLines="0" zoomScale="80" zoomScaleNormal="80" workbookViewId="0">
      <pane xSplit="1" ySplit="7" topLeftCell="B8"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101.7109375" style="1" customWidth="1"/>
    <col min="3" max="3" width="14.85546875" style="1" customWidth="1"/>
    <col min="4" max="4" width="14.7109375" style="1" bestFit="1" customWidth="1"/>
    <col min="5" max="5" width="17.7109375" style="1" customWidth="1"/>
    <col min="6" max="6" width="15.7109375" style="1" customWidth="1"/>
    <col min="7" max="7" width="17.42578125" style="1" customWidth="1"/>
    <col min="8" max="8" width="15.28515625" style="1" customWidth="1"/>
    <col min="9" max="10" width="9.28515625" style="8"/>
    <col min="11" max="11" width="14.42578125" style="8" bestFit="1" customWidth="1"/>
    <col min="12" max="12" width="13.7109375" style="8" bestFit="1" customWidth="1"/>
    <col min="13" max="13" width="13.140625" style="8" bestFit="1" customWidth="1"/>
    <col min="14" max="14" width="14.85546875" style="8" bestFit="1" customWidth="1"/>
    <col min="15" max="15" width="14.42578125" style="8" bestFit="1" customWidth="1"/>
    <col min="16" max="16" width="9.42578125" style="8" bestFit="1" customWidth="1"/>
    <col min="17" max="16384" width="9.28515625" style="8"/>
  </cols>
  <sheetData>
    <row r="1" spans="1:16">
      <c r="A1" s="1" t="s">
        <v>97</v>
      </c>
      <c r="B1" s="1" t="str">
        <f>Info!C2</f>
        <v>სს "ბანკი ქართუ"</v>
      </c>
    </row>
    <row r="2" spans="1:16">
      <c r="A2" s="1" t="s">
        <v>98</v>
      </c>
      <c r="B2" s="593">
        <f>'1. key ratios'!B2</f>
        <v>46203</v>
      </c>
    </row>
    <row r="4" spans="1:16" ht="13.5" thickBot="1">
      <c r="A4" s="1" t="s">
        <v>250</v>
      </c>
      <c r="B4" s="22" t="s">
        <v>284</v>
      </c>
    </row>
    <row r="5" spans="1:16">
      <c r="A5" s="52"/>
      <c r="B5" s="79"/>
      <c r="C5" s="83" t="s">
        <v>0</v>
      </c>
      <c r="D5" s="83" t="s">
        <v>1</v>
      </c>
      <c r="E5" s="83" t="s">
        <v>2</v>
      </c>
      <c r="F5" s="83" t="s">
        <v>3</v>
      </c>
      <c r="G5" s="141" t="s">
        <v>4</v>
      </c>
      <c r="H5" s="84" t="s">
        <v>5</v>
      </c>
      <c r="I5" s="18"/>
    </row>
    <row r="6" spans="1:16" ht="15" customHeight="1">
      <c r="A6" s="78"/>
      <c r="B6" s="16"/>
      <c r="C6" s="768" t="s">
        <v>276</v>
      </c>
      <c r="D6" s="779" t="s">
        <v>297</v>
      </c>
      <c r="E6" s="780"/>
      <c r="F6" s="768" t="s">
        <v>303</v>
      </c>
      <c r="G6" s="768" t="s">
        <v>304</v>
      </c>
      <c r="H6" s="777" t="s">
        <v>278</v>
      </c>
      <c r="I6" s="18"/>
    </row>
    <row r="7" spans="1:16" ht="63.75">
      <c r="A7" s="78"/>
      <c r="B7" s="16"/>
      <c r="C7" s="769"/>
      <c r="D7" s="142" t="s">
        <v>279</v>
      </c>
      <c r="E7" s="142" t="s">
        <v>277</v>
      </c>
      <c r="F7" s="769"/>
      <c r="G7" s="769"/>
      <c r="H7" s="778"/>
      <c r="I7" s="18"/>
    </row>
    <row r="8" spans="1:16">
      <c r="A8" s="45">
        <v>1</v>
      </c>
      <c r="B8" s="86" t="s">
        <v>123</v>
      </c>
      <c r="C8" s="665">
        <v>227386370.11456349</v>
      </c>
      <c r="D8" s="665">
        <v>0</v>
      </c>
      <c r="E8" s="665">
        <v>0</v>
      </c>
      <c r="F8" s="665">
        <v>194156368.07367998</v>
      </c>
      <c r="G8" s="665">
        <v>194156368.07367998</v>
      </c>
      <c r="H8" s="145">
        <f>G8/(C8+E8)</f>
        <v>0.85386106465334166</v>
      </c>
      <c r="K8" s="619"/>
      <c r="L8" s="619"/>
      <c r="M8" s="619"/>
      <c r="N8" s="619"/>
      <c r="O8" s="619"/>
      <c r="P8" s="619"/>
    </row>
    <row r="9" spans="1:16" ht="15" customHeight="1">
      <c r="A9" s="45">
        <v>2</v>
      </c>
      <c r="B9" s="86" t="s">
        <v>124</v>
      </c>
      <c r="C9" s="665">
        <v>0</v>
      </c>
      <c r="D9" s="665">
        <v>0</v>
      </c>
      <c r="E9" s="665">
        <v>0</v>
      </c>
      <c r="F9" s="665">
        <v>0</v>
      </c>
      <c r="G9" s="665">
        <v>0</v>
      </c>
      <c r="H9" s="145">
        <f>IFERROR(G9/(C9+E9),0)</f>
        <v>0</v>
      </c>
      <c r="K9" s="619"/>
      <c r="L9" s="619"/>
      <c r="M9" s="619"/>
      <c r="N9" s="619"/>
      <c r="O9" s="619"/>
      <c r="P9" s="619"/>
    </row>
    <row r="10" spans="1:16">
      <c r="A10" s="45">
        <v>3</v>
      </c>
      <c r="B10" s="86" t="s">
        <v>125</v>
      </c>
      <c r="C10" s="665">
        <v>0</v>
      </c>
      <c r="D10" s="665">
        <v>0</v>
      </c>
      <c r="E10" s="665">
        <v>0</v>
      </c>
      <c r="F10" s="665">
        <v>0</v>
      </c>
      <c r="G10" s="665">
        <v>0</v>
      </c>
      <c r="H10" s="145">
        <f>IFERROR(G10/(C10+E10),0)</f>
        <v>0</v>
      </c>
      <c r="K10" s="619"/>
      <c r="L10" s="619"/>
      <c r="M10" s="619"/>
      <c r="N10" s="619"/>
      <c r="O10" s="619"/>
      <c r="P10" s="619"/>
    </row>
    <row r="11" spans="1:16">
      <c r="A11" s="45">
        <v>4</v>
      </c>
      <c r="B11" s="86" t="s">
        <v>126</v>
      </c>
      <c r="C11" s="665">
        <v>0</v>
      </c>
      <c r="D11" s="665">
        <v>0</v>
      </c>
      <c r="E11" s="665">
        <v>0</v>
      </c>
      <c r="F11" s="665">
        <v>0</v>
      </c>
      <c r="G11" s="665">
        <v>0</v>
      </c>
      <c r="H11" s="145">
        <f>IFERROR(G11/(C11+E11),0)</f>
        <v>0</v>
      </c>
      <c r="K11" s="619"/>
      <c r="L11" s="619"/>
      <c r="M11" s="619"/>
      <c r="N11" s="619"/>
      <c r="O11" s="619"/>
      <c r="P11" s="619"/>
    </row>
    <row r="12" spans="1:16">
      <c r="A12" s="45">
        <v>5</v>
      </c>
      <c r="B12" s="86" t="s">
        <v>912</v>
      </c>
      <c r="C12" s="665">
        <v>0</v>
      </c>
      <c r="D12" s="665">
        <v>0</v>
      </c>
      <c r="E12" s="665">
        <v>0</v>
      </c>
      <c r="F12" s="665">
        <v>0</v>
      </c>
      <c r="G12" s="665">
        <v>0</v>
      </c>
      <c r="H12" s="145">
        <f>IFERROR(G12/(C12+E12),0)</f>
        <v>0</v>
      </c>
      <c r="K12" s="619"/>
      <c r="L12" s="619"/>
      <c r="M12" s="619"/>
      <c r="N12" s="619"/>
      <c r="O12" s="619"/>
      <c r="P12" s="619"/>
    </row>
    <row r="13" spans="1:16">
      <c r="A13" s="45">
        <v>6</v>
      </c>
      <c r="B13" s="86" t="s">
        <v>127</v>
      </c>
      <c r="C13" s="665">
        <v>359343772.51981986</v>
      </c>
      <c r="D13" s="665">
        <v>0</v>
      </c>
      <c r="E13" s="665">
        <v>0</v>
      </c>
      <c r="F13" s="665">
        <v>110714659.95184885</v>
      </c>
      <c r="G13" s="665">
        <v>110714659.95184885</v>
      </c>
      <c r="H13" s="145">
        <f t="shared" ref="H13:H21" si="0">G13/(C13+E13)</f>
        <v>0.30810234771980721</v>
      </c>
      <c r="K13" s="619"/>
      <c r="L13" s="619"/>
      <c r="M13" s="619"/>
      <c r="N13" s="619"/>
      <c r="O13" s="619"/>
      <c r="P13" s="619"/>
    </row>
    <row r="14" spans="1:16">
      <c r="A14" s="45">
        <v>7</v>
      </c>
      <c r="B14" s="86" t="s">
        <v>71</v>
      </c>
      <c r="C14" s="665">
        <v>1130367050.3475945</v>
      </c>
      <c r="D14" s="665">
        <v>216007310.21093071</v>
      </c>
      <c r="E14" s="665">
        <v>119554185.9629547</v>
      </c>
      <c r="F14" s="665">
        <v>1249921236.3105493</v>
      </c>
      <c r="G14" s="665">
        <v>1160431986.5739996</v>
      </c>
      <c r="H14" s="145">
        <f>G14/(C14+E14)</f>
        <v>0.92840408888427306</v>
      </c>
      <c r="K14" s="619"/>
      <c r="L14" s="619"/>
      <c r="M14" s="619"/>
      <c r="N14" s="619"/>
      <c r="O14" s="619"/>
      <c r="P14" s="619"/>
    </row>
    <row r="15" spans="1:16">
      <c r="A15" s="45">
        <v>8</v>
      </c>
      <c r="B15" s="86" t="s">
        <v>72</v>
      </c>
      <c r="C15" s="665">
        <v>0</v>
      </c>
      <c r="D15" s="665">
        <v>0</v>
      </c>
      <c r="E15" s="665">
        <v>0</v>
      </c>
      <c r="F15" s="665">
        <v>0</v>
      </c>
      <c r="G15" s="665">
        <v>0</v>
      </c>
      <c r="H15" s="145">
        <f>IFERROR(G15/(C15+E15),0)</f>
        <v>0</v>
      </c>
      <c r="K15" s="619"/>
      <c r="L15" s="619"/>
      <c r="M15" s="619"/>
      <c r="N15" s="619"/>
      <c r="O15" s="619"/>
      <c r="P15" s="619"/>
    </row>
    <row r="16" spans="1:16">
      <c r="A16" s="45">
        <v>9</v>
      </c>
      <c r="B16" s="86" t="s">
        <v>913</v>
      </c>
      <c r="C16" s="665">
        <v>0</v>
      </c>
      <c r="D16" s="665">
        <v>0</v>
      </c>
      <c r="E16" s="665">
        <v>0</v>
      </c>
      <c r="F16" s="665">
        <v>0</v>
      </c>
      <c r="G16" s="665">
        <v>0</v>
      </c>
      <c r="H16" s="145">
        <f>IFERROR(G16/(C16+E16),0)</f>
        <v>0</v>
      </c>
      <c r="K16" s="619"/>
      <c r="L16" s="619"/>
      <c r="M16" s="619"/>
      <c r="N16" s="619"/>
      <c r="O16" s="619"/>
      <c r="P16" s="619"/>
    </row>
    <row r="17" spans="1:16">
      <c r="A17" s="45">
        <v>10</v>
      </c>
      <c r="B17" s="86" t="s">
        <v>67</v>
      </c>
      <c r="C17" s="665">
        <v>51673507.677791283</v>
      </c>
      <c r="D17" s="665">
        <v>0</v>
      </c>
      <c r="E17" s="665">
        <v>0</v>
      </c>
      <c r="F17" s="665">
        <v>51673507.677791283</v>
      </c>
      <c r="G17" s="665">
        <v>51672501.765432082</v>
      </c>
      <c r="H17" s="145">
        <f t="shared" si="0"/>
        <v>0.99998053330605163</v>
      </c>
      <c r="K17" s="619"/>
      <c r="L17" s="619"/>
      <c r="M17" s="619"/>
      <c r="N17" s="619"/>
      <c r="O17" s="619"/>
      <c r="P17" s="619"/>
    </row>
    <row r="18" spans="1:16">
      <c r="A18" s="45">
        <v>11</v>
      </c>
      <c r="B18" s="86" t="s">
        <v>68</v>
      </c>
      <c r="C18" s="665">
        <v>0</v>
      </c>
      <c r="D18" s="665">
        <v>0</v>
      </c>
      <c r="E18" s="665">
        <v>0</v>
      </c>
      <c r="F18" s="665">
        <v>0</v>
      </c>
      <c r="G18" s="665">
        <v>0</v>
      </c>
      <c r="H18" s="145">
        <f>IFERROR(G18/(C18+E18),0)</f>
        <v>0</v>
      </c>
      <c r="K18" s="619"/>
      <c r="L18" s="619"/>
      <c r="M18" s="619"/>
      <c r="N18" s="619"/>
      <c r="O18" s="619"/>
      <c r="P18" s="619"/>
    </row>
    <row r="19" spans="1:16">
      <c r="A19" s="45">
        <v>12</v>
      </c>
      <c r="B19" s="86" t="s">
        <v>69</v>
      </c>
      <c r="C19" s="665">
        <v>0</v>
      </c>
      <c r="D19" s="665">
        <v>0</v>
      </c>
      <c r="E19" s="665">
        <v>0</v>
      </c>
      <c r="F19" s="665">
        <v>0</v>
      </c>
      <c r="G19" s="665">
        <v>0</v>
      </c>
      <c r="H19" s="145">
        <f>IFERROR(G19/(C19+E19),0)</f>
        <v>0</v>
      </c>
      <c r="K19" s="619"/>
      <c r="L19" s="619"/>
      <c r="M19" s="619"/>
      <c r="N19" s="619"/>
      <c r="O19" s="619"/>
      <c r="P19" s="619"/>
    </row>
    <row r="20" spans="1:16">
      <c r="A20" s="45">
        <v>13</v>
      </c>
      <c r="B20" s="86" t="s">
        <v>70</v>
      </c>
      <c r="C20" s="665">
        <v>0</v>
      </c>
      <c r="D20" s="665">
        <v>0</v>
      </c>
      <c r="E20" s="665">
        <v>0</v>
      </c>
      <c r="F20" s="665">
        <v>0</v>
      </c>
      <c r="G20" s="665">
        <v>0</v>
      </c>
      <c r="H20" s="145">
        <f>IFERROR(G20/(C20+E20),0)</f>
        <v>0</v>
      </c>
      <c r="K20" s="619"/>
      <c r="L20" s="619"/>
      <c r="M20" s="619"/>
      <c r="N20" s="619"/>
      <c r="O20" s="619"/>
      <c r="P20" s="619"/>
    </row>
    <row r="21" spans="1:16">
      <c r="A21" s="45">
        <v>14</v>
      </c>
      <c r="B21" s="86" t="s">
        <v>143</v>
      </c>
      <c r="C21" s="665">
        <v>178054275.32984194</v>
      </c>
      <c r="D21" s="665">
        <v>3781867.4147424623</v>
      </c>
      <c r="E21" s="665">
        <v>1890933.7073712312</v>
      </c>
      <c r="F21" s="665">
        <v>157308347.13042486</v>
      </c>
      <c r="G21" s="665">
        <v>149641998.90455434</v>
      </c>
      <c r="H21" s="145">
        <f t="shared" si="0"/>
        <v>0.83159757186760086</v>
      </c>
      <c r="K21" s="619"/>
      <c r="L21" s="619"/>
      <c r="M21" s="619"/>
      <c r="N21" s="619"/>
      <c r="O21" s="619"/>
      <c r="P21" s="619"/>
    </row>
    <row r="22" spans="1:16" ht="13.5" thickBot="1">
      <c r="A22" s="80"/>
      <c r="B22" s="85" t="s">
        <v>66</v>
      </c>
      <c r="C22" s="667">
        <f>SUM(C8:C21)</f>
        <v>1946824975.9896111</v>
      </c>
      <c r="D22" s="667">
        <f>SUM(D8:D21)</f>
        <v>219789177.62567317</v>
      </c>
      <c r="E22" s="667">
        <f>SUM(E8:E21)</f>
        <v>121445119.67032593</v>
      </c>
      <c r="F22" s="667">
        <f>SUM(F8:F21)</f>
        <v>1763774119.1442943</v>
      </c>
      <c r="G22" s="667">
        <f>SUM(G8:G21)</f>
        <v>1666617515.269515</v>
      </c>
      <c r="H22" s="146">
        <f>G22/(C22+E22)</f>
        <v>0.80580264577955707</v>
      </c>
      <c r="K22" s="619"/>
      <c r="L22" s="619"/>
      <c r="M22" s="619"/>
      <c r="N22" s="619"/>
      <c r="O22" s="619"/>
      <c r="P22" s="619"/>
    </row>
    <row r="23" spans="1:16">
      <c r="K23" s="619"/>
      <c r="L23" s="619"/>
      <c r="M23" s="619"/>
      <c r="N23" s="619"/>
      <c r="O23" s="619"/>
      <c r="P23" s="619"/>
    </row>
    <row r="28" spans="1:16"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W28"/>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104.28515625" style="1" customWidth="1"/>
    <col min="3" max="3" width="12.7109375" style="1" customWidth="1"/>
    <col min="4" max="4" width="15.85546875" style="1" bestFit="1" customWidth="1"/>
    <col min="5" max="5" width="17.42578125" style="1" bestFit="1" customWidth="1"/>
    <col min="6" max="11" width="12.7109375" style="1" customWidth="1"/>
    <col min="12" max="12" width="9.28515625" style="1"/>
    <col min="13" max="13" width="16.42578125" style="1" bestFit="1" customWidth="1"/>
    <col min="14" max="15" width="18" style="1" bestFit="1" customWidth="1"/>
    <col min="16" max="18" width="16.42578125" style="1" bestFit="1" customWidth="1"/>
    <col min="19" max="19" width="15.28515625" style="1" bestFit="1" customWidth="1"/>
    <col min="20" max="21" width="16.42578125" style="1" bestFit="1" customWidth="1"/>
    <col min="22" max="22" width="9.42578125" style="1" bestFit="1" customWidth="1"/>
    <col min="23" max="23" width="16.42578125" style="1" bestFit="1" customWidth="1"/>
    <col min="24" max="16384" width="9.28515625" style="1"/>
  </cols>
  <sheetData>
    <row r="1" spans="1:23">
      <c r="A1" s="1" t="s">
        <v>97</v>
      </c>
      <c r="B1" s="1" t="str">
        <f>Info!C2</f>
        <v>სს "ბანკი ქართუ"</v>
      </c>
    </row>
    <row r="2" spans="1:23">
      <c r="A2" s="1" t="s">
        <v>98</v>
      </c>
      <c r="B2" s="593">
        <f>'1. key ratios'!B2</f>
        <v>46203</v>
      </c>
    </row>
    <row r="4" spans="1:23" ht="13.5" thickBot="1">
      <c r="A4" s="1" t="s">
        <v>340</v>
      </c>
      <c r="B4" s="22" t="s">
        <v>339</v>
      </c>
    </row>
    <row r="5" spans="1:23" ht="30" customHeight="1">
      <c r="A5" s="784"/>
      <c r="B5" s="785"/>
      <c r="C5" s="782" t="s">
        <v>372</v>
      </c>
      <c r="D5" s="782"/>
      <c r="E5" s="782"/>
      <c r="F5" s="782" t="s">
        <v>373</v>
      </c>
      <c r="G5" s="782"/>
      <c r="H5" s="782"/>
      <c r="I5" s="782" t="s">
        <v>374</v>
      </c>
      <c r="J5" s="782"/>
      <c r="K5" s="783"/>
    </row>
    <row r="6" spans="1:23">
      <c r="A6" s="169"/>
      <c r="B6" s="170"/>
      <c r="C6" s="171" t="s">
        <v>26</v>
      </c>
      <c r="D6" s="171" t="s">
        <v>79</v>
      </c>
      <c r="E6" s="171" t="s">
        <v>66</v>
      </c>
      <c r="F6" s="171" t="s">
        <v>26</v>
      </c>
      <c r="G6" s="171" t="s">
        <v>79</v>
      </c>
      <c r="H6" s="171" t="s">
        <v>66</v>
      </c>
      <c r="I6" s="171" t="s">
        <v>26</v>
      </c>
      <c r="J6" s="171" t="s">
        <v>79</v>
      </c>
      <c r="K6" s="173" t="s">
        <v>66</v>
      </c>
    </row>
    <row r="7" spans="1:23">
      <c r="A7" s="174" t="s">
        <v>310</v>
      </c>
      <c r="B7" s="168"/>
      <c r="C7" s="168"/>
      <c r="D7" s="168"/>
      <c r="E7" s="168"/>
      <c r="F7" s="168"/>
      <c r="G7" s="168"/>
      <c r="H7" s="168"/>
      <c r="I7" s="168"/>
      <c r="J7" s="168"/>
      <c r="K7" s="175"/>
    </row>
    <row r="8" spans="1:23">
      <c r="A8" s="167">
        <v>1</v>
      </c>
      <c r="B8" s="152" t="s">
        <v>310</v>
      </c>
      <c r="C8" s="150"/>
      <c r="D8" s="150"/>
      <c r="E8" s="150"/>
      <c r="F8" s="677">
        <v>149540283.21865746</v>
      </c>
      <c r="G8" s="677">
        <v>470011796.47497934</v>
      </c>
      <c r="H8" s="677">
        <v>619552079.69363678</v>
      </c>
      <c r="I8" s="677">
        <v>85175465.533735722</v>
      </c>
      <c r="J8" s="677">
        <v>272861940.65178013</v>
      </c>
      <c r="K8" s="678">
        <v>358037406.18551588</v>
      </c>
      <c r="M8" s="601"/>
      <c r="N8" s="601"/>
      <c r="O8" s="601"/>
      <c r="P8" s="601"/>
      <c r="Q8" s="601"/>
      <c r="R8" s="601"/>
      <c r="S8" s="601"/>
      <c r="T8" s="601"/>
      <c r="U8" s="601"/>
      <c r="V8" s="601"/>
      <c r="W8" s="601"/>
    </row>
    <row r="9" spans="1:23">
      <c r="A9" s="174" t="s">
        <v>311</v>
      </c>
      <c r="B9" s="168"/>
      <c r="C9" s="168"/>
      <c r="D9" s="168"/>
      <c r="E9" s="168"/>
      <c r="F9" s="168"/>
      <c r="G9" s="168"/>
      <c r="H9" s="168"/>
      <c r="I9" s="168"/>
      <c r="J9" s="168"/>
      <c r="K9" s="175"/>
      <c r="M9" s="601"/>
      <c r="N9" s="601"/>
      <c r="O9" s="601"/>
      <c r="P9" s="601"/>
      <c r="Q9" s="601"/>
      <c r="R9" s="601"/>
      <c r="S9" s="601"/>
      <c r="T9" s="601"/>
      <c r="U9" s="601"/>
      <c r="V9" s="601"/>
      <c r="W9" s="601"/>
    </row>
    <row r="10" spans="1:23">
      <c r="A10" s="176">
        <v>2</v>
      </c>
      <c r="B10" s="153" t="s">
        <v>312</v>
      </c>
      <c r="C10" s="271">
        <v>33361585.076593373</v>
      </c>
      <c r="D10" s="679">
        <v>452808404.77297354</v>
      </c>
      <c r="E10" s="679">
        <v>486169989.84956676</v>
      </c>
      <c r="F10" s="679">
        <v>4589768.7600752674</v>
      </c>
      <c r="G10" s="679">
        <v>57974910.444504254</v>
      </c>
      <c r="H10" s="679">
        <v>62564679.20457954</v>
      </c>
      <c r="I10" s="679">
        <v>941580.80992307526</v>
      </c>
      <c r="J10" s="679">
        <v>6770528.9504093966</v>
      </c>
      <c r="K10" s="680">
        <v>7712109.7603324708</v>
      </c>
      <c r="M10" s="601"/>
      <c r="N10" s="601"/>
      <c r="O10" s="601"/>
      <c r="P10" s="601"/>
      <c r="Q10" s="601"/>
      <c r="R10" s="601"/>
      <c r="S10" s="601"/>
      <c r="T10" s="601"/>
      <c r="U10" s="601"/>
      <c r="V10" s="601"/>
      <c r="W10" s="601"/>
    </row>
    <row r="11" spans="1:23">
      <c r="A11" s="176">
        <v>3</v>
      </c>
      <c r="B11" s="153" t="s">
        <v>313</v>
      </c>
      <c r="C11" s="271">
        <v>291535766.13805711</v>
      </c>
      <c r="D11" s="679">
        <v>540515191.18710458</v>
      </c>
      <c r="E11" s="679">
        <v>832050957.32516205</v>
      </c>
      <c r="F11" s="679">
        <v>55652075.671711944</v>
      </c>
      <c r="G11" s="679">
        <v>308060356.92559707</v>
      </c>
      <c r="H11" s="679">
        <v>363712432.59730905</v>
      </c>
      <c r="I11" s="679">
        <v>40422315.355239719</v>
      </c>
      <c r="J11" s="679">
        <v>130813271.80955656</v>
      </c>
      <c r="K11" s="680">
        <v>171235587.16479629</v>
      </c>
      <c r="M11" s="601"/>
      <c r="N11" s="601"/>
      <c r="O11" s="601"/>
      <c r="P11" s="601"/>
      <c r="Q11" s="601"/>
      <c r="R11" s="601"/>
      <c r="S11" s="601"/>
      <c r="T11" s="601"/>
      <c r="U11" s="601"/>
      <c r="V11" s="601"/>
      <c r="W11" s="601"/>
    </row>
    <row r="12" spans="1:23">
      <c r="A12" s="176">
        <v>4</v>
      </c>
      <c r="B12" s="153" t="s">
        <v>314</v>
      </c>
      <c r="C12" s="271">
        <v>0</v>
      </c>
      <c r="D12" s="679">
        <v>0</v>
      </c>
      <c r="E12" s="679">
        <v>0</v>
      </c>
      <c r="F12" s="679">
        <v>0</v>
      </c>
      <c r="G12" s="679">
        <v>0</v>
      </c>
      <c r="H12" s="679">
        <v>0</v>
      </c>
      <c r="I12" s="679">
        <v>0</v>
      </c>
      <c r="J12" s="679">
        <v>0</v>
      </c>
      <c r="K12" s="680">
        <v>0</v>
      </c>
      <c r="M12" s="601"/>
      <c r="N12" s="601"/>
      <c r="O12" s="601"/>
      <c r="P12" s="601"/>
      <c r="Q12" s="601"/>
      <c r="R12" s="601"/>
      <c r="S12" s="601"/>
      <c r="T12" s="601"/>
      <c r="U12" s="601"/>
      <c r="V12" s="601"/>
      <c r="W12" s="601"/>
    </row>
    <row r="13" spans="1:23">
      <c r="A13" s="176">
        <v>5</v>
      </c>
      <c r="B13" s="153" t="s">
        <v>315</v>
      </c>
      <c r="C13" s="271">
        <v>71115315.537472531</v>
      </c>
      <c r="D13" s="679">
        <v>148258558.60290942</v>
      </c>
      <c r="E13" s="679">
        <v>219373874.14038199</v>
      </c>
      <c r="F13" s="679">
        <v>11273917.459756039</v>
      </c>
      <c r="G13" s="679">
        <v>19740595.065045927</v>
      </c>
      <c r="H13" s="679">
        <v>31014512.524801966</v>
      </c>
      <c r="I13" s="679">
        <v>4496120.7994560432</v>
      </c>
      <c r="J13" s="679">
        <v>8543880.8105327748</v>
      </c>
      <c r="K13" s="680">
        <v>13040001.609988818</v>
      </c>
      <c r="M13" s="601"/>
      <c r="N13" s="601"/>
      <c r="O13" s="601"/>
      <c r="P13" s="601"/>
      <c r="Q13" s="601"/>
      <c r="R13" s="601"/>
      <c r="S13" s="601"/>
      <c r="T13" s="601"/>
      <c r="U13" s="601"/>
      <c r="V13" s="601"/>
      <c r="W13" s="601"/>
    </row>
    <row r="14" spans="1:23">
      <c r="A14" s="176">
        <v>6</v>
      </c>
      <c r="B14" s="153" t="s">
        <v>330</v>
      </c>
      <c r="C14" s="271">
        <v>0</v>
      </c>
      <c r="D14" s="679">
        <v>0</v>
      </c>
      <c r="E14" s="679">
        <v>0</v>
      </c>
      <c r="F14" s="679">
        <v>0</v>
      </c>
      <c r="G14" s="679">
        <v>0</v>
      </c>
      <c r="H14" s="679">
        <v>0</v>
      </c>
      <c r="I14" s="679">
        <v>0</v>
      </c>
      <c r="J14" s="679">
        <v>0</v>
      </c>
      <c r="K14" s="680">
        <v>0</v>
      </c>
      <c r="M14" s="601"/>
      <c r="N14" s="601"/>
      <c r="O14" s="601"/>
      <c r="P14" s="601"/>
      <c r="Q14" s="601"/>
      <c r="R14" s="601"/>
      <c r="S14" s="601"/>
      <c r="T14" s="601"/>
      <c r="U14" s="601"/>
      <c r="V14" s="601"/>
      <c r="W14" s="601"/>
    </row>
    <row r="15" spans="1:23">
      <c r="A15" s="176">
        <v>7</v>
      </c>
      <c r="B15" s="153" t="s">
        <v>317</v>
      </c>
      <c r="C15" s="271">
        <v>49685396.540755376</v>
      </c>
      <c r="D15" s="679">
        <v>128919431.48249601</v>
      </c>
      <c r="E15" s="679">
        <v>178604828.02325132</v>
      </c>
      <c r="F15" s="679">
        <v>1922349.585714286</v>
      </c>
      <c r="G15" s="679">
        <v>910378.00336923078</v>
      </c>
      <c r="H15" s="679">
        <v>2832727.589083516</v>
      </c>
      <c r="I15" s="679">
        <v>1922349.585714286</v>
      </c>
      <c r="J15" s="679">
        <v>910378.00336923078</v>
      </c>
      <c r="K15" s="680">
        <v>2832727.589083516</v>
      </c>
      <c r="M15" s="601"/>
      <c r="N15" s="601"/>
      <c r="O15" s="601"/>
      <c r="P15" s="601"/>
      <c r="Q15" s="601"/>
      <c r="R15" s="601"/>
      <c r="S15" s="601"/>
      <c r="T15" s="601"/>
      <c r="U15" s="601"/>
      <c r="V15" s="601"/>
      <c r="W15" s="601"/>
    </row>
    <row r="16" spans="1:23">
      <c r="A16" s="176">
        <v>8</v>
      </c>
      <c r="B16" s="154" t="s">
        <v>318</v>
      </c>
      <c r="C16" s="271">
        <v>445698063.29287845</v>
      </c>
      <c r="D16" s="679">
        <v>1270501586.0454836</v>
      </c>
      <c r="E16" s="679">
        <v>1716199649.3383622</v>
      </c>
      <c r="F16" s="679">
        <v>73438111.47725752</v>
      </c>
      <c r="G16" s="679">
        <v>386686240.4385165</v>
      </c>
      <c r="H16" s="679">
        <v>460124351.91577405</v>
      </c>
      <c r="I16" s="679">
        <v>47782366.550333127</v>
      </c>
      <c r="J16" s="679">
        <v>147038059.57386798</v>
      </c>
      <c r="K16" s="680">
        <v>194820426.12420109</v>
      </c>
      <c r="M16" s="601"/>
      <c r="N16" s="601"/>
      <c r="O16" s="601"/>
      <c r="P16" s="601"/>
      <c r="Q16" s="601"/>
      <c r="R16" s="601"/>
      <c r="S16" s="601"/>
      <c r="T16" s="601"/>
      <c r="U16" s="601"/>
      <c r="V16" s="601"/>
      <c r="W16" s="601"/>
    </row>
    <row r="17" spans="1:23">
      <c r="A17" s="174" t="s">
        <v>319</v>
      </c>
      <c r="B17" s="168"/>
      <c r="C17" s="168"/>
      <c r="D17" s="168"/>
      <c r="E17" s="168"/>
      <c r="F17" s="168"/>
      <c r="G17" s="168"/>
      <c r="H17" s="168"/>
      <c r="I17" s="168"/>
      <c r="J17" s="168"/>
      <c r="K17" s="175"/>
      <c r="M17" s="601"/>
      <c r="N17" s="601"/>
      <c r="O17" s="601"/>
      <c r="P17" s="601"/>
      <c r="Q17" s="601"/>
      <c r="R17" s="601"/>
      <c r="S17" s="601"/>
      <c r="T17" s="601"/>
      <c r="U17" s="601"/>
      <c r="V17" s="601"/>
      <c r="W17" s="601"/>
    </row>
    <row r="18" spans="1:23">
      <c r="A18" s="176">
        <v>9</v>
      </c>
      <c r="B18" s="153" t="s">
        <v>320</v>
      </c>
      <c r="C18" s="271">
        <v>0</v>
      </c>
      <c r="D18" s="679">
        <v>0</v>
      </c>
      <c r="E18" s="679">
        <v>0</v>
      </c>
      <c r="F18" s="679">
        <v>0</v>
      </c>
      <c r="G18" s="679">
        <v>0</v>
      </c>
      <c r="H18" s="679">
        <v>0</v>
      </c>
      <c r="I18" s="679">
        <v>0</v>
      </c>
      <c r="J18" s="679">
        <v>0</v>
      </c>
      <c r="K18" s="680">
        <v>0</v>
      </c>
      <c r="M18" s="601"/>
      <c r="N18" s="601"/>
      <c r="O18" s="601"/>
      <c r="P18" s="601"/>
      <c r="Q18" s="601"/>
      <c r="R18" s="601"/>
      <c r="S18" s="601"/>
      <c r="T18" s="601"/>
      <c r="U18" s="601"/>
      <c r="V18" s="601"/>
      <c r="W18" s="601"/>
    </row>
    <row r="19" spans="1:23">
      <c r="A19" s="176">
        <v>10</v>
      </c>
      <c r="B19" s="153" t="s">
        <v>321</v>
      </c>
      <c r="C19" s="271">
        <v>548996822.53480506</v>
      </c>
      <c r="D19" s="679">
        <v>713100072.8947444</v>
      </c>
      <c r="E19" s="679">
        <v>1262096895.4295495</v>
      </c>
      <c r="F19" s="679">
        <v>19175974.299026646</v>
      </c>
      <c r="G19" s="679">
        <v>14117926.541347841</v>
      </c>
      <c r="H19" s="679">
        <v>33293900.840374485</v>
      </c>
      <c r="I19" s="679">
        <v>83541067.779882446</v>
      </c>
      <c r="J19" s="679">
        <v>228466497.27322653</v>
      </c>
      <c r="K19" s="680">
        <v>312007565.05310887</v>
      </c>
      <c r="M19" s="601"/>
      <c r="N19" s="601"/>
      <c r="O19" s="601"/>
      <c r="P19" s="601"/>
      <c r="Q19" s="601"/>
      <c r="R19" s="601"/>
      <c r="S19" s="601"/>
      <c r="T19" s="601"/>
      <c r="U19" s="601"/>
      <c r="V19" s="601"/>
      <c r="W19" s="601"/>
    </row>
    <row r="20" spans="1:23">
      <c r="A20" s="176">
        <v>11</v>
      </c>
      <c r="B20" s="153" t="s">
        <v>322</v>
      </c>
      <c r="C20" s="271">
        <v>14187579.634562919</v>
      </c>
      <c r="D20" s="679">
        <v>3689.3599087912207</v>
      </c>
      <c r="E20" s="679">
        <v>14191268.994471703</v>
      </c>
      <c r="F20" s="679">
        <v>618218.30377541517</v>
      </c>
      <c r="G20" s="679">
        <v>0</v>
      </c>
      <c r="H20" s="679">
        <v>618218.30377541517</v>
      </c>
      <c r="I20" s="679">
        <v>618218.30377541517</v>
      </c>
      <c r="J20" s="679">
        <v>0</v>
      </c>
      <c r="K20" s="680">
        <v>618218.30377541517</v>
      </c>
      <c r="M20" s="601"/>
      <c r="N20" s="601"/>
      <c r="O20" s="601"/>
      <c r="P20" s="601"/>
      <c r="Q20" s="601"/>
      <c r="R20" s="601"/>
      <c r="S20" s="601"/>
      <c r="T20" s="601"/>
      <c r="U20" s="601"/>
      <c r="V20" s="601"/>
      <c r="W20" s="601"/>
    </row>
    <row r="21" spans="1:23" ht="13.5" thickBot="1">
      <c r="A21" s="120">
        <v>12</v>
      </c>
      <c r="B21" s="177" t="s">
        <v>323</v>
      </c>
      <c r="C21" s="681">
        <v>563184402.16936803</v>
      </c>
      <c r="D21" s="682">
        <v>713103762.25465322</v>
      </c>
      <c r="E21" s="681">
        <v>1276288164.4240212</v>
      </c>
      <c r="F21" s="682">
        <v>19794192.602802061</v>
      </c>
      <c r="G21" s="682">
        <v>14117926.541347841</v>
      </c>
      <c r="H21" s="682">
        <v>33912119.144149899</v>
      </c>
      <c r="I21" s="682">
        <v>84159286.083657861</v>
      </c>
      <c r="J21" s="682">
        <v>228466497.27322653</v>
      </c>
      <c r="K21" s="683">
        <v>312625783.3568843</v>
      </c>
      <c r="M21" s="601"/>
      <c r="N21" s="601"/>
      <c r="O21" s="601"/>
      <c r="P21" s="601"/>
      <c r="Q21" s="601"/>
      <c r="R21" s="601"/>
      <c r="S21" s="601"/>
      <c r="T21" s="601"/>
      <c r="U21" s="601"/>
      <c r="V21" s="601"/>
      <c r="W21" s="601"/>
    </row>
    <row r="22" spans="1:23" ht="38.25" customHeight="1" thickBot="1">
      <c r="A22" s="165"/>
      <c r="B22" s="166"/>
      <c r="C22" s="166"/>
      <c r="D22" s="166"/>
      <c r="E22" s="166"/>
      <c r="F22" s="781" t="s">
        <v>324</v>
      </c>
      <c r="G22" s="782"/>
      <c r="H22" s="782"/>
      <c r="I22" s="781" t="s">
        <v>325</v>
      </c>
      <c r="J22" s="782"/>
      <c r="K22" s="783"/>
      <c r="M22" s="601"/>
      <c r="N22" s="601"/>
      <c r="O22" s="601"/>
      <c r="P22" s="601"/>
      <c r="Q22" s="601"/>
      <c r="R22" s="601"/>
      <c r="S22" s="601"/>
      <c r="T22" s="601"/>
      <c r="U22" s="601"/>
      <c r="V22" s="601"/>
      <c r="W22" s="601"/>
    </row>
    <row r="23" spans="1:23">
      <c r="A23" s="158">
        <v>13</v>
      </c>
      <c r="B23" s="155" t="s">
        <v>310</v>
      </c>
      <c r="C23" s="164"/>
      <c r="D23" s="164"/>
      <c r="E23" s="164"/>
      <c r="F23" s="684">
        <f t="shared" ref="F23:K23" si="0">F8</f>
        <v>149540283.21865746</v>
      </c>
      <c r="G23" s="684">
        <f t="shared" si="0"/>
        <v>470011796.47497934</v>
      </c>
      <c r="H23" s="684">
        <f t="shared" si="0"/>
        <v>619552079.69363678</v>
      </c>
      <c r="I23" s="684">
        <f t="shared" si="0"/>
        <v>85175465.533735722</v>
      </c>
      <c r="J23" s="684">
        <f t="shared" si="0"/>
        <v>272861940.65178013</v>
      </c>
      <c r="K23" s="685">
        <f t="shared" si="0"/>
        <v>358037406.18551588</v>
      </c>
      <c r="M23" s="601"/>
      <c r="N23" s="601"/>
      <c r="O23" s="601"/>
      <c r="P23" s="601"/>
      <c r="Q23" s="601"/>
      <c r="R23" s="601"/>
      <c r="S23" s="601"/>
      <c r="T23" s="601"/>
      <c r="U23" s="601"/>
      <c r="V23" s="601"/>
      <c r="W23" s="601"/>
    </row>
    <row r="24" spans="1:23" ht="13.5" thickBot="1">
      <c r="A24" s="159">
        <v>14</v>
      </c>
      <c r="B24" s="156" t="s">
        <v>326</v>
      </c>
      <c r="C24" s="178"/>
      <c r="D24" s="162"/>
      <c r="E24" s="163"/>
      <c r="F24" s="686">
        <f t="shared" ref="F24:K24" si="1">MAX(F16-F21,F16*0.25)</f>
        <v>53643918.874455459</v>
      </c>
      <c r="G24" s="686">
        <f t="shared" si="1"/>
        <v>372568313.89716864</v>
      </c>
      <c r="H24" s="686">
        <f>MAX(H16-H21,H16*0.25)</f>
        <v>426212232.77162415</v>
      </c>
      <c r="I24" s="686">
        <f t="shared" si="1"/>
        <v>11945591.637583282</v>
      </c>
      <c r="J24" s="686">
        <f t="shared" si="1"/>
        <v>36759514.893466994</v>
      </c>
      <c r="K24" s="687">
        <f t="shared" si="1"/>
        <v>48705106.531050272</v>
      </c>
      <c r="M24" s="601"/>
      <c r="N24" s="601"/>
      <c r="O24" s="601"/>
      <c r="P24" s="601"/>
      <c r="Q24" s="601"/>
      <c r="R24" s="601"/>
      <c r="S24" s="601"/>
      <c r="T24" s="601"/>
      <c r="U24" s="601"/>
      <c r="V24" s="601"/>
      <c r="W24" s="601"/>
    </row>
    <row r="25" spans="1:23" ht="13.5" thickBot="1">
      <c r="A25" s="160">
        <v>15</v>
      </c>
      <c r="B25" s="157" t="s">
        <v>327</v>
      </c>
      <c r="C25" s="161"/>
      <c r="D25" s="161"/>
      <c r="E25" s="161"/>
      <c r="F25" s="688">
        <f t="shared" ref="F25:K25" si="2">F23/F24</f>
        <v>2.787646509730791</v>
      </c>
      <c r="G25" s="688">
        <f t="shared" si="2"/>
        <v>1.261545276243502</v>
      </c>
      <c r="H25" s="688">
        <f t="shared" si="2"/>
        <v>1.4536234111929145</v>
      </c>
      <c r="I25" s="688">
        <f t="shared" si="2"/>
        <v>7.1302843858948126</v>
      </c>
      <c r="J25" s="688">
        <f t="shared" si="2"/>
        <v>7.4228928603264546</v>
      </c>
      <c r="K25" s="689">
        <f t="shared" si="2"/>
        <v>7.35112664125396</v>
      </c>
      <c r="M25" s="601"/>
      <c r="N25" s="601"/>
      <c r="O25" s="601"/>
      <c r="P25" s="601"/>
      <c r="Q25" s="601"/>
      <c r="R25" s="601"/>
      <c r="S25" s="601"/>
      <c r="T25" s="601"/>
      <c r="U25" s="601"/>
      <c r="V25" s="601"/>
      <c r="W25" s="601"/>
    </row>
    <row r="28" spans="1:23" ht="38.25">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showGridLines="0" zoomScale="80" zoomScaleNormal="80" workbookViewId="0">
      <pane xSplit="1" ySplit="1" topLeftCell="B2" activePane="bottomRight" state="frozen"/>
      <selection activeCell="B30" sqref="B30"/>
      <selection pane="topRight" activeCell="B30" sqref="B30"/>
      <selection pane="bottomLeft" activeCell="B30" sqref="B30"/>
      <selection pane="bottomRight" activeCell="B30" sqref="B30"/>
    </sheetView>
  </sheetViews>
  <sheetFormatPr defaultColWidth="9.28515625" defaultRowHeight="15"/>
  <cols>
    <col min="1" max="1" width="10.5703125" style="31" bestFit="1" customWidth="1"/>
    <col min="2" max="2" width="68" style="31" customWidth="1"/>
    <col min="3" max="9" width="15" style="31" customWidth="1"/>
    <col min="10" max="14" width="18.5703125" style="31" customWidth="1"/>
    <col min="15" max="17" width="18.5703125" style="8" customWidth="1"/>
    <col min="18" max="16384" width="9.28515625" style="8"/>
  </cols>
  <sheetData>
    <row r="1" spans="1:17">
      <c r="A1" s="12" t="s">
        <v>97</v>
      </c>
      <c r="B1" s="31" t="str">
        <f>Info!C2</f>
        <v>სს "ბანკი ქართუ"</v>
      </c>
    </row>
    <row r="2" spans="1:17">
      <c r="A2" s="31" t="s">
        <v>98</v>
      </c>
      <c r="B2" s="593">
        <f>'1. key ratios'!B2</f>
        <v>46203</v>
      </c>
    </row>
    <row r="3" spans="1:17">
      <c r="B3" s="8"/>
      <c r="C3" s="8"/>
      <c r="D3" s="8"/>
      <c r="E3" s="8"/>
      <c r="F3" s="8"/>
      <c r="G3" s="8"/>
      <c r="H3" s="8"/>
      <c r="I3" s="8"/>
      <c r="J3" s="8"/>
      <c r="K3" s="8"/>
      <c r="L3" s="8"/>
      <c r="M3" s="8"/>
      <c r="N3" s="8"/>
    </row>
    <row r="4" spans="1:17">
      <c r="B4" s="575" t="s">
        <v>980</v>
      </c>
      <c r="C4" s="8"/>
      <c r="D4" s="8"/>
      <c r="E4" s="8"/>
      <c r="F4" s="8"/>
      <c r="G4" s="8"/>
      <c r="H4" s="8"/>
      <c r="I4" s="8"/>
      <c r="J4" s="8"/>
      <c r="K4" s="8"/>
      <c r="L4" s="8"/>
      <c r="M4" s="8"/>
      <c r="N4" s="8"/>
    </row>
    <row r="5" spans="1:17" ht="120">
      <c r="B5" s="576" t="s">
        <v>981</v>
      </c>
      <c r="C5" s="577" t="s">
        <v>982</v>
      </c>
      <c r="D5" s="577" t="s">
        <v>983</v>
      </c>
      <c r="E5" s="577" t="s">
        <v>984</v>
      </c>
      <c r="F5" s="577" t="s">
        <v>985</v>
      </c>
      <c r="G5" s="577" t="s">
        <v>986</v>
      </c>
      <c r="H5" s="577" t="s">
        <v>987</v>
      </c>
      <c r="I5" s="578" t="s">
        <v>988</v>
      </c>
      <c r="J5" s="579">
        <v>0.02</v>
      </c>
      <c r="K5" s="579">
        <v>0.2</v>
      </c>
      <c r="L5" s="579">
        <v>0.35</v>
      </c>
      <c r="M5" s="579">
        <v>0.5</v>
      </c>
      <c r="N5" s="579">
        <v>0.75</v>
      </c>
      <c r="O5" s="579">
        <v>1</v>
      </c>
      <c r="P5" s="579">
        <v>1.5</v>
      </c>
      <c r="Q5" s="580" t="s">
        <v>73</v>
      </c>
    </row>
    <row r="6" spans="1:17" ht="15.75">
      <c r="B6" s="581"/>
      <c r="C6" s="547">
        <f>IF(C7&gt;0,C7,IF(C8&gt;0,C8,IF(C9&gt;0,C9,0)))</f>
        <v>0</v>
      </c>
      <c r="D6" s="547">
        <f t="shared" ref="D6:I6" si="0">IF(D7&gt;0,D7,IF(D8&gt;0,D8,IF(D9&gt;0,D9,0)))</f>
        <v>0</v>
      </c>
      <c r="E6" s="547">
        <f t="shared" si="0"/>
        <v>0</v>
      </c>
      <c r="F6" s="547">
        <f t="shared" si="0"/>
        <v>0</v>
      </c>
      <c r="G6" s="547">
        <f t="shared" si="0"/>
        <v>0</v>
      </c>
      <c r="H6" s="547"/>
      <c r="I6" s="547">
        <f t="shared" si="0"/>
        <v>0</v>
      </c>
      <c r="J6" s="547">
        <f t="shared" ref="J6" si="1">IF(J7&gt;0,J7,IF(J8&gt;0,J8,IF(J9&gt;0,J9,0)))</f>
        <v>0</v>
      </c>
      <c r="K6" s="547">
        <f t="shared" ref="K6" si="2">IF(K7&gt;0,K7,IF(K8&gt;0,K8,IF(K9&gt;0,K9,0)))</f>
        <v>0</v>
      </c>
      <c r="L6" s="547">
        <f t="shared" ref="L6" si="3">IF(L7&gt;0,L7,IF(L8&gt;0,L8,IF(L9&gt;0,L9,0)))</f>
        <v>0</v>
      </c>
      <c r="M6" s="547">
        <f t="shared" ref="M6" si="4">IF(M7&gt;0,M7,IF(M8&gt;0,M8,IF(M9&gt;0,M9,0)))</f>
        <v>0</v>
      </c>
      <c r="N6" s="547">
        <f t="shared" ref="N6" si="5">IF(N7&gt;0,N7,IF(N8&gt;0,N8,IF(N9&gt;0,N9,0)))</f>
        <v>0</v>
      </c>
      <c r="O6" s="547">
        <f t="shared" ref="O6" si="6">IF(O7&gt;0,O7,IF(O8&gt;0,O8,IF(O9&gt;0,O9,0)))</f>
        <v>0</v>
      </c>
      <c r="P6" s="547">
        <f t="shared" ref="P6" si="7">IF(P7&gt;0,P7,IF(P8&gt;0,P8,IF(P9&gt;0,P9,0)))</f>
        <v>0</v>
      </c>
      <c r="Q6" s="547">
        <f t="shared" ref="Q6" si="8">IF(Q7&gt;0,Q7,IF(Q8&gt;0,Q8,IF(Q9&gt;0,Q9,0)))</f>
        <v>0</v>
      </c>
    </row>
    <row r="7" spans="1:17" ht="15.75">
      <c r="B7" s="582" t="s">
        <v>976</v>
      </c>
      <c r="C7" s="547">
        <f>C11+C15+C19+C23+C27+C31</f>
        <v>0</v>
      </c>
      <c r="D7" s="547">
        <f>D11+D15+D19+D23+D27+D31</f>
        <v>0</v>
      </c>
      <c r="E7" s="547">
        <f t="shared" ref="E7" si="9">E11+E15+E19+E23+E27+E31</f>
        <v>0</v>
      </c>
      <c r="F7" s="547">
        <f t="shared" ref="F7:G9" si="10">F11+F15+F19+F23+F27+F31</f>
        <v>0</v>
      </c>
      <c r="G7" s="547">
        <f t="shared" si="10"/>
        <v>0</v>
      </c>
      <c r="H7" s="583">
        <v>1.4</v>
      </c>
      <c r="I7" s="584">
        <f t="shared" ref="I7:I33" si="11">(F7+G7)*H7</f>
        <v>0</v>
      </c>
      <c r="J7" s="547">
        <f>J11+J15+J19+J23+J27+J31</f>
        <v>0</v>
      </c>
      <c r="K7" s="547">
        <f t="shared" ref="J7:Q9" si="12">K11+K15+K19+K23+K27+K31</f>
        <v>0</v>
      </c>
      <c r="L7" s="547">
        <f t="shared" si="12"/>
        <v>0</v>
      </c>
      <c r="M7" s="547">
        <f t="shared" si="12"/>
        <v>0</v>
      </c>
      <c r="N7" s="547">
        <f t="shared" si="12"/>
        <v>0</v>
      </c>
      <c r="O7" s="547">
        <f t="shared" si="12"/>
        <v>0</v>
      </c>
      <c r="P7" s="547">
        <f t="shared" si="12"/>
        <v>0</v>
      </c>
      <c r="Q7" s="547">
        <f>Q11+Q15+Q19+Q23+Q27+Q31</f>
        <v>0</v>
      </c>
    </row>
    <row r="8" spans="1:17" ht="15.75">
      <c r="B8" s="582" t="s">
        <v>977</v>
      </c>
      <c r="C8" s="547">
        <f>C12+C16+C20+C24+C28+C32</f>
        <v>0</v>
      </c>
      <c r="D8" s="547">
        <f>D12+D16+D20+D24+D28+D32</f>
        <v>0</v>
      </c>
      <c r="E8" s="547">
        <f t="shared" ref="E8" si="13">E12+E16+E20+E24+E28+E32</f>
        <v>0</v>
      </c>
      <c r="F8" s="547">
        <f t="shared" si="10"/>
        <v>0</v>
      </c>
      <c r="G8" s="547">
        <f t="shared" si="10"/>
        <v>0</v>
      </c>
      <c r="H8" s="583">
        <v>1.4</v>
      </c>
      <c r="I8" s="584">
        <f t="shared" si="11"/>
        <v>0</v>
      </c>
      <c r="J8" s="547">
        <f t="shared" si="12"/>
        <v>0</v>
      </c>
      <c r="K8" s="547">
        <f t="shared" si="12"/>
        <v>0</v>
      </c>
      <c r="L8" s="547">
        <f t="shared" si="12"/>
        <v>0</v>
      </c>
      <c r="M8" s="547">
        <f t="shared" si="12"/>
        <v>0</v>
      </c>
      <c r="N8" s="547">
        <f t="shared" si="12"/>
        <v>0</v>
      </c>
      <c r="O8" s="547">
        <f t="shared" si="12"/>
        <v>0</v>
      </c>
      <c r="P8" s="547">
        <f t="shared" si="12"/>
        <v>0</v>
      </c>
      <c r="Q8" s="547">
        <f>Q12+Q16+Q20+Q24+Q28+Q32</f>
        <v>0</v>
      </c>
    </row>
    <row r="9" spans="1:17" ht="15.75">
      <c r="B9" s="582" t="s">
        <v>978</v>
      </c>
      <c r="C9" s="547">
        <f>C13+C17+C21+C25+C29+C33</f>
        <v>0</v>
      </c>
      <c r="D9" s="547">
        <f t="shared" ref="D9:E9" si="14">D13+D17+D21+D25+D29+D33</f>
        <v>0</v>
      </c>
      <c r="E9" s="547">
        <f t="shared" si="14"/>
        <v>0</v>
      </c>
      <c r="F9" s="547">
        <f t="shared" si="10"/>
        <v>0</v>
      </c>
      <c r="G9" s="547">
        <f t="shared" si="10"/>
        <v>0</v>
      </c>
      <c r="H9" s="583">
        <v>1.4</v>
      </c>
      <c r="I9" s="584">
        <f t="shared" si="11"/>
        <v>0</v>
      </c>
      <c r="J9" s="547">
        <f t="shared" si="12"/>
        <v>0</v>
      </c>
      <c r="K9" s="547">
        <f t="shared" si="12"/>
        <v>0</v>
      </c>
      <c r="L9" s="547">
        <f t="shared" si="12"/>
        <v>0</v>
      </c>
      <c r="M9" s="547">
        <f t="shared" si="12"/>
        <v>0</v>
      </c>
      <c r="N9" s="547">
        <f t="shared" si="12"/>
        <v>0</v>
      </c>
      <c r="O9" s="547">
        <f t="shared" si="12"/>
        <v>0</v>
      </c>
      <c r="P9" s="547">
        <f t="shared" si="12"/>
        <v>0</v>
      </c>
      <c r="Q9" s="547">
        <f t="shared" si="12"/>
        <v>0</v>
      </c>
    </row>
    <row r="10" spans="1:17" ht="15.75">
      <c r="B10" s="585" t="s">
        <v>989</v>
      </c>
      <c r="C10" s="586"/>
      <c r="D10" s="586"/>
      <c r="E10" s="586"/>
      <c r="F10" s="586"/>
      <c r="G10" s="586"/>
      <c r="H10" s="583">
        <v>1.4</v>
      </c>
      <c r="I10" s="584">
        <f t="shared" si="11"/>
        <v>0</v>
      </c>
      <c r="J10" s="544"/>
      <c r="K10" s="544"/>
      <c r="L10" s="544"/>
      <c r="M10" s="544"/>
      <c r="N10" s="544"/>
      <c r="O10" s="544"/>
      <c r="P10" s="544"/>
      <c r="Q10" s="547">
        <f>IF(Q11&gt;0,Q11,IF(Q12&gt;0,Q12,IF(Q13&gt;0,Q13,0)))</f>
        <v>0</v>
      </c>
    </row>
    <row r="11" spans="1:17" ht="15.75">
      <c r="B11" s="587" t="s">
        <v>976</v>
      </c>
      <c r="C11" s="586"/>
      <c r="D11" s="586"/>
      <c r="E11" s="586"/>
      <c r="F11" s="586"/>
      <c r="G11" s="586"/>
      <c r="H11" s="583">
        <v>1.4</v>
      </c>
      <c r="I11" s="584">
        <f t="shared" si="11"/>
        <v>0</v>
      </c>
      <c r="J11" s="544"/>
      <c r="K11" s="544"/>
      <c r="L11" s="544"/>
      <c r="M11" s="544"/>
      <c r="N11" s="544"/>
      <c r="O11" s="544"/>
      <c r="P11" s="544"/>
      <c r="Q11" s="547">
        <f>SUMPRODUCT($J$5:$P$5,J11:P11)</f>
        <v>0</v>
      </c>
    </row>
    <row r="12" spans="1:17" ht="15.75">
      <c r="B12" s="587" t="s">
        <v>977</v>
      </c>
      <c r="C12" s="586"/>
      <c r="D12" s="586"/>
      <c r="E12" s="586"/>
      <c r="F12" s="586"/>
      <c r="G12" s="586"/>
      <c r="H12" s="583">
        <v>1.4</v>
      </c>
      <c r="I12" s="584">
        <f t="shared" si="11"/>
        <v>0</v>
      </c>
      <c r="J12" s="544"/>
      <c r="K12" s="544"/>
      <c r="L12" s="544"/>
      <c r="M12" s="544"/>
      <c r="N12" s="544"/>
      <c r="O12" s="544"/>
      <c r="P12" s="544"/>
      <c r="Q12" s="547">
        <f>SUMPRODUCT($J$5:$P$5,J12:P12)</f>
        <v>0</v>
      </c>
    </row>
    <row r="13" spans="1:17" ht="15.75">
      <c r="B13" s="587" t="s">
        <v>978</v>
      </c>
      <c r="C13" s="586"/>
      <c r="D13" s="586"/>
      <c r="E13" s="586"/>
      <c r="F13" s="586"/>
      <c r="G13" s="586"/>
      <c r="H13" s="583">
        <v>1.4</v>
      </c>
      <c r="I13" s="584">
        <f t="shared" si="11"/>
        <v>0</v>
      </c>
      <c r="J13" s="544"/>
      <c r="K13" s="544"/>
      <c r="L13" s="544"/>
      <c r="M13" s="544"/>
      <c r="N13" s="544"/>
      <c r="O13" s="544"/>
      <c r="P13" s="544"/>
      <c r="Q13" s="547">
        <f>SUMPRODUCT($J$5:$P$5,J13:P13)</f>
        <v>0</v>
      </c>
    </row>
    <row r="14" spans="1:17" ht="15.75">
      <c r="B14" s="585" t="s">
        <v>990</v>
      </c>
      <c r="C14" s="586"/>
      <c r="D14" s="586"/>
      <c r="E14" s="586"/>
      <c r="F14" s="586"/>
      <c r="G14" s="586"/>
      <c r="H14" s="583">
        <v>1.4</v>
      </c>
      <c r="I14" s="584">
        <f t="shared" si="11"/>
        <v>0</v>
      </c>
      <c r="J14" s="544"/>
      <c r="K14" s="544"/>
      <c r="L14" s="544"/>
      <c r="M14" s="544"/>
      <c r="N14" s="544"/>
      <c r="O14" s="544"/>
      <c r="P14" s="544"/>
      <c r="Q14" s="547">
        <f>IF(Q15&gt;0,Q15,IF(Q16&gt;0,Q16,IF(Q17&gt;0,Q17,0)))</f>
        <v>0</v>
      </c>
    </row>
    <row r="15" spans="1:17" ht="15.75">
      <c r="B15" s="587" t="s">
        <v>976</v>
      </c>
      <c r="C15" s="586"/>
      <c r="D15" s="586"/>
      <c r="E15" s="586"/>
      <c r="F15" s="586"/>
      <c r="G15" s="586"/>
      <c r="H15" s="583">
        <v>1.4</v>
      </c>
      <c r="I15" s="584">
        <f t="shared" si="11"/>
        <v>0</v>
      </c>
      <c r="J15" s="544"/>
      <c r="K15" s="544"/>
      <c r="L15" s="544"/>
      <c r="M15" s="544"/>
      <c r="N15" s="544"/>
      <c r="O15" s="544"/>
      <c r="P15" s="544"/>
      <c r="Q15" s="547">
        <f>SUMPRODUCT($J$5:$P$5,J15:P15)</f>
        <v>0</v>
      </c>
    </row>
    <row r="16" spans="1:17" ht="15.75">
      <c r="B16" s="587" t="s">
        <v>977</v>
      </c>
      <c r="C16" s="586"/>
      <c r="D16" s="586"/>
      <c r="E16" s="586"/>
      <c r="F16" s="586"/>
      <c r="G16" s="586"/>
      <c r="H16" s="583">
        <v>1.4</v>
      </c>
      <c r="I16" s="584">
        <f t="shared" si="11"/>
        <v>0</v>
      </c>
      <c r="J16" s="544"/>
      <c r="K16" s="544"/>
      <c r="L16" s="544"/>
      <c r="M16" s="544"/>
      <c r="N16" s="544"/>
      <c r="O16" s="544"/>
      <c r="P16" s="544"/>
      <c r="Q16" s="547">
        <f t="shared" ref="Q16:Q17" si="15">SUMPRODUCT($J$5:$P$5,J16:P16)</f>
        <v>0</v>
      </c>
    </row>
    <row r="17" spans="2:17" ht="15.75">
      <c r="B17" s="587" t="s">
        <v>978</v>
      </c>
      <c r="C17" s="586"/>
      <c r="D17" s="586"/>
      <c r="E17" s="586"/>
      <c r="F17" s="586"/>
      <c r="G17" s="586"/>
      <c r="H17" s="583">
        <v>1.4</v>
      </c>
      <c r="I17" s="584">
        <f t="shared" si="11"/>
        <v>0</v>
      </c>
      <c r="J17" s="544"/>
      <c r="K17" s="544"/>
      <c r="L17" s="544"/>
      <c r="M17" s="544"/>
      <c r="N17" s="544"/>
      <c r="O17" s="544"/>
      <c r="P17" s="544"/>
      <c r="Q17" s="547">
        <f t="shared" si="15"/>
        <v>0</v>
      </c>
    </row>
    <row r="18" spans="2:17" ht="15.75">
      <c r="B18" s="585" t="s">
        <v>991</v>
      </c>
      <c r="C18" s="586"/>
      <c r="D18" s="586"/>
      <c r="E18" s="586"/>
      <c r="F18" s="586"/>
      <c r="G18" s="586"/>
      <c r="H18" s="583">
        <v>1.4</v>
      </c>
      <c r="I18" s="584">
        <f t="shared" si="11"/>
        <v>0</v>
      </c>
      <c r="J18" s="544"/>
      <c r="K18" s="544"/>
      <c r="L18" s="544"/>
      <c r="M18" s="544"/>
      <c r="N18" s="544"/>
      <c r="O18" s="544"/>
      <c r="P18" s="544"/>
      <c r="Q18" s="547">
        <f t="shared" ref="Q18" si="16">IF(Q19&gt;0,Q19,IF(Q20&gt;0,Q20,IF(Q21&gt;0,Q21,0)))</f>
        <v>0</v>
      </c>
    </row>
    <row r="19" spans="2:17" ht="15.75">
      <c r="B19" s="587" t="s">
        <v>976</v>
      </c>
      <c r="C19" s="586"/>
      <c r="D19" s="586"/>
      <c r="E19" s="586"/>
      <c r="F19" s="586"/>
      <c r="G19" s="586"/>
      <c r="H19" s="583">
        <v>1.4</v>
      </c>
      <c r="I19" s="584">
        <f t="shared" si="11"/>
        <v>0</v>
      </c>
      <c r="J19" s="544"/>
      <c r="K19" s="544"/>
      <c r="L19" s="544"/>
      <c r="M19" s="544"/>
      <c r="N19" s="544"/>
      <c r="O19" s="544"/>
      <c r="P19" s="544"/>
      <c r="Q19" s="547">
        <f>SUMPRODUCT($J$5:$P$5,J19:P19)</f>
        <v>0</v>
      </c>
    </row>
    <row r="20" spans="2:17" ht="15.75">
      <c r="B20" s="587" t="s">
        <v>977</v>
      </c>
      <c r="C20" s="586"/>
      <c r="D20" s="586"/>
      <c r="E20" s="586"/>
      <c r="F20" s="586"/>
      <c r="G20" s="586"/>
      <c r="H20" s="583">
        <v>1.4</v>
      </c>
      <c r="I20" s="584">
        <f t="shared" si="11"/>
        <v>0</v>
      </c>
      <c r="J20" s="544"/>
      <c r="K20" s="544"/>
      <c r="L20" s="544"/>
      <c r="M20" s="544"/>
      <c r="N20" s="544"/>
      <c r="O20" s="544"/>
      <c r="P20" s="544"/>
      <c r="Q20" s="547">
        <f t="shared" ref="Q20:Q21" si="17">SUMPRODUCT($J$5:$P$5,J20:P20)</f>
        <v>0</v>
      </c>
    </row>
    <row r="21" spans="2:17" ht="15.75">
      <c r="B21" s="587" t="s">
        <v>978</v>
      </c>
      <c r="C21" s="586"/>
      <c r="D21" s="586"/>
      <c r="E21" s="586"/>
      <c r="F21" s="586"/>
      <c r="G21" s="586"/>
      <c r="H21" s="583">
        <v>1.4</v>
      </c>
      <c r="I21" s="584">
        <f t="shared" si="11"/>
        <v>0</v>
      </c>
      <c r="J21" s="544"/>
      <c r="K21" s="544"/>
      <c r="L21" s="544"/>
      <c r="M21" s="544"/>
      <c r="N21" s="544"/>
      <c r="O21" s="544"/>
      <c r="P21" s="544"/>
      <c r="Q21" s="547">
        <f t="shared" si="17"/>
        <v>0</v>
      </c>
    </row>
    <row r="22" spans="2:17" ht="15.75">
      <c r="B22" s="585" t="s">
        <v>992</v>
      </c>
      <c r="C22" s="586"/>
      <c r="D22" s="586"/>
      <c r="E22" s="586"/>
      <c r="F22" s="586"/>
      <c r="G22" s="586"/>
      <c r="H22" s="583">
        <v>1.4</v>
      </c>
      <c r="I22" s="584">
        <f t="shared" si="11"/>
        <v>0</v>
      </c>
      <c r="J22" s="544"/>
      <c r="K22" s="544"/>
      <c r="L22" s="544"/>
      <c r="M22" s="544"/>
      <c r="N22" s="544"/>
      <c r="O22" s="544"/>
      <c r="P22" s="544"/>
      <c r="Q22" s="547">
        <f t="shared" ref="Q22" si="18">IF(Q23&gt;0,Q23,IF(Q24&gt;0,Q24,IF(Q25&gt;0,Q25,0)))</f>
        <v>0</v>
      </c>
    </row>
    <row r="23" spans="2:17" ht="15.75">
      <c r="B23" s="587" t="s">
        <v>976</v>
      </c>
      <c r="C23" s="586"/>
      <c r="D23" s="586"/>
      <c r="E23" s="586"/>
      <c r="F23" s="586"/>
      <c r="G23" s="586"/>
      <c r="H23" s="583">
        <v>1.4</v>
      </c>
      <c r="I23" s="584">
        <f t="shared" si="11"/>
        <v>0</v>
      </c>
      <c r="J23" s="544"/>
      <c r="K23" s="544"/>
      <c r="L23" s="544"/>
      <c r="M23" s="544"/>
      <c r="N23" s="544"/>
      <c r="O23" s="544"/>
      <c r="P23" s="544"/>
      <c r="Q23" s="547">
        <f>SUMPRODUCT($J$5:$P$5,J23:P23)</f>
        <v>0</v>
      </c>
    </row>
    <row r="24" spans="2:17" ht="15.75">
      <c r="B24" s="587" t="s">
        <v>977</v>
      </c>
      <c r="C24" s="586"/>
      <c r="D24" s="586"/>
      <c r="E24" s="586"/>
      <c r="F24" s="586"/>
      <c r="G24" s="586"/>
      <c r="H24" s="583">
        <v>1.4</v>
      </c>
      <c r="I24" s="584">
        <f t="shared" si="11"/>
        <v>0</v>
      </c>
      <c r="J24" s="544"/>
      <c r="K24" s="544"/>
      <c r="L24" s="544"/>
      <c r="M24" s="544"/>
      <c r="N24" s="544"/>
      <c r="O24" s="544"/>
      <c r="P24" s="544"/>
      <c r="Q24" s="547">
        <f t="shared" ref="Q24:Q25" si="19">SUMPRODUCT($J$5:$P$5,J24:P24)</f>
        <v>0</v>
      </c>
    </row>
    <row r="25" spans="2:17" ht="15.75">
      <c r="B25" s="587" t="s">
        <v>978</v>
      </c>
      <c r="C25" s="586"/>
      <c r="D25" s="586"/>
      <c r="E25" s="586"/>
      <c r="F25" s="586"/>
      <c r="G25" s="586"/>
      <c r="H25" s="583">
        <v>1.4</v>
      </c>
      <c r="I25" s="584">
        <f t="shared" si="11"/>
        <v>0</v>
      </c>
      <c r="J25" s="544"/>
      <c r="K25" s="544"/>
      <c r="L25" s="544"/>
      <c r="M25" s="544"/>
      <c r="N25" s="544"/>
      <c r="O25" s="544"/>
      <c r="P25" s="544"/>
      <c r="Q25" s="547">
        <f t="shared" si="19"/>
        <v>0</v>
      </c>
    </row>
    <row r="26" spans="2:17" ht="15.75">
      <c r="B26" s="585" t="s">
        <v>993</v>
      </c>
      <c r="C26" s="586"/>
      <c r="D26" s="586"/>
      <c r="E26" s="586"/>
      <c r="F26" s="586"/>
      <c r="G26" s="586"/>
      <c r="H26" s="583">
        <v>1.4</v>
      </c>
      <c r="I26" s="584">
        <f t="shared" si="11"/>
        <v>0</v>
      </c>
      <c r="J26" s="544"/>
      <c r="K26" s="544"/>
      <c r="L26" s="544"/>
      <c r="M26" s="544"/>
      <c r="N26" s="544"/>
      <c r="O26" s="544"/>
      <c r="P26" s="544"/>
      <c r="Q26" s="547">
        <f t="shared" ref="Q26" si="20">IF(Q27&gt;0,Q27,IF(Q28&gt;0,Q28,IF(Q29&gt;0,Q29,0)))</f>
        <v>0</v>
      </c>
    </row>
    <row r="27" spans="2:17" ht="15.75">
      <c r="B27" s="587" t="s">
        <v>976</v>
      </c>
      <c r="C27" s="586"/>
      <c r="D27" s="586"/>
      <c r="E27" s="586"/>
      <c r="F27" s="586"/>
      <c r="G27" s="586"/>
      <c r="H27" s="583">
        <v>1.4</v>
      </c>
      <c r="I27" s="584">
        <f t="shared" si="11"/>
        <v>0</v>
      </c>
      <c r="J27" s="544"/>
      <c r="K27" s="544"/>
      <c r="L27" s="544"/>
      <c r="M27" s="544"/>
      <c r="N27" s="544"/>
      <c r="O27" s="544"/>
      <c r="P27" s="544"/>
      <c r="Q27" s="547">
        <f>SUMPRODUCT($J$5:$P$5,J27:P27)</f>
        <v>0</v>
      </c>
    </row>
    <row r="28" spans="2:17" ht="15.75">
      <c r="B28" s="587" t="s">
        <v>977</v>
      </c>
      <c r="C28" s="586"/>
      <c r="D28" s="586"/>
      <c r="E28" s="586"/>
      <c r="F28" s="586"/>
      <c r="G28" s="586"/>
      <c r="H28" s="583">
        <v>1.4</v>
      </c>
      <c r="I28" s="584">
        <f t="shared" si="11"/>
        <v>0</v>
      </c>
      <c r="J28" s="544"/>
      <c r="K28" s="544"/>
      <c r="L28" s="544"/>
      <c r="M28" s="544"/>
      <c r="N28" s="544"/>
      <c r="O28" s="544"/>
      <c r="P28" s="544"/>
      <c r="Q28" s="547">
        <f t="shared" ref="Q28:Q29" si="21">SUMPRODUCT($J$5:$P$5,J28:P28)</f>
        <v>0</v>
      </c>
    </row>
    <row r="29" spans="2:17" ht="15.75">
      <c r="B29" s="587" t="s">
        <v>978</v>
      </c>
      <c r="C29" s="586"/>
      <c r="D29" s="586"/>
      <c r="E29" s="586"/>
      <c r="F29" s="586"/>
      <c r="G29" s="586"/>
      <c r="H29" s="583">
        <v>1.4</v>
      </c>
      <c r="I29" s="584">
        <f t="shared" si="11"/>
        <v>0</v>
      </c>
      <c r="J29" s="544"/>
      <c r="K29" s="544"/>
      <c r="L29" s="544"/>
      <c r="M29" s="544"/>
      <c r="N29" s="544"/>
      <c r="O29" s="544"/>
      <c r="P29" s="544"/>
      <c r="Q29" s="547">
        <f t="shared" si="21"/>
        <v>0</v>
      </c>
    </row>
    <row r="30" spans="2:17" ht="15.75">
      <c r="B30" s="588" t="s">
        <v>994</v>
      </c>
      <c r="C30" s="586"/>
      <c r="D30" s="586"/>
      <c r="E30" s="586"/>
      <c r="F30" s="586"/>
      <c r="G30" s="586"/>
      <c r="H30" s="583">
        <v>1.4</v>
      </c>
      <c r="I30" s="584">
        <f t="shared" si="11"/>
        <v>0</v>
      </c>
      <c r="J30" s="544"/>
      <c r="K30" s="544"/>
      <c r="L30" s="544"/>
      <c r="M30" s="544"/>
      <c r="N30" s="544"/>
      <c r="O30" s="544"/>
      <c r="P30" s="544"/>
      <c r="Q30" s="547">
        <f t="shared" ref="Q30" si="22">IF(Q31&gt;0,Q31,IF(Q32&gt;0,Q32,IF(Q33&gt;0,Q33,0)))</f>
        <v>0</v>
      </c>
    </row>
    <row r="31" spans="2:17" ht="15.75">
      <c r="B31" s="587" t="s">
        <v>976</v>
      </c>
      <c r="C31" s="586"/>
      <c r="D31" s="586"/>
      <c r="E31" s="586"/>
      <c r="F31" s="586"/>
      <c r="G31" s="586"/>
      <c r="H31" s="583">
        <v>1.4</v>
      </c>
      <c r="I31" s="584">
        <f t="shared" si="11"/>
        <v>0</v>
      </c>
      <c r="J31" s="544"/>
      <c r="K31" s="544"/>
      <c r="L31" s="544"/>
      <c r="M31" s="544"/>
      <c r="N31" s="544"/>
      <c r="O31" s="544"/>
      <c r="P31" s="544"/>
      <c r="Q31" s="547">
        <f>SUMPRODUCT($J$5:$P$5,J31:P31)</f>
        <v>0</v>
      </c>
    </row>
    <row r="32" spans="2:17" ht="15.75">
      <c r="B32" s="587" t="s">
        <v>977</v>
      </c>
      <c r="C32" s="586"/>
      <c r="D32" s="586"/>
      <c r="E32" s="586"/>
      <c r="F32" s="586"/>
      <c r="G32" s="586"/>
      <c r="H32" s="583">
        <v>1.4</v>
      </c>
      <c r="I32" s="584">
        <f t="shared" si="11"/>
        <v>0</v>
      </c>
      <c r="J32" s="544"/>
      <c r="K32" s="544"/>
      <c r="L32" s="544"/>
      <c r="M32" s="544"/>
      <c r="N32" s="544"/>
      <c r="O32" s="544"/>
      <c r="P32" s="544"/>
      <c r="Q32" s="547">
        <f t="shared" ref="Q32:Q33" si="23">SUMPRODUCT($J$5:$P$5,J32:P32)</f>
        <v>0</v>
      </c>
    </row>
    <row r="33" spans="2:17" ht="15.75">
      <c r="B33" s="587" t="s">
        <v>978</v>
      </c>
      <c r="C33" s="586"/>
      <c r="D33" s="586"/>
      <c r="E33" s="586"/>
      <c r="F33" s="586"/>
      <c r="G33" s="586"/>
      <c r="H33" s="583">
        <v>1.4</v>
      </c>
      <c r="I33" s="584">
        <f t="shared" si="11"/>
        <v>0</v>
      </c>
      <c r="J33" s="544"/>
      <c r="K33" s="544"/>
      <c r="L33" s="544"/>
      <c r="M33" s="544"/>
      <c r="N33" s="544"/>
      <c r="O33" s="544"/>
      <c r="P33" s="544"/>
      <c r="Q33" s="547">
        <f t="shared" si="23"/>
        <v>0</v>
      </c>
    </row>
    <row r="34" spans="2:17" ht="15.75">
      <c r="B34" s="589" t="s">
        <v>66</v>
      </c>
      <c r="C34" s="590">
        <f>C6</f>
        <v>0</v>
      </c>
      <c r="D34" s="590">
        <f t="shared" ref="D34:G34" si="24">D6</f>
        <v>0</v>
      </c>
      <c r="E34" s="590">
        <f t="shared" si="24"/>
        <v>0</v>
      </c>
      <c r="F34" s="590">
        <f t="shared" si="24"/>
        <v>0</v>
      </c>
      <c r="G34" s="590">
        <f t="shared" si="24"/>
        <v>0</v>
      </c>
      <c r="H34" s="583">
        <v>1.4</v>
      </c>
      <c r="I34" s="584">
        <f>(F34+G34)*H34</f>
        <v>0</v>
      </c>
      <c r="J34" s="590">
        <f t="shared" ref="J34:Q34" si="25">J6</f>
        <v>0</v>
      </c>
      <c r="K34" s="590">
        <f t="shared" si="25"/>
        <v>0</v>
      </c>
      <c r="L34" s="590">
        <f t="shared" si="25"/>
        <v>0</v>
      </c>
      <c r="M34" s="590">
        <f t="shared" si="25"/>
        <v>0</v>
      </c>
      <c r="N34" s="590">
        <f t="shared" si="25"/>
        <v>0</v>
      </c>
      <c r="O34" s="590">
        <f t="shared" si="25"/>
        <v>0</v>
      </c>
      <c r="P34" s="590">
        <f t="shared" si="25"/>
        <v>0</v>
      </c>
      <c r="Q34" s="590">
        <f t="shared" si="25"/>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O53"/>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5.75"/>
  <cols>
    <col min="1" max="1" width="9.5703125" style="14" bestFit="1" customWidth="1"/>
    <col min="2" max="2" width="88.28515625" style="12" customWidth="1"/>
    <col min="3" max="3" width="13.85546875" style="12" bestFit="1" customWidth="1"/>
    <col min="4" max="7" width="13.85546875" style="1" bestFit="1" customWidth="1"/>
    <col min="8" max="8" width="6.7109375" customWidth="1"/>
    <col min="9" max="9" width="6.7109375" style="602" customWidth="1"/>
    <col min="10" max="10" width="9.140625" style="602"/>
    <col min="11" max="11" width="11.28515625" style="602" bestFit="1" customWidth="1"/>
    <col min="12" max="13" width="9.140625" style="602"/>
  </cols>
  <sheetData>
    <row r="1" spans="1:15">
      <c r="A1" s="13" t="s">
        <v>97</v>
      </c>
      <c r="B1" s="221" t="str">
        <f>Info!C2</f>
        <v>სს "ბანკი ქართუ"</v>
      </c>
    </row>
    <row r="2" spans="1:15">
      <c r="A2" s="13" t="s">
        <v>98</v>
      </c>
      <c r="B2" s="593">
        <v>46203</v>
      </c>
    </row>
    <row r="3" spans="1:15" ht="16.5" thickBot="1">
      <c r="A3" s="13"/>
    </row>
    <row r="4" spans="1:15" ht="15" customHeight="1" thickBot="1">
      <c r="A4" s="32" t="s">
        <v>241</v>
      </c>
      <c r="B4" s="113" t="s">
        <v>128</v>
      </c>
      <c r="C4" s="114"/>
      <c r="D4" s="725" t="s">
        <v>904</v>
      </c>
      <c r="E4" s="726"/>
      <c r="F4" s="726"/>
      <c r="G4" s="727"/>
    </row>
    <row r="5" spans="1:15" ht="15">
      <c r="A5" s="148" t="s">
        <v>25</v>
      </c>
      <c r="B5" s="149"/>
      <c r="C5" s="236" t="str">
        <f>INT((MONTH($B$2))/3)&amp;"Q"&amp;"-"&amp;YEAR($B$2)</f>
        <v>2Q-2026</v>
      </c>
      <c r="D5" s="236" t="str">
        <f>IF(INT(MONTH($B$2))=3, "4"&amp;"Q"&amp;"-"&amp;YEAR($B$2)-1, IF(INT(MONTH($B$2))=6, "1"&amp;"Q"&amp;"-"&amp;YEAR($B$2), IF(INT(MONTH($B$2))=9, "2"&amp;"Q"&amp;"-"&amp;YEAR($B$2),IF(INT(MONTH($B$2))=12, "3"&amp;"Q"&amp;"-"&amp;YEAR($B$2), 0))))</f>
        <v>1Q-2026</v>
      </c>
      <c r="E5" s="236" t="str">
        <f>IF(INT(MONTH($B$2))=3, "3"&amp;"Q"&amp;"-"&amp;YEAR($B$2)-1, IF(INT(MONTH($B$2))=6, "4"&amp;"Q"&amp;"-"&amp;YEAR($B$2)-1, IF(INT(MONTH($B$2))=9, "1"&amp;"Q"&amp;"-"&amp;YEAR($B$2),IF(INT(MONTH($B$2))=12, "2"&amp;"Q"&amp;"-"&amp;YEAR($B$2), 0))))</f>
        <v>4Q-2025</v>
      </c>
      <c r="F5" s="236" t="str">
        <f>IF(INT(MONTH($B$2))=3, "2"&amp;"Q"&amp;"-"&amp;YEAR($B$2)-1, IF(INT(MONTH($B$2))=6, "3"&amp;"Q"&amp;"-"&amp;YEAR($B$2)-1, IF(INT(MONTH($B$2))=9, "4"&amp;"Q"&amp;"-"&amp;YEAR($B$2)-1,IF(INT(MONTH($B$2))=12, "1"&amp;"Q"&amp;"-"&amp;YEAR($B$2), 0))))</f>
        <v>3Q-2025</v>
      </c>
      <c r="G5" s="237" t="str">
        <f>IF(INT(MONTH($B$2))=3, "1"&amp;"Q"&amp;"-"&amp;YEAR($B$2)-1, IF(INT(MONTH($B$2))=6, "2"&amp;"Q"&amp;"-"&amp;YEAR($B$2)-1, IF(INT(MONTH($B$2))=9, "3"&amp;"Q"&amp;"-"&amp;YEAR($B$2)-1,IF(INT(MONTH($B$2))=12, "4"&amp;"Q"&amp;"-"&amp;YEAR($B$2)-1, 0))))</f>
        <v>2Q-2025</v>
      </c>
    </row>
    <row r="6" spans="1:15" ht="15">
      <c r="A6" s="238"/>
      <c r="B6" s="239" t="s">
        <v>95</v>
      </c>
      <c r="C6" s="150"/>
      <c r="D6" s="150"/>
      <c r="E6" s="150"/>
      <c r="F6" s="150"/>
      <c r="G6" s="151"/>
    </row>
    <row r="7" spans="1:15" ht="15">
      <c r="A7" s="238"/>
      <c r="B7" s="240" t="s">
        <v>99</v>
      </c>
      <c r="C7" s="150"/>
      <c r="D7" s="150"/>
      <c r="E7" s="150"/>
      <c r="F7" s="150"/>
      <c r="G7" s="151"/>
    </row>
    <row r="8" spans="1:15" ht="15">
      <c r="A8" s="225">
        <v>1</v>
      </c>
      <c r="B8" s="226" t="s">
        <v>22</v>
      </c>
      <c r="C8" s="241">
        <v>461692202.06425917</v>
      </c>
      <c r="D8" s="242">
        <v>451476102.70398408</v>
      </c>
      <c r="E8" s="242">
        <v>444638263.92582595</v>
      </c>
      <c r="F8" s="242">
        <v>442303812.08834088</v>
      </c>
      <c r="G8" s="243">
        <v>430008701.35207307</v>
      </c>
      <c r="N8" s="602"/>
      <c r="O8" s="602"/>
    </row>
    <row r="9" spans="1:15" ht="15">
      <c r="A9" s="225">
        <v>2</v>
      </c>
      <c r="B9" s="226" t="s">
        <v>75</v>
      </c>
      <c r="C9" s="241">
        <v>533115302.06425917</v>
      </c>
      <c r="D9" s="242">
        <v>524370702.70398408</v>
      </c>
      <c r="E9" s="242">
        <v>517405963.92582595</v>
      </c>
      <c r="F9" s="242">
        <v>515441412.08834088</v>
      </c>
      <c r="G9" s="243">
        <v>503545901.35207307</v>
      </c>
      <c r="N9" s="602"/>
      <c r="O9" s="602"/>
    </row>
    <row r="10" spans="1:15" ht="15">
      <c r="A10" s="225">
        <v>3</v>
      </c>
      <c r="B10" s="226" t="s">
        <v>74</v>
      </c>
      <c r="C10" s="241">
        <v>539464022.06425917</v>
      </c>
      <c r="D10" s="242">
        <v>533550022.70398408</v>
      </c>
      <c r="E10" s="242">
        <v>526569303.92582595</v>
      </c>
      <c r="F10" s="242">
        <v>528443652.08834088</v>
      </c>
      <c r="G10" s="243">
        <v>516619181.35207307</v>
      </c>
      <c r="N10" s="602"/>
      <c r="O10" s="602"/>
    </row>
    <row r="11" spans="1:15" ht="15">
      <c r="A11" s="225">
        <v>4</v>
      </c>
      <c r="B11" s="226" t="s">
        <v>414</v>
      </c>
      <c r="C11" s="241">
        <v>318508111.04695743</v>
      </c>
      <c r="D11" s="242">
        <v>318142617.70548987</v>
      </c>
      <c r="E11" s="242">
        <v>314429686.76610839</v>
      </c>
      <c r="F11" s="242">
        <v>296521731.03021282</v>
      </c>
      <c r="G11" s="243">
        <v>294108144.80107147</v>
      </c>
      <c r="N11" s="602"/>
      <c r="O11" s="602"/>
    </row>
    <row r="12" spans="1:15" ht="15">
      <c r="A12" s="225">
        <v>5</v>
      </c>
      <c r="B12" s="226" t="s">
        <v>415</v>
      </c>
      <c r="C12" s="241">
        <v>379859035.41760862</v>
      </c>
      <c r="D12" s="242">
        <v>379752410.61766332</v>
      </c>
      <c r="E12" s="242">
        <v>377488316.09976095</v>
      </c>
      <c r="F12" s="242">
        <v>355771373.10204285</v>
      </c>
      <c r="G12" s="243">
        <v>352855543.57418174</v>
      </c>
      <c r="N12" s="602"/>
      <c r="O12" s="602"/>
    </row>
    <row r="13" spans="1:15" ht="15">
      <c r="A13" s="225">
        <v>6</v>
      </c>
      <c r="B13" s="226" t="s">
        <v>416</v>
      </c>
      <c r="C13" s="241">
        <v>461073617.65479982</v>
      </c>
      <c r="D13" s="242">
        <v>461305610.14411968</v>
      </c>
      <c r="E13" s="242">
        <v>460958871.74103796</v>
      </c>
      <c r="F13" s="242">
        <v>434193418.10497457</v>
      </c>
      <c r="G13" s="243">
        <v>430605918.08023345</v>
      </c>
      <c r="N13" s="602"/>
      <c r="O13" s="602"/>
    </row>
    <row r="14" spans="1:15" ht="15">
      <c r="A14" s="238"/>
      <c r="B14" s="239" t="s">
        <v>418</v>
      </c>
      <c r="C14" s="150"/>
      <c r="D14" s="150"/>
      <c r="E14" s="150"/>
      <c r="F14" s="150"/>
      <c r="G14" s="151"/>
      <c r="N14" s="602"/>
      <c r="O14" s="602"/>
    </row>
    <row r="15" spans="1:15" ht="22.15" customHeight="1">
      <c r="A15" s="225">
        <v>7</v>
      </c>
      <c r="B15" s="226" t="s">
        <v>417</v>
      </c>
      <c r="C15" s="244">
        <v>1860790648.0707402</v>
      </c>
      <c r="D15" s="242">
        <v>1853193639.6668506</v>
      </c>
      <c r="E15" s="242">
        <v>1894964768.5900092</v>
      </c>
      <c r="F15" s="242">
        <v>1755560651.9902401</v>
      </c>
      <c r="G15" s="243">
        <v>1714429257.445097</v>
      </c>
      <c r="N15" s="602"/>
      <c r="O15" s="602"/>
    </row>
    <row r="16" spans="1:15" ht="15">
      <c r="A16" s="238"/>
      <c r="B16" s="239" t="s">
        <v>421</v>
      </c>
      <c r="C16" s="150"/>
      <c r="D16" s="150"/>
      <c r="E16" s="150"/>
      <c r="F16" s="150"/>
      <c r="G16" s="151"/>
      <c r="N16" s="602"/>
      <c r="O16" s="602"/>
    </row>
    <row r="17" spans="1:15" ht="15">
      <c r="A17" s="225"/>
      <c r="B17" s="240" t="s">
        <v>967</v>
      </c>
      <c r="C17" s="150"/>
      <c r="D17" s="150"/>
      <c r="E17" s="150"/>
      <c r="F17" s="150"/>
      <c r="G17" s="151"/>
      <c r="N17" s="602"/>
      <c r="O17" s="602"/>
    </row>
    <row r="18" spans="1:15" ht="15">
      <c r="A18" s="225">
        <v>8</v>
      </c>
      <c r="B18" s="226" t="s">
        <v>412</v>
      </c>
      <c r="C18" s="253">
        <v>0.24811614489944889</v>
      </c>
      <c r="D18" s="254">
        <v>0.24362057641485654</v>
      </c>
      <c r="E18" s="254">
        <v>0.23464196870354956</v>
      </c>
      <c r="F18" s="254">
        <v>0.25194447801442282</v>
      </c>
      <c r="G18" s="255">
        <v>0.25081740730025059</v>
      </c>
      <c r="N18" s="602"/>
      <c r="O18" s="602"/>
    </row>
    <row r="19" spans="1:15" ht="15" customHeight="1">
      <c r="A19" s="225">
        <v>9</v>
      </c>
      <c r="B19" s="226" t="s">
        <v>411</v>
      </c>
      <c r="C19" s="253">
        <v>0.28649934511278358</v>
      </c>
      <c r="D19" s="254">
        <v>0.28295515993582326</v>
      </c>
      <c r="E19" s="254">
        <v>0.2730425243266203</v>
      </c>
      <c r="F19" s="254">
        <v>0.29360501530038075</v>
      </c>
      <c r="G19" s="255">
        <v>0.2937105157097441</v>
      </c>
      <c r="N19" s="602"/>
      <c r="O19" s="602"/>
    </row>
    <row r="20" spans="1:15" ht="15">
      <c r="A20" s="225">
        <v>10</v>
      </c>
      <c r="B20" s="226" t="s">
        <v>413</v>
      </c>
      <c r="C20" s="253">
        <v>0.28991118513174663</v>
      </c>
      <c r="D20" s="254">
        <v>0.28790840378661164</v>
      </c>
      <c r="E20" s="254">
        <v>0.27787814984952547</v>
      </c>
      <c r="F20" s="254">
        <v>0.30101133304010663</v>
      </c>
      <c r="G20" s="255">
        <v>0.30133595720476519</v>
      </c>
      <c r="N20" s="602"/>
      <c r="O20" s="602"/>
    </row>
    <row r="21" spans="1:15" ht="15">
      <c r="A21" s="225">
        <v>11</v>
      </c>
      <c r="B21" s="226" t="s">
        <v>414</v>
      </c>
      <c r="C21" s="253">
        <v>0.17116815982345207</v>
      </c>
      <c r="D21" s="254">
        <v>0.17167262551294019</v>
      </c>
      <c r="E21" s="254">
        <v>0.16592904099217992</v>
      </c>
      <c r="F21" s="254">
        <v>0.16890429316358435</v>
      </c>
      <c r="G21" s="255">
        <v>0.17154872009088423</v>
      </c>
      <c r="N21" s="602"/>
      <c r="O21" s="602"/>
    </row>
    <row r="22" spans="1:15" ht="15">
      <c r="A22" s="225">
        <v>12</v>
      </c>
      <c r="B22" s="226" t="s">
        <v>415</v>
      </c>
      <c r="C22" s="253">
        <v>0.20413851273997149</v>
      </c>
      <c r="D22" s="254">
        <v>0.20491782536331798</v>
      </c>
      <c r="E22" s="254">
        <v>0.19920598121760308</v>
      </c>
      <c r="F22" s="254">
        <v>0.20265399130398187</v>
      </c>
      <c r="G22" s="255">
        <v>0.20581516679202005</v>
      </c>
      <c r="N22" s="602"/>
      <c r="O22" s="602"/>
    </row>
    <row r="23" spans="1:15" ht="15">
      <c r="A23" s="225">
        <v>13</v>
      </c>
      <c r="B23" s="226" t="s">
        <v>416</v>
      </c>
      <c r="C23" s="253">
        <v>0.24778371394591808</v>
      </c>
      <c r="D23" s="254">
        <v>0.24892466727170981</v>
      </c>
      <c r="E23" s="254">
        <v>0.24325458677737039</v>
      </c>
      <c r="F23" s="254">
        <v>0.24732464675187332</v>
      </c>
      <c r="G23" s="255">
        <v>0.25116575455667245</v>
      </c>
      <c r="N23" s="602"/>
      <c r="O23" s="602"/>
    </row>
    <row r="24" spans="1:15" ht="15">
      <c r="A24" s="238"/>
      <c r="B24" s="239" t="s">
        <v>952</v>
      </c>
      <c r="C24" s="150"/>
      <c r="D24" s="150"/>
      <c r="E24" s="150"/>
      <c r="F24" s="150"/>
      <c r="G24" s="151"/>
    </row>
    <row r="25" spans="1:15" ht="25.5">
      <c r="A25" s="225">
        <v>14</v>
      </c>
      <c r="B25" s="226" t="s">
        <v>953</v>
      </c>
      <c r="C25" s="253"/>
      <c r="D25" s="254"/>
      <c r="E25" s="254"/>
      <c r="F25" s="254"/>
      <c r="G25" s="255"/>
    </row>
    <row r="26" spans="1:15" ht="15">
      <c r="A26" s="238"/>
      <c r="B26" s="239" t="s">
        <v>6</v>
      </c>
      <c r="C26" s="150"/>
      <c r="D26" s="150"/>
      <c r="E26" s="150"/>
      <c r="F26" s="150"/>
      <c r="G26" s="151"/>
    </row>
    <row r="27" spans="1:15" ht="15" customHeight="1">
      <c r="A27" s="245">
        <v>15</v>
      </c>
      <c r="B27" s="246" t="s">
        <v>7</v>
      </c>
      <c r="C27" s="594">
        <v>6.857185613009642E-2</v>
      </c>
      <c r="D27" s="594">
        <v>6.7374922343453589E-2</v>
      </c>
      <c r="E27" s="594">
        <v>6.5783910108447669E-2</v>
      </c>
      <c r="F27" s="594">
        <v>6.3658334750143361E-2</v>
      </c>
      <c r="G27" s="594">
        <v>6.2472314249129093E-2</v>
      </c>
      <c r="N27" s="602"/>
      <c r="O27" s="602"/>
    </row>
    <row r="28" spans="1:15" ht="15">
      <c r="A28" s="245">
        <v>16</v>
      </c>
      <c r="B28" s="246" t="s">
        <v>8</v>
      </c>
      <c r="C28" s="594">
        <v>2.695598293843721E-2</v>
      </c>
      <c r="D28" s="594">
        <v>2.6552988842918342E-2</v>
      </c>
      <c r="E28" s="594">
        <v>2.1461529095552476E-2</v>
      </c>
      <c r="F28" s="594">
        <v>2.0904559640448215E-2</v>
      </c>
      <c r="G28" s="594">
        <v>2.1222003249915061E-2</v>
      </c>
      <c r="N28" s="602"/>
      <c r="O28" s="602"/>
    </row>
    <row r="29" spans="1:15" ht="15">
      <c r="A29" s="245">
        <v>17</v>
      </c>
      <c r="B29" s="246" t="s">
        <v>9</v>
      </c>
      <c r="C29" s="594">
        <v>2.38013423025875E-2</v>
      </c>
      <c r="D29" s="594">
        <v>2.2238682869170405E-2</v>
      </c>
      <c r="E29" s="594">
        <v>2.2050804440948691E-2</v>
      </c>
      <c r="F29" s="594">
        <v>2.54403016106215E-2</v>
      </c>
      <c r="G29" s="594">
        <v>2.2490409638170318E-2</v>
      </c>
      <c r="N29" s="602"/>
      <c r="O29" s="602"/>
    </row>
    <row r="30" spans="1:15" ht="15">
      <c r="A30" s="245">
        <v>18</v>
      </c>
      <c r="B30" s="246" t="s">
        <v>129</v>
      </c>
      <c r="C30" s="594">
        <v>4.1615873191659214E-2</v>
      </c>
      <c r="D30" s="594">
        <v>4.082193350053525E-2</v>
      </c>
      <c r="E30" s="594">
        <v>4.43223810128952E-2</v>
      </c>
      <c r="F30" s="594">
        <v>4.2753775109695157E-2</v>
      </c>
      <c r="G30" s="594">
        <v>4.1250310999214029E-2</v>
      </c>
      <c r="N30" s="602"/>
      <c r="O30" s="602"/>
    </row>
    <row r="31" spans="1:15" ht="15">
      <c r="A31" s="245">
        <v>19</v>
      </c>
      <c r="B31" s="246" t="s">
        <v>10</v>
      </c>
      <c r="C31" s="594">
        <v>1.6753317848027454E-2</v>
      </c>
      <c r="D31" s="594">
        <v>1.287109564535421E-2</v>
      </c>
      <c r="E31" s="594">
        <v>2.0194285291525896E-2</v>
      </c>
      <c r="F31" s="594">
        <v>2.287515472600702E-2</v>
      </c>
      <c r="G31" s="594">
        <v>2.0863464450984942E-2</v>
      </c>
      <c r="N31" s="602"/>
      <c r="O31" s="602"/>
    </row>
    <row r="32" spans="1:15" ht="15">
      <c r="A32" s="245">
        <v>20</v>
      </c>
      <c r="B32" s="246" t="s">
        <v>11</v>
      </c>
      <c r="C32" s="594">
        <v>6.6481065386742075E-2</v>
      </c>
      <c r="D32" s="594">
        <v>5.1633472109460031E-2</v>
      </c>
      <c r="E32" s="594">
        <v>8.098129411425721E-2</v>
      </c>
      <c r="F32" s="594">
        <v>9.2237129158888848E-2</v>
      </c>
      <c r="G32" s="594">
        <v>8.5487369841435554E-2</v>
      </c>
      <c r="N32" s="602"/>
      <c r="O32" s="602"/>
    </row>
    <row r="33" spans="1:15" ht="15">
      <c r="A33" s="238"/>
      <c r="B33" s="239" t="s">
        <v>12</v>
      </c>
      <c r="C33" s="150"/>
      <c r="D33" s="150"/>
      <c r="E33" s="150"/>
      <c r="F33" s="150"/>
      <c r="G33" s="151"/>
      <c r="N33" s="602"/>
      <c r="O33" s="602"/>
    </row>
    <row r="34" spans="1:15" ht="15">
      <c r="A34" s="245">
        <v>21</v>
      </c>
      <c r="B34" s="246" t="s">
        <v>13</v>
      </c>
      <c r="C34" s="594">
        <v>7.19539084116428E-2</v>
      </c>
      <c r="D34" s="594">
        <v>7.3566123720499463E-2</v>
      </c>
      <c r="E34" s="594">
        <v>7.3036113111843867E-2</v>
      </c>
      <c r="F34" s="594">
        <v>8.5814611751763581E-2</v>
      </c>
      <c r="G34" s="594">
        <v>0.10831865205388158</v>
      </c>
      <c r="N34" s="602"/>
      <c r="O34" s="602"/>
    </row>
    <row r="35" spans="1:15" ht="15" customHeight="1">
      <c r="A35" s="245">
        <v>22</v>
      </c>
      <c r="B35" s="246" t="s">
        <v>917</v>
      </c>
      <c r="C35" s="594">
        <v>2.8010238149481122E-2</v>
      </c>
      <c r="D35" s="594">
        <v>2.9430986447641461E-2</v>
      </c>
      <c r="E35" s="594">
        <v>2.6867057648330667E-2</v>
      </c>
      <c r="F35" s="594">
        <v>3.0228538344414222E-2</v>
      </c>
      <c r="G35" s="594">
        <v>4.8373787618169913E-2</v>
      </c>
      <c r="N35" s="602"/>
      <c r="O35" s="602"/>
    </row>
    <row r="36" spans="1:15" ht="15">
      <c r="A36" s="245">
        <v>23</v>
      </c>
      <c r="B36" s="246" t="s">
        <v>14</v>
      </c>
      <c r="C36" s="594">
        <v>0.52725060446319894</v>
      </c>
      <c r="D36" s="594">
        <v>0.53558817292287386</v>
      </c>
      <c r="E36" s="594">
        <v>0.53956705145195971</v>
      </c>
      <c r="F36" s="594">
        <v>0.57540170767460341</v>
      </c>
      <c r="G36" s="594">
        <v>0.55359527395863561</v>
      </c>
      <c r="N36" s="602"/>
      <c r="O36" s="602"/>
    </row>
    <row r="37" spans="1:15" ht="15" customHeight="1">
      <c r="A37" s="245">
        <v>24</v>
      </c>
      <c r="B37" s="246" t="s">
        <v>15</v>
      </c>
      <c r="C37" s="594">
        <v>0.56338511341240627</v>
      </c>
      <c r="D37" s="594">
        <v>0.57925260855756966</v>
      </c>
      <c r="E37" s="594">
        <v>0.59536785603201392</v>
      </c>
      <c r="F37" s="594">
        <v>0.60934778327759209</v>
      </c>
      <c r="G37" s="594">
        <v>0.62392335707537594</v>
      </c>
      <c r="N37" s="602"/>
      <c r="O37" s="602"/>
    </row>
    <row r="38" spans="1:15" ht="15">
      <c r="A38" s="245">
        <v>25</v>
      </c>
      <c r="B38" s="246" t="s">
        <v>16</v>
      </c>
      <c r="C38" s="594">
        <v>1.6542030535011201E-2</v>
      </c>
      <c r="D38" s="594">
        <v>-5.7356774756949398E-3</v>
      </c>
      <c r="E38" s="594">
        <v>4.839479687995079E-2</v>
      </c>
      <c r="F38" s="594">
        <v>-5.0331017267639014E-2</v>
      </c>
      <c r="G38" s="594">
        <v>-3.1173080585118824E-2</v>
      </c>
      <c r="N38" s="602"/>
      <c r="O38" s="602"/>
    </row>
    <row r="39" spans="1:15" ht="15" customHeight="1">
      <c r="A39" s="238"/>
      <c r="B39" s="239" t="s">
        <v>17</v>
      </c>
      <c r="C39" s="150"/>
      <c r="D39" s="150"/>
      <c r="E39" s="150"/>
      <c r="F39" s="150"/>
      <c r="G39" s="151"/>
      <c r="N39" s="602"/>
      <c r="O39" s="602"/>
    </row>
    <row r="40" spans="1:15" ht="15" customHeight="1">
      <c r="A40" s="245">
        <v>26</v>
      </c>
      <c r="B40" s="246" t="s">
        <v>18</v>
      </c>
      <c r="C40" s="594">
        <v>0.29643405024428299</v>
      </c>
      <c r="D40" s="594">
        <v>0.30078560883877792</v>
      </c>
      <c r="E40" s="594">
        <v>0.32253820499072522</v>
      </c>
      <c r="F40" s="594">
        <v>0.33291076196714459</v>
      </c>
      <c r="G40" s="594">
        <v>0.29927960798125691</v>
      </c>
      <c r="N40" s="602"/>
      <c r="O40" s="602"/>
    </row>
    <row r="41" spans="1:15" ht="15" customHeight="1">
      <c r="A41" s="245">
        <v>27</v>
      </c>
      <c r="B41" s="246" t="s">
        <v>19</v>
      </c>
      <c r="C41" s="594">
        <v>0.73427704979158759</v>
      </c>
      <c r="D41" s="594">
        <v>0.75014868138528901</v>
      </c>
      <c r="E41" s="594">
        <v>0.76631665775958679</v>
      </c>
      <c r="F41" s="594">
        <v>0.78883333659888311</v>
      </c>
      <c r="G41" s="594">
        <v>0.8189972154836489</v>
      </c>
      <c r="N41" s="602"/>
      <c r="O41" s="602"/>
    </row>
    <row r="42" spans="1:15" ht="15" customHeight="1">
      <c r="A42" s="245">
        <v>28</v>
      </c>
      <c r="B42" s="247" t="s">
        <v>20</v>
      </c>
      <c r="C42" s="594">
        <v>0.34734802632711703</v>
      </c>
      <c r="D42" s="594">
        <v>0.2962300939052287</v>
      </c>
      <c r="E42" s="594">
        <v>0.32554324994030531</v>
      </c>
      <c r="F42" s="594">
        <v>0.39031447011919845</v>
      </c>
      <c r="G42" s="594">
        <v>0.33715092299716687</v>
      </c>
      <c r="N42" s="602"/>
      <c r="O42" s="602"/>
    </row>
    <row r="43" spans="1:15" ht="15" customHeight="1">
      <c r="A43" s="251"/>
      <c r="B43" s="239" t="s">
        <v>344</v>
      </c>
      <c r="C43" s="150"/>
      <c r="D43" s="150"/>
      <c r="E43" s="150"/>
      <c r="F43" s="150"/>
      <c r="G43" s="151"/>
      <c r="N43" s="602"/>
      <c r="O43" s="602"/>
    </row>
    <row r="44" spans="1:15" ht="15" customHeight="1">
      <c r="A44" s="245">
        <v>29</v>
      </c>
      <c r="B44" s="294" t="s">
        <v>328</v>
      </c>
      <c r="C44" s="247">
        <v>619552079.69363678</v>
      </c>
      <c r="D44" s="247">
        <v>673410875.30972874</v>
      </c>
      <c r="E44" s="247">
        <v>707041705.89184391</v>
      </c>
      <c r="F44" s="247">
        <v>679803640.02105772</v>
      </c>
      <c r="G44" s="250">
        <v>642346139.81358421</v>
      </c>
      <c r="N44" s="602"/>
      <c r="O44" s="602"/>
    </row>
    <row r="45" spans="1:15" ht="15">
      <c r="A45" s="245">
        <v>30</v>
      </c>
      <c r="B45" s="246" t="s">
        <v>329</v>
      </c>
      <c r="C45" s="247">
        <v>426212232.77162415</v>
      </c>
      <c r="D45" s="248">
        <v>454726195.95084447</v>
      </c>
      <c r="E45" s="248">
        <v>484923784.55030292</v>
      </c>
      <c r="F45" s="248">
        <v>497930002.1658743</v>
      </c>
      <c r="G45" s="249">
        <v>448139648.8739906</v>
      </c>
      <c r="N45" s="602"/>
      <c r="O45" s="602"/>
    </row>
    <row r="46" spans="1:15" ht="15">
      <c r="A46" s="289">
        <v>31</v>
      </c>
      <c r="B46" s="290" t="s">
        <v>327</v>
      </c>
      <c r="C46" s="594">
        <v>1.4536234111929145</v>
      </c>
      <c r="D46" s="594">
        <v>1.4809150678060428</v>
      </c>
      <c r="E46" s="594">
        <v>1.4580470754750119</v>
      </c>
      <c r="F46" s="594">
        <v>1.3652594482438845</v>
      </c>
      <c r="G46" s="595">
        <v>1.4333615457314763</v>
      </c>
      <c r="N46" s="602"/>
      <c r="O46" s="602"/>
    </row>
    <row r="47" spans="1:15" ht="15">
      <c r="A47" s="289"/>
      <c r="B47" s="239" t="s">
        <v>422</v>
      </c>
      <c r="C47" s="150"/>
      <c r="D47" s="150"/>
      <c r="E47" s="150"/>
      <c r="F47" s="150"/>
      <c r="G47" s="151"/>
      <c r="N47" s="602"/>
      <c r="O47" s="602"/>
    </row>
    <row r="48" spans="1:15" ht="15">
      <c r="A48" s="289">
        <v>32</v>
      </c>
      <c r="B48" s="290" t="s">
        <v>429</v>
      </c>
      <c r="C48" s="291">
        <v>1445725312.4816642</v>
      </c>
      <c r="D48" s="292">
        <v>1454568819.080049</v>
      </c>
      <c r="E48" s="292">
        <v>1492411411.9201407</v>
      </c>
      <c r="F48" s="292">
        <v>1407468209.6241207</v>
      </c>
      <c r="G48" s="293">
        <v>1360302676.0992379</v>
      </c>
      <c r="N48" s="602"/>
      <c r="O48" s="602"/>
    </row>
    <row r="49" spans="1:15" ht="15">
      <c r="A49" s="289">
        <v>33</v>
      </c>
      <c r="B49" s="290" t="s">
        <v>442</v>
      </c>
      <c r="C49" s="291">
        <v>961069925.68309307</v>
      </c>
      <c r="D49" s="292">
        <v>932798086.88957524</v>
      </c>
      <c r="E49" s="292">
        <v>930409050.99146807</v>
      </c>
      <c r="F49" s="292">
        <v>850760014.28684866</v>
      </c>
      <c r="G49" s="293">
        <v>841558441.84490347</v>
      </c>
      <c r="N49" s="602"/>
      <c r="O49" s="602"/>
    </row>
    <row r="50" spans="1:15" thickBot="1">
      <c r="A50" s="61">
        <v>34</v>
      </c>
      <c r="B50" s="136" t="s">
        <v>456</v>
      </c>
      <c r="C50" s="596">
        <v>1.5042873300338639</v>
      </c>
      <c r="D50" s="597">
        <v>1.5593608515325366</v>
      </c>
      <c r="E50" s="597">
        <v>1.6040379339923536</v>
      </c>
      <c r="F50" s="597">
        <v>1.6543657271010013</v>
      </c>
      <c r="G50" s="598">
        <v>1.6164090435800504</v>
      </c>
      <c r="N50" s="602"/>
      <c r="O50" s="602"/>
    </row>
    <row r="51" spans="1:15">
      <c r="A51" s="15"/>
    </row>
    <row r="52" spans="1:15">
      <c r="B52" s="17"/>
    </row>
    <row r="53" spans="1:15" ht="65.25">
      <c r="B53" s="187"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E39"/>
  <sheetViews>
    <sheetView showGridLines="0" zoomScale="80" zoomScaleNormal="80" workbookViewId="0"/>
  </sheetViews>
  <sheetFormatPr defaultRowHeight="15"/>
  <cols>
    <col min="1" max="1" width="11.42578125" customWidth="1"/>
    <col min="2" max="2" width="76.7109375" style="2" customWidth="1"/>
    <col min="3" max="3" width="22.7109375" customWidth="1"/>
  </cols>
  <sheetData>
    <row r="1" spans="1:5">
      <c r="A1" s="1" t="s">
        <v>97</v>
      </c>
      <c r="B1" t="str">
        <f>Info!C2</f>
        <v>სს "ბანკი ქართუ"</v>
      </c>
    </row>
    <row r="2" spans="1:5">
      <c r="A2" s="1" t="s">
        <v>98</v>
      </c>
      <c r="B2" s="593">
        <f>'1. key ratios'!B2</f>
        <v>46203</v>
      </c>
    </row>
    <row r="3" spans="1:5">
      <c r="A3" s="1"/>
      <c r="B3"/>
    </row>
    <row r="4" spans="1:5">
      <c r="A4" s="1" t="s">
        <v>406</v>
      </c>
      <c r="B4" t="s">
        <v>375</v>
      </c>
    </row>
    <row r="5" spans="1:5">
      <c r="A5" s="551"/>
      <c r="B5" s="551" t="s">
        <v>376</v>
      </c>
      <c r="C5" s="552"/>
    </row>
    <row r="6" spans="1:5">
      <c r="A6" s="553">
        <v>1</v>
      </c>
      <c r="B6" s="554" t="s">
        <v>376</v>
      </c>
      <c r="C6" s="555">
        <v>1962283582.3296113</v>
      </c>
      <c r="E6" s="610"/>
    </row>
    <row r="7" spans="1:5">
      <c r="A7" s="553">
        <v>2</v>
      </c>
      <c r="B7" s="554" t="s">
        <v>377</v>
      </c>
      <c r="C7" s="555">
        <v>-15458606.34</v>
      </c>
      <c r="E7" s="610"/>
    </row>
    <row r="8" spans="1:5">
      <c r="A8" s="556">
        <v>3</v>
      </c>
      <c r="B8" s="557" t="s">
        <v>378</v>
      </c>
      <c r="C8" s="558">
        <f>C6+C7</f>
        <v>1946824975.9896114</v>
      </c>
      <c r="E8" s="610"/>
    </row>
    <row r="9" spans="1:5">
      <c r="A9" s="559"/>
      <c r="B9" s="559" t="s">
        <v>379</v>
      </c>
      <c r="C9" s="560"/>
      <c r="E9" s="610"/>
    </row>
    <row r="10" spans="1:5">
      <c r="A10" s="561">
        <v>4</v>
      </c>
      <c r="B10" s="562" t="s">
        <v>380</v>
      </c>
      <c r="C10" s="555">
        <f>'15. CCR'!F34</f>
        <v>0</v>
      </c>
      <c r="E10" s="610"/>
    </row>
    <row r="11" spans="1:5">
      <c r="A11" s="561">
        <v>5</v>
      </c>
      <c r="B11" s="563" t="s">
        <v>381</v>
      </c>
      <c r="C11" s="555">
        <f>'15. CCR'!G34</f>
        <v>0</v>
      </c>
      <c r="E11" s="610"/>
    </row>
    <row r="12" spans="1:5">
      <c r="A12" s="561">
        <v>6</v>
      </c>
      <c r="B12" s="564" t="s">
        <v>979</v>
      </c>
      <c r="C12" s="558">
        <f>'15. CCR'!I34</f>
        <v>0</v>
      </c>
      <c r="E12" s="610"/>
    </row>
    <row r="13" spans="1:5">
      <c r="A13" s="565">
        <v>7</v>
      </c>
      <c r="B13" s="566" t="s">
        <v>382</v>
      </c>
      <c r="C13" s="555">
        <f>'15. CCR'!E34</f>
        <v>0</v>
      </c>
      <c r="E13" s="610"/>
    </row>
    <row r="14" spans="1:5">
      <c r="A14" s="567">
        <v>8</v>
      </c>
      <c r="B14" s="568" t="s">
        <v>383</v>
      </c>
      <c r="C14" s="558">
        <f>C12</f>
        <v>0</v>
      </c>
      <c r="E14" s="610"/>
    </row>
    <row r="15" spans="1:5">
      <c r="A15" s="559"/>
      <c r="B15" s="559" t="s">
        <v>384</v>
      </c>
      <c r="C15" s="569"/>
      <c r="E15" s="610"/>
    </row>
    <row r="16" spans="1:5" ht="24">
      <c r="A16" s="565">
        <v>9</v>
      </c>
      <c r="B16" s="570" t="s">
        <v>385</v>
      </c>
      <c r="C16" s="555"/>
      <c r="E16" s="610"/>
    </row>
    <row r="17" spans="1:5">
      <c r="A17" s="561">
        <v>10</v>
      </c>
      <c r="B17" s="554" t="s">
        <v>386</v>
      </c>
      <c r="C17" s="555"/>
      <c r="E17" s="610"/>
    </row>
    <row r="18" spans="1:5">
      <c r="A18" s="561">
        <v>11</v>
      </c>
      <c r="B18" s="554" t="s">
        <v>387</v>
      </c>
      <c r="C18" s="555"/>
      <c r="E18" s="610"/>
    </row>
    <row r="19" spans="1:5" ht="24">
      <c r="A19" s="565">
        <v>12</v>
      </c>
      <c r="B19" s="570" t="s">
        <v>388</v>
      </c>
      <c r="C19" s="555"/>
      <c r="E19" s="610"/>
    </row>
    <row r="20" spans="1:5">
      <c r="A20" s="565">
        <v>13</v>
      </c>
      <c r="B20" s="570" t="s">
        <v>389</v>
      </c>
      <c r="C20" s="555"/>
      <c r="E20" s="610"/>
    </row>
    <row r="21" spans="1:5">
      <c r="A21" s="565">
        <v>14</v>
      </c>
      <c r="B21" s="554" t="s">
        <v>390</v>
      </c>
      <c r="C21" s="555"/>
      <c r="E21" s="610"/>
    </row>
    <row r="22" spans="1:5">
      <c r="A22" s="567">
        <v>15</v>
      </c>
      <c r="B22" s="568" t="s">
        <v>391</v>
      </c>
      <c r="C22" s="558">
        <f>SUM(C16:C21)</f>
        <v>0</v>
      </c>
      <c r="E22" s="610"/>
    </row>
    <row r="23" spans="1:5">
      <c r="A23" s="559"/>
      <c r="B23" s="559" t="s">
        <v>392</v>
      </c>
      <c r="C23" s="560"/>
      <c r="E23" s="610"/>
    </row>
    <row r="24" spans="1:5">
      <c r="A24" s="561">
        <v>16</v>
      </c>
      <c r="B24" s="554" t="s">
        <v>393</v>
      </c>
      <c r="C24" s="555">
        <v>219789177.62567315</v>
      </c>
      <c r="E24" s="610"/>
    </row>
    <row r="25" spans="1:5">
      <c r="A25" s="561">
        <v>17</v>
      </c>
      <c r="B25" s="554" t="s">
        <v>394</v>
      </c>
      <c r="C25" s="555">
        <v>-98344057.95534724</v>
      </c>
      <c r="E25" s="610"/>
    </row>
    <row r="26" spans="1:5">
      <c r="A26" s="567">
        <v>18</v>
      </c>
      <c r="B26" s="568" t="s">
        <v>395</v>
      </c>
      <c r="C26" s="558">
        <f>C24+C25</f>
        <v>121445119.67032591</v>
      </c>
      <c r="E26" s="610"/>
    </row>
    <row r="27" spans="1:5">
      <c r="A27" s="559"/>
      <c r="B27" s="559" t="s">
        <v>396</v>
      </c>
      <c r="C27" s="569"/>
      <c r="E27" s="610"/>
    </row>
    <row r="28" spans="1:5">
      <c r="A28" s="561">
        <v>19</v>
      </c>
      <c r="B28" s="554" t="s">
        <v>397</v>
      </c>
      <c r="C28" s="555"/>
      <c r="E28" s="610"/>
    </row>
    <row r="29" spans="1:5">
      <c r="A29" s="561">
        <v>20</v>
      </c>
      <c r="B29" s="554" t="s">
        <v>398</v>
      </c>
      <c r="C29" s="555"/>
      <c r="E29" s="610"/>
    </row>
    <row r="30" spans="1:5">
      <c r="A30" s="559"/>
      <c r="B30" s="559" t="s">
        <v>399</v>
      </c>
      <c r="C30" s="560"/>
      <c r="E30" s="610"/>
    </row>
    <row r="31" spans="1:5">
      <c r="A31" s="567">
        <v>21</v>
      </c>
      <c r="B31" s="568" t="s">
        <v>75</v>
      </c>
      <c r="C31" s="558">
        <f>'1. key ratios'!C9</f>
        <v>533115302.06425917</v>
      </c>
      <c r="E31" s="610"/>
    </row>
    <row r="32" spans="1:5">
      <c r="A32" s="567">
        <v>22</v>
      </c>
      <c r="B32" s="568" t="s">
        <v>400</v>
      </c>
      <c r="C32" s="558">
        <f>C8+C14+C22+C26</f>
        <v>2068270095.6599374</v>
      </c>
      <c r="E32" s="610"/>
    </row>
    <row r="33" spans="1:5">
      <c r="A33" s="571"/>
      <c r="B33" s="571" t="s">
        <v>375</v>
      </c>
      <c r="C33" s="560"/>
      <c r="E33" s="610"/>
    </row>
    <row r="34" spans="1:5">
      <c r="A34" s="567">
        <v>23</v>
      </c>
      <c r="B34" s="568" t="s">
        <v>375</v>
      </c>
      <c r="C34" s="690">
        <f>IFERROR(C31/C32,0)</f>
        <v>0.2577590340753606</v>
      </c>
      <c r="E34" s="610"/>
    </row>
    <row r="35" spans="1:5">
      <c r="A35" s="571"/>
      <c r="B35" s="571" t="s">
        <v>401</v>
      </c>
      <c r="C35" s="560"/>
      <c r="E35" s="610"/>
    </row>
    <row r="36" spans="1:5">
      <c r="A36" s="565" t="s">
        <v>402</v>
      </c>
      <c r="B36" s="570" t="s">
        <v>403</v>
      </c>
      <c r="C36" s="572"/>
      <c r="E36" s="610"/>
    </row>
    <row r="37" spans="1:5">
      <c r="A37" s="573" t="s">
        <v>404</v>
      </c>
      <c r="B37" s="574" t="s">
        <v>405</v>
      </c>
      <c r="C37" s="572"/>
      <c r="E37" s="610"/>
    </row>
    <row r="39" spans="1:5">
      <c r="B39" s="222"/>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showGridLines="0" zoomScale="80" zoomScaleNormal="80" workbookViewId="0"/>
  </sheetViews>
  <sheetFormatPr defaultRowHeight="15"/>
  <cols>
    <col min="1" max="1" width="11.42578125" customWidth="1"/>
    <col min="2" max="2" width="76.7109375" style="2" customWidth="1"/>
    <col min="3" max="6" width="24.42578125" customWidth="1"/>
  </cols>
  <sheetData>
    <row r="1" spans="1:6">
      <c r="A1" s="12" t="s">
        <v>97</v>
      </c>
      <c r="B1" t="str">
        <f>Info!C2</f>
        <v>სს "ბანკი ქართუ"</v>
      </c>
    </row>
    <row r="2" spans="1:6">
      <c r="A2" s="1" t="s">
        <v>98</v>
      </c>
      <c r="B2" s="593">
        <f>'1. key ratios'!B2</f>
        <v>46203</v>
      </c>
    </row>
    <row r="3" spans="1:6">
      <c r="A3" s="1"/>
      <c r="B3"/>
    </row>
    <row r="4" spans="1:6">
      <c r="A4" s="550" t="s">
        <v>971</v>
      </c>
    </row>
    <row r="5" spans="1:6" ht="105">
      <c r="B5" s="544"/>
      <c r="C5" s="545" t="s">
        <v>972</v>
      </c>
      <c r="D5" s="545" t="s">
        <v>973</v>
      </c>
      <c r="E5" s="545" t="s">
        <v>974</v>
      </c>
      <c r="F5" s="545" t="s">
        <v>975</v>
      </c>
    </row>
    <row r="6" spans="1:6">
      <c r="B6" s="546" t="s">
        <v>970</v>
      </c>
      <c r="C6" s="547">
        <f>IF(C7&gt;0,C7,IF(C8&gt;0,C8,IF(C9&gt;0,C9,0)))</f>
        <v>0</v>
      </c>
      <c r="D6" s="547">
        <f t="shared" ref="D6:F6" si="0">IF(D7&gt;0,D7,IF(D8&gt;0,D8,IF(D9&gt;0,D9,0)))</f>
        <v>0</v>
      </c>
      <c r="E6" s="547">
        <f t="shared" si="0"/>
        <v>0</v>
      </c>
      <c r="F6" s="547">
        <f t="shared" si="0"/>
        <v>0</v>
      </c>
    </row>
    <row r="7" spans="1:6">
      <c r="B7" s="548" t="s">
        <v>976</v>
      </c>
      <c r="C7" s="549"/>
      <c r="D7" s="549"/>
      <c r="E7" s="549"/>
      <c r="F7" s="549"/>
    </row>
    <row r="8" spans="1:6">
      <c r="B8" s="548" t="s">
        <v>977</v>
      </c>
      <c r="C8" s="549"/>
      <c r="D8" s="549"/>
      <c r="E8" s="549"/>
      <c r="F8" s="549"/>
    </row>
    <row r="9" spans="1:6">
      <c r="B9" s="548" t="s">
        <v>978</v>
      </c>
      <c r="C9" s="549"/>
      <c r="D9" s="549"/>
      <c r="E9" s="549"/>
      <c r="F9" s="549"/>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P42"/>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RowHeight="15"/>
  <cols>
    <col min="1" max="1" width="9.85546875" style="1" bestFit="1" customWidth="1"/>
    <col min="2" max="2" width="82.7109375" style="17" customWidth="1"/>
    <col min="3" max="7" width="17.5703125" style="1" customWidth="1"/>
    <col min="9" max="9" width="14.28515625" bestFit="1" customWidth="1"/>
  </cols>
  <sheetData>
    <row r="1" spans="1:16">
      <c r="A1" s="1" t="s">
        <v>97</v>
      </c>
      <c r="B1" s="1" t="str">
        <f>Info!C2</f>
        <v>სს "ბანკი ქართუ"</v>
      </c>
    </row>
    <row r="2" spans="1:16">
      <c r="A2" s="1" t="s">
        <v>98</v>
      </c>
      <c r="B2" s="593">
        <f>'1. key ratios'!B2</f>
        <v>46203</v>
      </c>
    </row>
    <row r="3" spans="1:16">
      <c r="B3" s="252"/>
    </row>
    <row r="4" spans="1:16" ht="15.75" thickBot="1">
      <c r="A4" s="1" t="s">
        <v>457</v>
      </c>
      <c r="B4" s="144" t="s">
        <v>422</v>
      </c>
    </row>
    <row r="5" spans="1:16">
      <c r="A5" s="256"/>
      <c r="B5" s="257"/>
      <c r="C5" s="786" t="s">
        <v>423</v>
      </c>
      <c r="D5" s="786"/>
      <c r="E5" s="786"/>
      <c r="F5" s="786"/>
      <c r="G5" s="787" t="s">
        <v>424</v>
      </c>
    </row>
    <row r="6" spans="1:16">
      <c r="A6" s="258"/>
      <c r="B6" s="259"/>
      <c r="C6" s="260" t="s">
        <v>425</v>
      </c>
      <c r="D6" s="260" t="s">
        <v>426</v>
      </c>
      <c r="E6" s="260" t="s">
        <v>427</v>
      </c>
      <c r="F6" s="260" t="s">
        <v>428</v>
      </c>
      <c r="G6" s="788"/>
    </row>
    <row r="7" spans="1:16">
      <c r="A7" s="261"/>
      <c r="B7" s="262" t="s">
        <v>429</v>
      </c>
      <c r="C7" s="263"/>
      <c r="D7" s="263"/>
      <c r="E7" s="263"/>
      <c r="F7" s="263"/>
      <c r="G7" s="264"/>
    </row>
    <row r="8" spans="1:16">
      <c r="A8" s="265">
        <v>1</v>
      </c>
      <c r="B8" s="266" t="s">
        <v>430</v>
      </c>
      <c r="C8" s="267">
        <f>SUM(C9:C10)</f>
        <v>485537549.90425915</v>
      </c>
      <c r="D8" s="267">
        <f>SUM(D9:D10)</f>
        <v>0</v>
      </c>
      <c r="E8" s="267">
        <f>SUM(E9:E10)</f>
        <v>0</v>
      </c>
      <c r="F8" s="267">
        <f>SUM(F9:F10)</f>
        <v>237252954.51770002</v>
      </c>
      <c r="G8" s="268">
        <f>SUM(G9:G10)</f>
        <v>722790504.42195916</v>
      </c>
      <c r="I8" s="610"/>
      <c r="J8" s="610"/>
      <c r="K8" s="610"/>
      <c r="L8" s="610"/>
      <c r="M8" s="610"/>
      <c r="N8" s="610"/>
      <c r="O8" s="610"/>
      <c r="P8" s="610"/>
    </row>
    <row r="9" spans="1:16">
      <c r="A9" s="265">
        <v>2</v>
      </c>
      <c r="B9" s="269" t="s">
        <v>74</v>
      </c>
      <c r="C9" s="267">
        <v>485537549.90425915</v>
      </c>
      <c r="D9" s="267">
        <v>0</v>
      </c>
      <c r="E9" s="267">
        <v>0</v>
      </c>
      <c r="F9" s="267">
        <v>53926472.160000011</v>
      </c>
      <c r="G9" s="268">
        <v>539464022.06425917</v>
      </c>
      <c r="I9" s="610"/>
      <c r="J9" s="610"/>
      <c r="K9" s="610"/>
      <c r="L9" s="610"/>
      <c r="M9" s="610"/>
      <c r="N9" s="610"/>
      <c r="O9" s="610"/>
      <c r="P9" s="610"/>
    </row>
    <row r="10" spans="1:16">
      <c r="A10" s="265">
        <v>3</v>
      </c>
      <c r="B10" s="269" t="s">
        <v>431</v>
      </c>
      <c r="C10" s="270"/>
      <c r="D10" s="270"/>
      <c r="E10" s="270"/>
      <c r="F10" s="267">
        <v>183326482.35769999</v>
      </c>
      <c r="G10" s="268">
        <v>183326482.35769999</v>
      </c>
      <c r="I10" s="610"/>
      <c r="J10" s="610"/>
      <c r="K10" s="610"/>
      <c r="L10" s="610"/>
      <c r="M10" s="610"/>
      <c r="N10" s="610"/>
      <c r="O10" s="610"/>
      <c r="P10" s="610"/>
    </row>
    <row r="11" spans="1:16" ht="26.25">
      <c r="A11" s="265">
        <v>4</v>
      </c>
      <c r="B11" s="266" t="s">
        <v>432</v>
      </c>
      <c r="C11" s="267">
        <f t="shared" ref="C11:F11" si="0">SUM(C12:C13)</f>
        <v>116406772.23939997</v>
      </c>
      <c r="D11" s="267">
        <f t="shared" si="0"/>
        <v>163814044.62370002</v>
      </c>
      <c r="E11" s="267">
        <f t="shared" si="0"/>
        <v>100441934.7334</v>
      </c>
      <c r="F11" s="267">
        <f t="shared" si="0"/>
        <v>0</v>
      </c>
      <c r="G11" s="268">
        <f>SUM(G12:G13)</f>
        <v>342398067.26350498</v>
      </c>
      <c r="I11" s="610"/>
      <c r="J11" s="610"/>
      <c r="K11" s="610"/>
      <c r="L11" s="610"/>
      <c r="M11" s="610"/>
      <c r="N11" s="610"/>
      <c r="O11" s="610"/>
      <c r="P11" s="610"/>
    </row>
    <row r="12" spans="1:16">
      <c r="A12" s="265">
        <v>5</v>
      </c>
      <c r="B12" s="269" t="s">
        <v>433</v>
      </c>
      <c r="C12" s="267">
        <v>94954768.822499976</v>
      </c>
      <c r="D12" s="271">
        <v>152243896.33900002</v>
      </c>
      <c r="E12" s="267">
        <v>90727315.872400001</v>
      </c>
      <c r="F12" s="267">
        <v>0</v>
      </c>
      <c r="G12" s="268">
        <v>321029681.98220497</v>
      </c>
      <c r="I12" s="610"/>
      <c r="J12" s="610"/>
      <c r="K12" s="610"/>
      <c r="L12" s="610"/>
      <c r="M12" s="610"/>
      <c r="N12" s="610"/>
      <c r="O12" s="610"/>
      <c r="P12" s="610"/>
    </row>
    <row r="13" spans="1:16">
      <c r="A13" s="265">
        <v>6</v>
      </c>
      <c r="B13" s="269" t="s">
        <v>434</v>
      </c>
      <c r="C13" s="267">
        <v>21452003.416900001</v>
      </c>
      <c r="D13" s="271">
        <v>11570148.284699999</v>
      </c>
      <c r="E13" s="267">
        <v>9714618.8609999996</v>
      </c>
      <c r="F13" s="267">
        <v>0</v>
      </c>
      <c r="G13" s="268">
        <v>21368385.281300001</v>
      </c>
      <c r="I13" s="610"/>
      <c r="J13" s="610"/>
      <c r="K13" s="610"/>
      <c r="L13" s="610"/>
      <c r="M13" s="610"/>
      <c r="N13" s="610"/>
      <c r="O13" s="610"/>
      <c r="P13" s="610"/>
    </row>
    <row r="14" spans="1:16">
      <c r="A14" s="265">
        <v>7</v>
      </c>
      <c r="B14" s="266" t="s">
        <v>435</v>
      </c>
      <c r="C14" s="267">
        <f t="shared" ref="C14:F14" si="1">SUM(C15:C16)</f>
        <v>383516212.16160017</v>
      </c>
      <c r="D14" s="267">
        <f t="shared" si="1"/>
        <v>290954179.51440001</v>
      </c>
      <c r="E14" s="267">
        <f t="shared" si="1"/>
        <v>133887181.90550002</v>
      </c>
      <c r="F14" s="267">
        <f t="shared" si="1"/>
        <v>0</v>
      </c>
      <c r="G14" s="268">
        <f>SUM(G15:G16)</f>
        <v>380536740.7962001</v>
      </c>
      <c r="I14" s="610"/>
      <c r="J14" s="610"/>
      <c r="K14" s="610"/>
      <c r="L14" s="610"/>
      <c r="M14" s="610"/>
      <c r="N14" s="610"/>
      <c r="O14" s="610"/>
      <c r="P14" s="610"/>
    </row>
    <row r="15" spans="1:16" ht="51.75">
      <c r="A15" s="265">
        <v>8</v>
      </c>
      <c r="B15" s="269" t="s">
        <v>436</v>
      </c>
      <c r="C15" s="267">
        <v>380152079.88250017</v>
      </c>
      <c r="D15" s="271">
        <v>247034219.80439997</v>
      </c>
      <c r="E15" s="267">
        <v>116046159.99550003</v>
      </c>
      <c r="F15" s="267">
        <v>0</v>
      </c>
      <c r="G15" s="268">
        <v>371616229.84120011</v>
      </c>
      <c r="I15" s="610"/>
      <c r="J15" s="610"/>
      <c r="K15" s="610"/>
      <c r="L15" s="610"/>
      <c r="M15" s="610"/>
      <c r="N15" s="610"/>
      <c r="O15" s="610"/>
      <c r="P15" s="610"/>
    </row>
    <row r="16" spans="1:16" ht="26.25">
      <c r="A16" s="265">
        <v>9</v>
      </c>
      <c r="B16" s="269" t="s">
        <v>437</v>
      </c>
      <c r="C16" s="267">
        <v>3364132.2790999999</v>
      </c>
      <c r="D16" s="271">
        <v>43919959.710000008</v>
      </c>
      <c r="E16" s="267">
        <v>17841021.91</v>
      </c>
      <c r="F16" s="267">
        <v>0</v>
      </c>
      <c r="G16" s="268">
        <v>8920510.9550000001</v>
      </c>
      <c r="I16" s="610"/>
      <c r="J16" s="610"/>
      <c r="K16" s="610"/>
      <c r="L16" s="610"/>
      <c r="M16" s="610"/>
      <c r="N16" s="610"/>
      <c r="O16" s="610"/>
      <c r="P16" s="610"/>
    </row>
    <row r="17" spans="1:16">
      <c r="A17" s="265">
        <v>10</v>
      </c>
      <c r="B17" s="266" t="s">
        <v>438</v>
      </c>
      <c r="C17" s="267">
        <v>0</v>
      </c>
      <c r="D17" s="271">
        <v>0</v>
      </c>
      <c r="E17" s="267">
        <v>0</v>
      </c>
      <c r="F17" s="267">
        <v>0</v>
      </c>
      <c r="G17" s="268">
        <v>0</v>
      </c>
      <c r="I17" s="610"/>
      <c r="J17" s="610"/>
      <c r="K17" s="610"/>
      <c r="L17" s="610"/>
      <c r="M17" s="610"/>
      <c r="N17" s="610"/>
      <c r="O17" s="610"/>
      <c r="P17" s="610"/>
    </row>
    <row r="18" spans="1:16">
      <c r="A18" s="265">
        <v>11</v>
      </c>
      <c r="B18" s="266" t="s">
        <v>78</v>
      </c>
      <c r="C18" s="267">
        <v>0</v>
      </c>
      <c r="D18" s="271">
        <v>16925296.743277192</v>
      </c>
      <c r="E18" s="267">
        <v>7306682.4924549162</v>
      </c>
      <c r="F18" s="267">
        <v>10782168.396237671</v>
      </c>
      <c r="G18" s="268">
        <v>0</v>
      </c>
      <c r="I18" s="610"/>
      <c r="J18" s="610"/>
      <c r="K18" s="610"/>
      <c r="L18" s="610"/>
      <c r="M18" s="610"/>
      <c r="N18" s="610"/>
      <c r="O18" s="610"/>
      <c r="P18" s="610"/>
    </row>
    <row r="19" spans="1:16">
      <c r="A19" s="265">
        <v>12</v>
      </c>
      <c r="B19" s="269" t="s">
        <v>439</v>
      </c>
      <c r="C19" s="270"/>
      <c r="D19" s="271">
        <v>0</v>
      </c>
      <c r="E19" s="267">
        <v>0</v>
      </c>
      <c r="F19" s="267">
        <v>0</v>
      </c>
      <c r="G19" s="268">
        <v>0</v>
      </c>
      <c r="I19" s="610"/>
      <c r="J19" s="610"/>
      <c r="K19" s="610"/>
      <c r="L19" s="610"/>
      <c r="M19" s="610"/>
      <c r="N19" s="610"/>
      <c r="O19" s="610"/>
      <c r="P19" s="610"/>
    </row>
    <row r="20" spans="1:16" ht="26.25">
      <c r="A20" s="265">
        <v>13</v>
      </c>
      <c r="B20" s="269" t="s">
        <v>440</v>
      </c>
      <c r="C20" s="267">
        <v>0</v>
      </c>
      <c r="D20" s="267">
        <v>16925296.743277192</v>
      </c>
      <c r="E20" s="267">
        <v>7306682.4924549162</v>
      </c>
      <c r="F20" s="267">
        <v>10782168.396237671</v>
      </c>
      <c r="G20" s="268">
        <v>0</v>
      </c>
      <c r="I20" s="610"/>
      <c r="J20" s="610"/>
      <c r="K20" s="610"/>
      <c r="L20" s="610"/>
      <c r="M20" s="610"/>
      <c r="N20" s="610"/>
      <c r="O20" s="610"/>
      <c r="P20" s="610"/>
    </row>
    <row r="21" spans="1:16">
      <c r="A21" s="272">
        <v>14</v>
      </c>
      <c r="B21" s="273" t="s">
        <v>441</v>
      </c>
      <c r="C21" s="270"/>
      <c r="D21" s="270"/>
      <c r="E21" s="270"/>
      <c r="F21" s="270"/>
      <c r="G21" s="274">
        <f>SUM(G8,G11,G14,G17,G18)</f>
        <v>1445725312.4816642</v>
      </c>
      <c r="I21" s="610"/>
      <c r="J21" s="610"/>
      <c r="K21" s="610"/>
      <c r="L21" s="610"/>
      <c r="M21" s="610"/>
      <c r="N21" s="610"/>
      <c r="O21" s="610"/>
      <c r="P21" s="610"/>
    </row>
    <row r="22" spans="1:16">
      <c r="A22" s="275"/>
      <c r="B22" s="295" t="s">
        <v>442</v>
      </c>
      <c r="C22" s="276"/>
      <c r="D22" s="277"/>
      <c r="E22" s="276"/>
      <c r="F22" s="276"/>
      <c r="G22" s="278"/>
      <c r="I22" s="610"/>
      <c r="J22" s="610"/>
      <c r="K22" s="610"/>
      <c r="L22" s="610"/>
      <c r="M22" s="610"/>
      <c r="N22" s="610"/>
      <c r="O22" s="610"/>
      <c r="P22" s="610"/>
    </row>
    <row r="23" spans="1:16">
      <c r="A23" s="265">
        <v>15</v>
      </c>
      <c r="B23" s="266" t="s">
        <v>310</v>
      </c>
      <c r="C23" s="279">
        <v>531844593.03469998</v>
      </c>
      <c r="D23" s="280">
        <v>112647548.33786887</v>
      </c>
      <c r="E23" s="279">
        <v>0</v>
      </c>
      <c r="F23" s="279">
        <v>0</v>
      </c>
      <c r="G23" s="268">
        <v>19407199.683690812</v>
      </c>
      <c r="I23" s="610"/>
      <c r="J23" s="610"/>
      <c r="K23" s="610"/>
      <c r="L23" s="610"/>
      <c r="M23" s="610"/>
      <c r="N23" s="610"/>
      <c r="O23" s="610"/>
      <c r="P23" s="610"/>
    </row>
    <row r="24" spans="1:16">
      <c r="A24" s="265">
        <v>16</v>
      </c>
      <c r="B24" s="266" t="s">
        <v>443</v>
      </c>
      <c r="C24" s="267">
        <v>25752974.90996382</v>
      </c>
      <c r="D24" s="271">
        <v>270331061.53397673</v>
      </c>
      <c r="E24" s="267">
        <v>192690717.73259613</v>
      </c>
      <c r="F24" s="267">
        <v>526617469.98482412</v>
      </c>
      <c r="G24" s="268">
        <v>680984175.75902724</v>
      </c>
      <c r="I24" s="610"/>
      <c r="J24" s="610"/>
      <c r="K24" s="610"/>
      <c r="L24" s="610"/>
      <c r="M24" s="610"/>
      <c r="N24" s="610"/>
      <c r="O24" s="610"/>
      <c r="P24" s="610"/>
    </row>
    <row r="25" spans="1:16" ht="26.25">
      <c r="A25" s="265">
        <v>17</v>
      </c>
      <c r="B25" s="269" t="s">
        <v>444</v>
      </c>
      <c r="C25" s="267">
        <v>0</v>
      </c>
      <c r="D25" s="271">
        <v>0</v>
      </c>
      <c r="E25" s="267">
        <v>0</v>
      </c>
      <c r="F25" s="267">
        <v>0</v>
      </c>
      <c r="G25" s="268">
        <v>0</v>
      </c>
      <c r="I25" s="610"/>
      <c r="J25" s="610"/>
      <c r="K25" s="610"/>
      <c r="L25" s="610"/>
      <c r="M25" s="610"/>
      <c r="N25" s="610"/>
      <c r="O25" s="610"/>
      <c r="P25" s="610"/>
    </row>
    <row r="26" spans="1:16" ht="26.25">
      <c r="A26" s="265">
        <v>18</v>
      </c>
      <c r="B26" s="269" t="s">
        <v>445</v>
      </c>
      <c r="C26" s="267">
        <v>25752974.90996382</v>
      </c>
      <c r="D26" s="271">
        <v>5755741.7081546448</v>
      </c>
      <c r="E26" s="267">
        <v>0</v>
      </c>
      <c r="F26" s="267">
        <v>0</v>
      </c>
      <c r="G26" s="268">
        <v>4726307.4927177699</v>
      </c>
      <c r="I26" s="610"/>
      <c r="J26" s="610"/>
      <c r="K26" s="610"/>
      <c r="L26" s="610"/>
      <c r="M26" s="610"/>
      <c r="N26" s="610"/>
      <c r="O26" s="610"/>
      <c r="P26" s="610"/>
    </row>
    <row r="27" spans="1:16">
      <c r="A27" s="265">
        <v>19</v>
      </c>
      <c r="B27" s="269" t="s">
        <v>446</v>
      </c>
      <c r="C27" s="267">
        <v>0</v>
      </c>
      <c r="D27" s="271">
        <v>257871048.41172922</v>
      </c>
      <c r="E27" s="267">
        <v>185258020.56718659</v>
      </c>
      <c r="F27" s="267">
        <v>498046199.89906651</v>
      </c>
      <c r="G27" s="268">
        <v>644903804.40366435</v>
      </c>
      <c r="I27" s="610"/>
      <c r="J27" s="610"/>
      <c r="K27" s="610"/>
      <c r="L27" s="610"/>
      <c r="M27" s="610"/>
      <c r="N27" s="610"/>
      <c r="O27" s="610"/>
      <c r="P27" s="610"/>
    </row>
    <row r="28" spans="1:16">
      <c r="A28" s="265">
        <v>20</v>
      </c>
      <c r="B28" s="281" t="s">
        <v>447</v>
      </c>
      <c r="C28" s="267">
        <v>0</v>
      </c>
      <c r="D28" s="271">
        <v>0</v>
      </c>
      <c r="E28" s="267">
        <v>0</v>
      </c>
      <c r="F28" s="267">
        <v>0</v>
      </c>
      <c r="G28" s="268">
        <v>0</v>
      </c>
      <c r="I28" s="610"/>
      <c r="J28" s="610"/>
      <c r="K28" s="610"/>
      <c r="L28" s="610"/>
      <c r="M28" s="610"/>
      <c r="N28" s="610"/>
      <c r="O28" s="610"/>
      <c r="P28" s="610"/>
    </row>
    <row r="29" spans="1:16">
      <c r="A29" s="265">
        <v>21</v>
      </c>
      <c r="B29" s="269" t="s">
        <v>448</v>
      </c>
      <c r="C29" s="267">
        <v>0</v>
      </c>
      <c r="D29" s="271">
        <v>4671557.8764626672</v>
      </c>
      <c r="E29" s="267">
        <v>7432697.1654095259</v>
      </c>
      <c r="F29" s="267">
        <v>17867878.641903199</v>
      </c>
      <c r="G29" s="268">
        <v>21239824.366553813</v>
      </c>
      <c r="I29" s="610"/>
      <c r="J29" s="610"/>
      <c r="K29" s="610"/>
      <c r="L29" s="610"/>
      <c r="M29" s="610"/>
      <c r="N29" s="610"/>
      <c r="O29" s="610"/>
      <c r="P29" s="610"/>
    </row>
    <row r="30" spans="1:16">
      <c r="A30" s="265">
        <v>22</v>
      </c>
      <c r="B30" s="281" t="s">
        <v>447</v>
      </c>
      <c r="C30" s="267">
        <v>0</v>
      </c>
      <c r="D30" s="271">
        <v>0</v>
      </c>
      <c r="E30" s="267">
        <v>0</v>
      </c>
      <c r="F30" s="267">
        <v>0</v>
      </c>
      <c r="G30" s="268">
        <v>0</v>
      </c>
      <c r="I30" s="610"/>
      <c r="J30" s="610"/>
      <c r="K30" s="610"/>
      <c r="L30" s="610"/>
      <c r="M30" s="610"/>
      <c r="N30" s="610"/>
      <c r="O30" s="610"/>
      <c r="P30" s="610"/>
    </row>
    <row r="31" spans="1:16" ht="26.25">
      <c r="A31" s="265">
        <v>23</v>
      </c>
      <c r="B31" s="269" t="s">
        <v>449</v>
      </c>
      <c r="C31" s="267">
        <v>0</v>
      </c>
      <c r="D31" s="271">
        <v>2032713.5376302046</v>
      </c>
      <c r="E31" s="267">
        <v>0</v>
      </c>
      <c r="F31" s="267">
        <v>10703391.443854392</v>
      </c>
      <c r="G31" s="268">
        <v>10114239.496091334</v>
      </c>
      <c r="I31" s="610"/>
      <c r="J31" s="610"/>
      <c r="K31" s="610"/>
      <c r="L31" s="610"/>
      <c r="M31" s="610"/>
      <c r="N31" s="610"/>
      <c r="O31" s="610"/>
      <c r="P31" s="610"/>
    </row>
    <row r="32" spans="1:16">
      <c r="A32" s="265">
        <v>24</v>
      </c>
      <c r="B32" s="266" t="s">
        <v>450</v>
      </c>
      <c r="C32" s="267">
        <v>0</v>
      </c>
      <c r="D32" s="271">
        <v>0</v>
      </c>
      <c r="E32" s="267">
        <v>0</v>
      </c>
      <c r="F32" s="267">
        <v>0</v>
      </c>
      <c r="G32" s="268">
        <v>0</v>
      </c>
      <c r="I32" s="610"/>
      <c r="J32" s="610"/>
      <c r="K32" s="610"/>
      <c r="L32" s="610"/>
      <c r="M32" s="610"/>
      <c r="N32" s="610"/>
      <c r="O32" s="610"/>
      <c r="P32" s="610"/>
    </row>
    <row r="33" spans="1:16">
      <c r="A33" s="265">
        <v>25</v>
      </c>
      <c r="B33" s="266" t="s">
        <v>88</v>
      </c>
      <c r="C33" s="267">
        <f>SUM(C34:C35)</f>
        <v>0</v>
      </c>
      <c r="D33" s="267">
        <f>SUM(D34:D35)</f>
        <v>48636877.991410077</v>
      </c>
      <c r="E33" s="267">
        <f>SUM(E34:E35)</f>
        <v>65316353.898351789</v>
      </c>
      <c r="F33" s="267">
        <f>SUM(F34:F35)</f>
        <v>172987377.49426982</v>
      </c>
      <c r="G33" s="268">
        <v>237268577.15204239</v>
      </c>
      <c r="I33" s="610"/>
      <c r="J33" s="610"/>
      <c r="K33" s="610"/>
      <c r="L33" s="610"/>
      <c r="M33" s="610"/>
      <c r="N33" s="610"/>
      <c r="O33" s="610"/>
      <c r="P33" s="610"/>
    </row>
    <row r="34" spans="1:16">
      <c r="A34" s="265">
        <v>26</v>
      </c>
      <c r="B34" s="269" t="s">
        <v>451</v>
      </c>
      <c r="C34" s="270"/>
      <c r="D34" s="271">
        <v>0</v>
      </c>
      <c r="E34" s="267">
        <v>0</v>
      </c>
      <c r="F34" s="267">
        <v>0</v>
      </c>
      <c r="G34" s="268">
        <v>0</v>
      </c>
      <c r="I34" s="610"/>
      <c r="J34" s="610"/>
      <c r="K34" s="610"/>
      <c r="L34" s="610"/>
      <c r="M34" s="610"/>
      <c r="N34" s="610"/>
      <c r="O34" s="610"/>
      <c r="P34" s="610"/>
    </row>
    <row r="35" spans="1:16">
      <c r="A35" s="265">
        <v>27</v>
      </c>
      <c r="B35" s="269" t="s">
        <v>452</v>
      </c>
      <c r="C35" s="267"/>
      <c r="D35" s="271">
        <v>48636877.991410077</v>
      </c>
      <c r="E35" s="267">
        <v>65316353.898351789</v>
      </c>
      <c r="F35" s="267">
        <v>172987377.49426982</v>
      </c>
      <c r="G35" s="268">
        <v>237268287.09078956</v>
      </c>
      <c r="I35" s="610"/>
      <c r="J35" s="610"/>
      <c r="K35" s="610"/>
      <c r="L35" s="610"/>
      <c r="M35" s="610"/>
      <c r="N35" s="610"/>
      <c r="O35" s="610"/>
      <c r="P35" s="610"/>
    </row>
    <row r="36" spans="1:16">
      <c r="A36" s="265">
        <v>28</v>
      </c>
      <c r="B36" s="266" t="s">
        <v>453</v>
      </c>
      <c r="C36" s="267">
        <v>0</v>
      </c>
      <c r="D36" s="271">
        <v>67268157.85506019</v>
      </c>
      <c r="E36" s="267">
        <v>80740748.950183526</v>
      </c>
      <c r="F36" s="267">
        <v>71780270.80841434</v>
      </c>
      <c r="G36" s="268">
        <v>23409973.088332675</v>
      </c>
      <c r="I36" s="610"/>
      <c r="J36" s="610"/>
      <c r="K36" s="610"/>
      <c r="L36" s="610"/>
      <c r="M36" s="610"/>
      <c r="N36" s="610"/>
      <c r="O36" s="610"/>
      <c r="P36" s="610"/>
    </row>
    <row r="37" spans="1:16">
      <c r="A37" s="272">
        <v>29</v>
      </c>
      <c r="B37" s="273" t="s">
        <v>454</v>
      </c>
      <c r="C37" s="270"/>
      <c r="D37" s="270"/>
      <c r="E37" s="270"/>
      <c r="F37" s="270"/>
      <c r="G37" s="274">
        <f>SUM(G23:G24,G32:G33,G36)</f>
        <v>961069925.68309307</v>
      </c>
      <c r="I37" s="610"/>
      <c r="J37" s="610"/>
      <c r="K37" s="610"/>
      <c r="L37" s="610"/>
      <c r="M37" s="610"/>
      <c r="N37" s="610"/>
      <c r="O37" s="610"/>
      <c r="P37" s="610"/>
    </row>
    <row r="38" spans="1:16">
      <c r="A38" s="261"/>
      <c r="B38" s="282"/>
      <c r="C38" s="283"/>
      <c r="D38" s="283"/>
      <c r="E38" s="283"/>
      <c r="F38" s="283"/>
      <c r="G38" s="284"/>
      <c r="I38" s="610"/>
      <c r="J38" s="610"/>
      <c r="K38" s="610"/>
      <c r="L38" s="610"/>
      <c r="M38" s="610"/>
      <c r="N38" s="610"/>
      <c r="O38" s="610"/>
      <c r="P38" s="610"/>
    </row>
    <row r="39" spans="1:16" ht="15.75" thickBot="1">
      <c r="A39" s="285">
        <v>30</v>
      </c>
      <c r="B39" s="286" t="s">
        <v>422</v>
      </c>
      <c r="C39" s="178"/>
      <c r="D39" s="162"/>
      <c r="E39" s="162"/>
      <c r="F39" s="287"/>
      <c r="G39" s="288">
        <f>IFERROR(G21/G37,0)</f>
        <v>1.5042873300338639</v>
      </c>
      <c r="I39" s="610"/>
      <c r="J39" s="610"/>
      <c r="K39" s="610"/>
      <c r="L39" s="610"/>
      <c r="M39" s="610"/>
      <c r="N39" s="610"/>
      <c r="O39" s="610"/>
      <c r="P39" s="610"/>
    </row>
    <row r="42" spans="1:16" ht="39">
      <c r="B42" s="17"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P26"/>
  <sheetViews>
    <sheetView showGridLines="0" zoomScale="80" zoomScaleNormal="80" workbookViewId="0"/>
  </sheetViews>
  <sheetFormatPr defaultColWidth="9.28515625" defaultRowHeight="12.75"/>
  <cols>
    <col min="1" max="1" width="11.7109375" style="300" bestFit="1" customWidth="1"/>
    <col min="2" max="2" width="105.28515625" style="300" bestFit="1" customWidth="1"/>
    <col min="3" max="3" width="19.28515625" style="300" bestFit="1" customWidth="1"/>
    <col min="4" max="4" width="19.42578125" style="300" bestFit="1" customWidth="1"/>
    <col min="5" max="6" width="18.5703125" style="300" bestFit="1" customWidth="1"/>
    <col min="7" max="7" width="30.42578125" style="300" customWidth="1"/>
    <col min="8" max="8" width="20.5703125" style="300" bestFit="1" customWidth="1"/>
    <col min="9" max="16384" width="9.28515625" style="300"/>
  </cols>
  <sheetData>
    <row r="1" spans="1:16" ht="13.5">
      <c r="A1" s="299" t="s">
        <v>97</v>
      </c>
      <c r="B1" s="221" t="str">
        <f>Info!C2</f>
        <v>სს "ბანკი ქართუ"</v>
      </c>
    </row>
    <row r="2" spans="1:16">
      <c r="A2" s="299" t="s">
        <v>98</v>
      </c>
      <c r="B2" s="634">
        <f>'1. key ratios'!B2</f>
        <v>46203</v>
      </c>
    </row>
    <row r="3" spans="1:16">
      <c r="A3" s="301" t="s">
        <v>462</v>
      </c>
    </row>
    <row r="5" spans="1:16">
      <c r="A5" s="789" t="s">
        <v>463</v>
      </c>
      <c r="B5" s="790"/>
      <c r="C5" s="795" t="s">
        <v>464</v>
      </c>
      <c r="D5" s="796"/>
      <c r="E5" s="796"/>
      <c r="F5" s="796"/>
      <c r="G5" s="796"/>
      <c r="H5" s="797"/>
    </row>
    <row r="6" spans="1:16">
      <c r="A6" s="791"/>
      <c r="B6" s="792"/>
      <c r="C6" s="798"/>
      <c r="D6" s="799"/>
      <c r="E6" s="799"/>
      <c r="F6" s="799"/>
      <c r="G6" s="799"/>
      <c r="H6" s="800"/>
    </row>
    <row r="7" spans="1:16" ht="25.5">
      <c r="A7" s="793"/>
      <c r="B7" s="794"/>
      <c r="C7" s="383" t="s">
        <v>465</v>
      </c>
      <c r="D7" s="383" t="s">
        <v>466</v>
      </c>
      <c r="E7" s="383" t="s">
        <v>467</v>
      </c>
      <c r="F7" s="383" t="s">
        <v>468</v>
      </c>
      <c r="G7" s="383" t="s">
        <v>648</v>
      </c>
      <c r="H7" s="383" t="s">
        <v>66</v>
      </c>
    </row>
    <row r="8" spans="1:16">
      <c r="A8" s="379">
        <v>1</v>
      </c>
      <c r="B8" s="378" t="s">
        <v>123</v>
      </c>
      <c r="C8" s="692">
        <v>205495532</v>
      </c>
      <c r="D8" s="692">
        <v>886639.35488352005</v>
      </c>
      <c r="E8" s="692">
        <v>21004199.145999998</v>
      </c>
      <c r="F8" s="692">
        <v>0</v>
      </c>
      <c r="G8" s="692">
        <v>0</v>
      </c>
      <c r="H8" s="691">
        <f t="shared" ref="H8:H20" si="0">SUM(C8:G8)</f>
        <v>227386370.50088352</v>
      </c>
      <c r="J8" s="693"/>
      <c r="K8" s="693"/>
      <c r="L8" s="693"/>
      <c r="M8" s="693"/>
      <c r="N8" s="693"/>
      <c r="O8" s="693"/>
      <c r="P8" s="693"/>
    </row>
    <row r="9" spans="1:16">
      <c r="A9" s="379">
        <v>2</v>
      </c>
      <c r="B9" s="378" t="s">
        <v>124</v>
      </c>
      <c r="C9" s="692">
        <v>0</v>
      </c>
      <c r="D9" s="692">
        <v>0</v>
      </c>
      <c r="E9" s="692">
        <v>0</v>
      </c>
      <c r="F9" s="692">
        <v>0</v>
      </c>
      <c r="G9" s="692">
        <v>0</v>
      </c>
      <c r="H9" s="691">
        <f t="shared" si="0"/>
        <v>0</v>
      </c>
      <c r="J9" s="693"/>
      <c r="K9" s="693"/>
      <c r="L9" s="693"/>
      <c r="M9" s="693"/>
      <c r="N9" s="693"/>
      <c r="O9" s="693"/>
    </row>
    <row r="10" spans="1:16">
      <c r="A10" s="379">
        <v>3</v>
      </c>
      <c r="B10" s="378" t="s">
        <v>125</v>
      </c>
      <c r="C10" s="692">
        <v>0</v>
      </c>
      <c r="D10" s="692">
        <v>0</v>
      </c>
      <c r="E10" s="692">
        <v>0</v>
      </c>
      <c r="F10" s="692">
        <v>0</v>
      </c>
      <c r="G10" s="692">
        <v>0</v>
      </c>
      <c r="H10" s="691">
        <f t="shared" si="0"/>
        <v>0</v>
      </c>
      <c r="J10" s="693"/>
      <c r="K10" s="693"/>
      <c r="L10" s="693"/>
      <c r="M10" s="693"/>
      <c r="N10" s="693"/>
      <c r="O10" s="693"/>
    </row>
    <row r="11" spans="1:16">
      <c r="A11" s="379">
        <v>4</v>
      </c>
      <c r="B11" s="378" t="s">
        <v>126</v>
      </c>
      <c r="C11" s="692">
        <v>0</v>
      </c>
      <c r="D11" s="692">
        <v>0</v>
      </c>
      <c r="E11" s="692">
        <v>0</v>
      </c>
      <c r="F11" s="692">
        <v>0</v>
      </c>
      <c r="G11" s="692">
        <v>0</v>
      </c>
      <c r="H11" s="691">
        <f t="shared" si="0"/>
        <v>0</v>
      </c>
      <c r="J11" s="693"/>
      <c r="K11" s="693"/>
      <c r="L11" s="693"/>
      <c r="M11" s="693"/>
      <c r="N11" s="693"/>
      <c r="O11" s="693"/>
    </row>
    <row r="12" spans="1:16">
      <c r="A12" s="379">
        <v>5</v>
      </c>
      <c r="B12" s="378" t="s">
        <v>912</v>
      </c>
      <c r="C12" s="692">
        <v>0</v>
      </c>
      <c r="D12" s="692">
        <v>0</v>
      </c>
      <c r="E12" s="692">
        <v>0</v>
      </c>
      <c r="F12" s="692">
        <v>0</v>
      </c>
      <c r="G12" s="692">
        <v>0</v>
      </c>
      <c r="H12" s="691">
        <f t="shared" si="0"/>
        <v>0</v>
      </c>
      <c r="J12" s="693"/>
      <c r="K12" s="693"/>
      <c r="L12" s="693"/>
      <c r="M12" s="693"/>
      <c r="N12" s="693"/>
      <c r="O12" s="693"/>
    </row>
    <row r="13" spans="1:16">
      <c r="A13" s="379">
        <v>6</v>
      </c>
      <c r="B13" s="378" t="s">
        <v>127</v>
      </c>
      <c r="C13" s="692">
        <v>243527561.83389992</v>
      </c>
      <c r="D13" s="692">
        <v>112674811.06656902</v>
      </c>
      <c r="E13" s="692">
        <v>0</v>
      </c>
      <c r="F13" s="692">
        <v>3141400.6959502525</v>
      </c>
      <c r="G13" s="692">
        <v>0</v>
      </c>
      <c r="H13" s="691">
        <f t="shared" si="0"/>
        <v>359343773.59641922</v>
      </c>
      <c r="J13" s="693"/>
      <c r="K13" s="693"/>
      <c r="L13" s="693"/>
      <c r="M13" s="693"/>
      <c r="N13" s="693"/>
      <c r="O13" s="693"/>
    </row>
    <row r="14" spans="1:16">
      <c r="A14" s="379">
        <v>7</v>
      </c>
      <c r="B14" s="378" t="s">
        <v>71</v>
      </c>
      <c r="C14" s="692">
        <v>0</v>
      </c>
      <c r="D14" s="692">
        <v>441794938.40754926</v>
      </c>
      <c r="E14" s="692">
        <v>327447632.63286752</v>
      </c>
      <c r="F14" s="692">
        <v>391600156.40916973</v>
      </c>
      <c r="G14" s="692">
        <v>20554136.58620619</v>
      </c>
      <c r="H14" s="691">
        <f t="shared" si="0"/>
        <v>1181396864.0357926</v>
      </c>
      <c r="J14" s="693"/>
      <c r="K14" s="693"/>
      <c r="L14" s="693"/>
      <c r="M14" s="693"/>
      <c r="N14" s="693"/>
      <c r="O14" s="693"/>
    </row>
    <row r="15" spans="1:16">
      <c r="A15" s="379">
        <v>8</v>
      </c>
      <c r="B15" s="380" t="s">
        <v>72</v>
      </c>
      <c r="C15" s="692">
        <v>0</v>
      </c>
      <c r="D15" s="692">
        <v>0</v>
      </c>
      <c r="E15" s="692">
        <v>0</v>
      </c>
      <c r="F15" s="692">
        <v>0</v>
      </c>
      <c r="G15" s="692">
        <v>0</v>
      </c>
      <c r="H15" s="691">
        <f t="shared" si="0"/>
        <v>0</v>
      </c>
      <c r="J15" s="693"/>
      <c r="K15" s="693"/>
      <c r="L15" s="693"/>
      <c r="M15" s="693"/>
      <c r="N15" s="693"/>
      <c r="O15" s="693"/>
    </row>
    <row r="16" spans="1:16">
      <c r="A16" s="379">
        <v>9</v>
      </c>
      <c r="B16" s="378" t="s">
        <v>913</v>
      </c>
      <c r="C16" s="692">
        <v>0</v>
      </c>
      <c r="D16" s="692">
        <v>0</v>
      </c>
      <c r="E16" s="692">
        <v>0</v>
      </c>
      <c r="F16" s="692">
        <v>0</v>
      </c>
      <c r="G16" s="692">
        <v>0</v>
      </c>
      <c r="H16" s="691">
        <f t="shared" si="0"/>
        <v>0</v>
      </c>
      <c r="J16" s="693"/>
      <c r="K16" s="693"/>
      <c r="L16" s="693"/>
      <c r="M16" s="693"/>
      <c r="N16" s="693"/>
      <c r="O16" s="693"/>
    </row>
    <row r="17" spans="1:15">
      <c r="A17" s="379">
        <v>10</v>
      </c>
      <c r="B17" s="382" t="s">
        <v>483</v>
      </c>
      <c r="C17" s="692">
        <v>0</v>
      </c>
      <c r="D17" s="692">
        <v>12363502.489039138</v>
      </c>
      <c r="E17" s="692">
        <v>8301227.3961623823</v>
      </c>
      <c r="F17" s="692">
        <v>10768484.009644181</v>
      </c>
      <c r="G17" s="692">
        <v>20240293.782945573</v>
      </c>
      <c r="H17" s="691">
        <f t="shared" si="0"/>
        <v>51673507.677791275</v>
      </c>
      <c r="J17" s="693"/>
      <c r="K17" s="693"/>
      <c r="L17" s="693"/>
      <c r="M17" s="693"/>
      <c r="N17" s="693"/>
      <c r="O17" s="693"/>
    </row>
    <row r="18" spans="1:15">
      <c r="A18" s="379">
        <v>11</v>
      </c>
      <c r="B18" s="378" t="s">
        <v>68</v>
      </c>
      <c r="C18" s="692">
        <v>0</v>
      </c>
      <c r="D18" s="692">
        <v>0</v>
      </c>
      <c r="E18" s="692">
        <v>0</v>
      </c>
      <c r="F18" s="692">
        <v>0</v>
      </c>
      <c r="G18" s="692">
        <v>0</v>
      </c>
      <c r="H18" s="691">
        <f t="shared" si="0"/>
        <v>0</v>
      </c>
      <c r="J18" s="693"/>
      <c r="K18" s="693"/>
      <c r="L18" s="693"/>
      <c r="M18" s="693"/>
      <c r="N18" s="693"/>
      <c r="O18" s="693"/>
    </row>
    <row r="19" spans="1:15">
      <c r="A19" s="379">
        <v>12</v>
      </c>
      <c r="B19" s="378" t="s">
        <v>69</v>
      </c>
      <c r="C19" s="692">
        <v>0</v>
      </c>
      <c r="D19" s="692">
        <v>0</v>
      </c>
      <c r="E19" s="692">
        <v>0</v>
      </c>
      <c r="F19" s="692">
        <v>0</v>
      </c>
      <c r="G19" s="692">
        <v>0</v>
      </c>
      <c r="H19" s="691">
        <f t="shared" si="0"/>
        <v>0</v>
      </c>
      <c r="J19" s="693"/>
      <c r="K19" s="693"/>
      <c r="L19" s="693"/>
      <c r="M19" s="693"/>
      <c r="N19" s="693"/>
      <c r="O19" s="693"/>
    </row>
    <row r="20" spans="1:15">
      <c r="A20" s="381">
        <v>13</v>
      </c>
      <c r="B20" s="380" t="s">
        <v>70</v>
      </c>
      <c r="C20" s="692">
        <v>0</v>
      </c>
      <c r="D20" s="692">
        <v>0</v>
      </c>
      <c r="E20" s="692">
        <v>0</v>
      </c>
      <c r="F20" s="692">
        <v>0</v>
      </c>
      <c r="G20" s="692">
        <v>0</v>
      </c>
      <c r="H20" s="691">
        <f t="shared" si="0"/>
        <v>0</v>
      </c>
      <c r="J20" s="693"/>
      <c r="K20" s="693"/>
      <c r="L20" s="693"/>
      <c r="M20" s="693"/>
      <c r="N20" s="693"/>
      <c r="O20" s="693"/>
    </row>
    <row r="21" spans="1:15">
      <c r="A21" s="379">
        <v>14</v>
      </c>
      <c r="B21" s="378" t="s">
        <v>469</v>
      </c>
      <c r="C21" s="692">
        <v>50852616.649999999</v>
      </c>
      <c r="D21" s="692">
        <v>6039179.554729823</v>
      </c>
      <c r="E21" s="692">
        <v>5040700.6101258611</v>
      </c>
      <c r="F21" s="692">
        <v>28367986.81124533</v>
      </c>
      <c r="G21" s="692">
        <v>88397484.78859812</v>
      </c>
      <c r="H21" s="691">
        <f>SUM(C21:G21)</f>
        <v>178697968.41469914</v>
      </c>
      <c r="J21" s="693"/>
      <c r="K21" s="693"/>
      <c r="L21" s="693"/>
      <c r="M21" s="693"/>
      <c r="N21" s="693"/>
      <c r="O21" s="693"/>
    </row>
    <row r="22" spans="1:15">
      <c r="A22" s="377">
        <v>15</v>
      </c>
      <c r="B22" s="376" t="s">
        <v>66</v>
      </c>
      <c r="C22" s="691">
        <f>SUM(C18:C21)+SUM(C8:C16)</f>
        <v>499875710.48389989</v>
      </c>
      <c r="D22" s="691">
        <f t="shared" ref="D22:H22" si="1">SUM(D18:D21)+SUM(D8:D16)</f>
        <v>561395568.3837316</v>
      </c>
      <c r="E22" s="691">
        <f t="shared" si="1"/>
        <v>353492532.38899332</v>
      </c>
      <c r="F22" s="691">
        <f t="shared" si="1"/>
        <v>423109543.91636533</v>
      </c>
      <c r="G22" s="691">
        <f t="shared" si="1"/>
        <v>108951621.37480432</v>
      </c>
      <c r="H22" s="691">
        <f t="shared" si="1"/>
        <v>1946824976.5477943</v>
      </c>
      <c r="J22" s="693"/>
      <c r="K22" s="693"/>
      <c r="L22" s="693"/>
      <c r="M22" s="693"/>
      <c r="N22" s="693"/>
      <c r="O22" s="693"/>
    </row>
    <row r="26" spans="1:15" ht="38.25">
      <c r="B26" s="316"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P26"/>
  <sheetViews>
    <sheetView showGridLines="0" zoomScale="80" zoomScaleNormal="80" workbookViewId="0"/>
  </sheetViews>
  <sheetFormatPr defaultColWidth="9.28515625" defaultRowHeight="12.75"/>
  <cols>
    <col min="1" max="1" width="11.7109375" style="302" bestFit="1" customWidth="1"/>
    <col min="2" max="2" width="86.7109375" style="300" customWidth="1"/>
    <col min="3" max="4" width="31.5703125" style="300" customWidth="1"/>
    <col min="5" max="5" width="16.42578125" style="300" bestFit="1" customWidth="1"/>
    <col min="6" max="6" width="14.28515625" style="300" bestFit="1" customWidth="1"/>
    <col min="7" max="7" width="20" style="300" bestFit="1" customWidth="1"/>
    <col min="8" max="8" width="25.28515625" style="300" bestFit="1" customWidth="1"/>
    <col min="9" max="16384" width="9.28515625" style="300"/>
  </cols>
  <sheetData>
    <row r="1" spans="1:16" ht="13.5">
      <c r="A1" s="299" t="s">
        <v>97</v>
      </c>
      <c r="B1" s="221" t="str">
        <f>Info!C2</f>
        <v>სს "ბანკი ქართუ"</v>
      </c>
      <c r="C1" s="394"/>
      <c r="D1" s="394"/>
      <c r="E1" s="394"/>
      <c r="F1" s="394"/>
      <c r="G1" s="394"/>
      <c r="H1" s="394"/>
    </row>
    <row r="2" spans="1:16">
      <c r="A2" s="299" t="s">
        <v>98</v>
      </c>
      <c r="B2" s="634">
        <f>'1. key ratios'!B2</f>
        <v>46203</v>
      </c>
      <c r="C2" s="394"/>
      <c r="D2" s="394"/>
      <c r="E2" s="394"/>
      <c r="F2" s="394"/>
      <c r="G2" s="394"/>
      <c r="H2" s="394"/>
    </row>
    <row r="3" spans="1:16">
      <c r="A3" s="301" t="s">
        <v>470</v>
      </c>
      <c r="B3" s="394"/>
      <c r="C3" s="394"/>
      <c r="D3" s="394"/>
      <c r="E3" s="394"/>
      <c r="F3" s="394"/>
      <c r="G3" s="394"/>
      <c r="H3" s="394"/>
    </row>
    <row r="4" spans="1:16">
      <c r="A4" s="395"/>
      <c r="B4" s="394"/>
      <c r="C4" s="393" t="s">
        <v>471</v>
      </c>
      <c r="D4" s="393" t="s">
        <v>472</v>
      </c>
      <c r="E4" s="393" t="s">
        <v>473</v>
      </c>
      <c r="F4" s="393" t="s">
        <v>474</v>
      </c>
      <c r="G4" s="393" t="s">
        <v>475</v>
      </c>
      <c r="H4" s="393" t="s">
        <v>476</v>
      </c>
    </row>
    <row r="5" spans="1:16" ht="34.15" customHeight="1">
      <c r="A5" s="789" t="s">
        <v>835</v>
      </c>
      <c r="B5" s="790"/>
      <c r="C5" s="803" t="s">
        <v>565</v>
      </c>
      <c r="D5" s="803"/>
      <c r="E5" s="803" t="s">
        <v>834</v>
      </c>
      <c r="F5" s="801" t="s">
        <v>833</v>
      </c>
      <c r="G5" s="801" t="s">
        <v>480</v>
      </c>
      <c r="H5" s="391" t="s">
        <v>832</v>
      </c>
    </row>
    <row r="6" spans="1:16" ht="25.5">
      <c r="A6" s="793"/>
      <c r="B6" s="794"/>
      <c r="C6" s="392" t="s">
        <v>481</v>
      </c>
      <c r="D6" s="392" t="s">
        <v>482</v>
      </c>
      <c r="E6" s="803"/>
      <c r="F6" s="802"/>
      <c r="G6" s="802"/>
      <c r="H6" s="391" t="s">
        <v>831</v>
      </c>
    </row>
    <row r="7" spans="1:16">
      <c r="A7" s="389">
        <v>1</v>
      </c>
      <c r="B7" s="378" t="s">
        <v>123</v>
      </c>
      <c r="C7" s="695">
        <v>0</v>
      </c>
      <c r="D7" s="695">
        <v>227474709.27469999</v>
      </c>
      <c r="E7" s="695">
        <v>88339.16042647112</v>
      </c>
      <c r="F7" s="695">
        <v>0</v>
      </c>
      <c r="G7" s="695">
        <v>0</v>
      </c>
      <c r="H7" s="696">
        <f t="shared" ref="H7:H20" si="0">C7+D7-E7-F7</f>
        <v>227386370.11427352</v>
      </c>
      <c r="J7" s="694"/>
      <c r="K7" s="694"/>
      <c r="L7" s="694"/>
      <c r="M7" s="694"/>
      <c r="N7" s="694"/>
      <c r="O7" s="694"/>
      <c r="P7" s="694"/>
    </row>
    <row r="8" spans="1:16" ht="14.65" customHeight="1">
      <c r="A8" s="389">
        <v>2</v>
      </c>
      <c r="B8" s="378" t="s">
        <v>124</v>
      </c>
      <c r="C8" s="695">
        <v>0</v>
      </c>
      <c r="D8" s="695">
        <v>0</v>
      </c>
      <c r="E8" s="695">
        <v>0</v>
      </c>
      <c r="F8" s="695">
        <v>0</v>
      </c>
      <c r="G8" s="695">
        <v>0</v>
      </c>
      <c r="H8" s="696">
        <f t="shared" si="0"/>
        <v>0</v>
      </c>
      <c r="J8" s="694"/>
      <c r="K8" s="694"/>
      <c r="L8" s="694"/>
      <c r="M8" s="694"/>
      <c r="N8" s="694"/>
      <c r="O8" s="694"/>
    </row>
    <row r="9" spans="1:16">
      <c r="A9" s="389">
        <v>3</v>
      </c>
      <c r="B9" s="378" t="s">
        <v>125</v>
      </c>
      <c r="C9" s="695">
        <v>0</v>
      </c>
      <c r="D9" s="695">
        <v>0</v>
      </c>
      <c r="E9" s="695">
        <v>0</v>
      </c>
      <c r="F9" s="695">
        <v>0</v>
      </c>
      <c r="G9" s="695">
        <v>0</v>
      </c>
      <c r="H9" s="696">
        <f t="shared" si="0"/>
        <v>0</v>
      </c>
      <c r="J9" s="694"/>
      <c r="K9" s="694"/>
      <c r="L9" s="694"/>
      <c r="M9" s="694"/>
      <c r="N9" s="694"/>
      <c r="O9" s="694"/>
    </row>
    <row r="10" spans="1:16">
      <c r="A10" s="389">
        <v>4</v>
      </c>
      <c r="B10" s="378" t="s">
        <v>126</v>
      </c>
      <c r="C10" s="695">
        <v>0</v>
      </c>
      <c r="D10" s="695">
        <v>0</v>
      </c>
      <c r="E10" s="695">
        <v>0</v>
      </c>
      <c r="F10" s="695">
        <v>0</v>
      </c>
      <c r="G10" s="695">
        <v>0</v>
      </c>
      <c r="H10" s="696">
        <f t="shared" si="0"/>
        <v>0</v>
      </c>
      <c r="J10" s="694"/>
      <c r="K10" s="694"/>
      <c r="L10" s="694"/>
      <c r="M10" s="694"/>
      <c r="N10" s="694"/>
      <c r="O10" s="694"/>
    </row>
    <row r="11" spans="1:16">
      <c r="A11" s="389">
        <v>5</v>
      </c>
      <c r="B11" s="378" t="s">
        <v>912</v>
      </c>
      <c r="C11" s="695">
        <v>0</v>
      </c>
      <c r="D11" s="695">
        <v>0</v>
      </c>
      <c r="E11" s="695">
        <v>0</v>
      </c>
      <c r="F11" s="695">
        <v>0</v>
      </c>
      <c r="G11" s="695">
        <v>0</v>
      </c>
      <c r="H11" s="696">
        <f t="shared" si="0"/>
        <v>0</v>
      </c>
      <c r="J11" s="694"/>
      <c r="K11" s="694"/>
      <c r="L11" s="694"/>
      <c r="M11" s="694"/>
      <c r="N11" s="694"/>
      <c r="O11" s="694"/>
    </row>
    <row r="12" spans="1:16">
      <c r="A12" s="389">
        <v>6</v>
      </c>
      <c r="B12" s="378" t="s">
        <v>127</v>
      </c>
      <c r="C12" s="695">
        <v>0</v>
      </c>
      <c r="D12" s="695">
        <v>359408060.27428883</v>
      </c>
      <c r="E12" s="695">
        <v>64286.694469717673</v>
      </c>
      <c r="F12" s="695">
        <v>0</v>
      </c>
      <c r="G12" s="695">
        <v>0</v>
      </c>
      <c r="H12" s="696">
        <f t="shared" si="0"/>
        <v>359343773.57981914</v>
      </c>
      <c r="J12" s="694"/>
      <c r="K12" s="694"/>
      <c r="L12" s="694"/>
      <c r="M12" s="694"/>
      <c r="N12" s="694"/>
      <c r="O12" s="694"/>
    </row>
    <row r="13" spans="1:16">
      <c r="A13" s="389">
        <v>7</v>
      </c>
      <c r="B13" s="378" t="s">
        <v>71</v>
      </c>
      <c r="C13" s="695">
        <v>83551002.559915483</v>
      </c>
      <c r="D13" s="695">
        <v>1131622775.8004825</v>
      </c>
      <c r="E13" s="695">
        <v>33776914.324606232</v>
      </c>
      <c r="F13" s="695">
        <v>0</v>
      </c>
      <c r="G13" s="695">
        <v>0</v>
      </c>
      <c r="H13" s="696">
        <f t="shared" si="0"/>
        <v>1181396864.0357919</v>
      </c>
      <c r="J13" s="694"/>
      <c r="K13" s="694"/>
      <c r="L13" s="694"/>
      <c r="M13" s="694"/>
      <c r="N13" s="694"/>
      <c r="O13" s="694"/>
    </row>
    <row r="14" spans="1:16">
      <c r="A14" s="389">
        <v>8</v>
      </c>
      <c r="B14" s="380" t="s">
        <v>72</v>
      </c>
      <c r="C14" s="695">
        <v>0</v>
      </c>
      <c r="D14" s="695">
        <v>0</v>
      </c>
      <c r="E14" s="695">
        <v>0</v>
      </c>
      <c r="F14" s="695">
        <v>0</v>
      </c>
      <c r="G14" s="695">
        <v>0</v>
      </c>
      <c r="H14" s="696">
        <f t="shared" si="0"/>
        <v>0</v>
      </c>
      <c r="J14" s="694"/>
      <c r="K14" s="694"/>
      <c r="L14" s="694"/>
      <c r="M14" s="694"/>
      <c r="N14" s="694"/>
      <c r="O14" s="694"/>
    </row>
    <row r="15" spans="1:16">
      <c r="A15" s="389">
        <v>9</v>
      </c>
      <c r="B15" s="378" t="s">
        <v>913</v>
      </c>
      <c r="C15" s="695">
        <v>0</v>
      </c>
      <c r="D15" s="695">
        <v>0</v>
      </c>
      <c r="E15" s="695">
        <v>0</v>
      </c>
      <c r="F15" s="695">
        <v>0</v>
      </c>
      <c r="G15" s="695">
        <v>0</v>
      </c>
      <c r="H15" s="696">
        <f t="shared" si="0"/>
        <v>0</v>
      </c>
      <c r="J15" s="694"/>
      <c r="K15" s="694"/>
      <c r="L15" s="694"/>
      <c r="M15" s="694"/>
      <c r="N15" s="694"/>
      <c r="O15" s="694"/>
    </row>
    <row r="16" spans="1:16">
      <c r="A16" s="389">
        <v>10</v>
      </c>
      <c r="B16" s="382" t="s">
        <v>483</v>
      </c>
      <c r="C16" s="695">
        <v>68732834.431661263</v>
      </c>
      <c r="D16" s="695">
        <v>0</v>
      </c>
      <c r="E16" s="695">
        <v>17059326.753869995</v>
      </c>
      <c r="F16" s="695">
        <v>0</v>
      </c>
      <c r="G16" s="695">
        <v>0</v>
      </c>
      <c r="H16" s="696">
        <f t="shared" si="0"/>
        <v>51673507.677791268</v>
      </c>
      <c r="J16" s="694"/>
      <c r="K16" s="694"/>
      <c r="L16" s="694"/>
      <c r="M16" s="694"/>
      <c r="N16" s="694"/>
      <c r="O16" s="694"/>
    </row>
    <row r="17" spans="1:15">
      <c r="A17" s="389">
        <v>11</v>
      </c>
      <c r="B17" s="378" t="s">
        <v>68</v>
      </c>
      <c r="C17" s="695">
        <v>0</v>
      </c>
      <c r="D17" s="695">
        <v>0</v>
      </c>
      <c r="E17" s="695">
        <v>0</v>
      </c>
      <c r="F17" s="695">
        <v>0</v>
      </c>
      <c r="G17" s="695">
        <v>0</v>
      </c>
      <c r="H17" s="696">
        <f t="shared" si="0"/>
        <v>0</v>
      </c>
      <c r="J17" s="694"/>
      <c r="K17" s="694"/>
      <c r="L17" s="694"/>
      <c r="M17" s="694"/>
      <c r="N17" s="694"/>
      <c r="O17" s="694"/>
    </row>
    <row r="18" spans="1:15">
      <c r="A18" s="389">
        <v>12</v>
      </c>
      <c r="B18" s="378" t="s">
        <v>69</v>
      </c>
      <c r="C18" s="695">
        <v>0</v>
      </c>
      <c r="D18" s="695">
        <v>0</v>
      </c>
      <c r="E18" s="695">
        <v>0</v>
      </c>
      <c r="F18" s="695">
        <v>0</v>
      </c>
      <c r="G18" s="695">
        <v>0</v>
      </c>
      <c r="H18" s="696">
        <f t="shared" si="0"/>
        <v>0</v>
      </c>
      <c r="J18" s="694"/>
      <c r="K18" s="694"/>
      <c r="L18" s="694"/>
      <c r="M18" s="694"/>
      <c r="N18" s="694"/>
      <c r="O18" s="694"/>
    </row>
    <row r="19" spans="1:15">
      <c r="A19" s="390">
        <v>13</v>
      </c>
      <c r="B19" s="380" t="s">
        <v>70</v>
      </c>
      <c r="C19" s="695">
        <v>0</v>
      </c>
      <c r="D19" s="695">
        <v>0</v>
      </c>
      <c r="E19" s="695">
        <v>0</v>
      </c>
      <c r="F19" s="695">
        <v>0</v>
      </c>
      <c r="G19" s="695">
        <v>0</v>
      </c>
      <c r="H19" s="696">
        <f t="shared" si="0"/>
        <v>0</v>
      </c>
      <c r="J19" s="694"/>
      <c r="K19" s="694"/>
      <c r="L19" s="694"/>
      <c r="M19" s="694"/>
      <c r="N19" s="694"/>
      <c r="O19" s="694"/>
    </row>
    <row r="20" spans="1:15">
      <c r="A20" s="389">
        <v>14</v>
      </c>
      <c r="B20" s="378" t="s">
        <v>469</v>
      </c>
      <c r="C20" s="695">
        <v>2509531.5293107736</v>
      </c>
      <c r="D20" s="695">
        <v>192350291.82611436</v>
      </c>
      <c r="E20" s="695">
        <v>703248.60072595044</v>
      </c>
      <c r="F20" s="695">
        <v>0</v>
      </c>
      <c r="G20" s="695">
        <v>0</v>
      </c>
      <c r="H20" s="696">
        <f t="shared" si="0"/>
        <v>194156574.75469917</v>
      </c>
      <c r="J20" s="694"/>
      <c r="K20" s="694"/>
      <c r="L20" s="694"/>
      <c r="M20" s="694"/>
      <c r="N20" s="694"/>
      <c r="O20" s="694"/>
    </row>
    <row r="21" spans="1:15" s="303" customFormat="1">
      <c r="A21" s="388">
        <v>15</v>
      </c>
      <c r="B21" s="387" t="s">
        <v>66</v>
      </c>
      <c r="C21" s="697">
        <f t="shared" ref="C21:H21" si="1">SUM(C7:C15)+SUM(C17:C20)</f>
        <v>86060534.089226261</v>
      </c>
      <c r="D21" s="697">
        <f t="shared" si="1"/>
        <v>1910855837.1755857</v>
      </c>
      <c r="E21" s="697">
        <f t="shared" si="1"/>
        <v>34632788.780228369</v>
      </c>
      <c r="F21" s="697">
        <f t="shared" si="1"/>
        <v>0</v>
      </c>
      <c r="G21" s="697">
        <f t="shared" si="1"/>
        <v>0</v>
      </c>
      <c r="H21" s="696">
        <f t="shared" si="1"/>
        <v>1962283582.4845839</v>
      </c>
      <c r="J21" s="694"/>
      <c r="K21" s="694"/>
      <c r="L21" s="694"/>
      <c r="M21" s="694"/>
      <c r="N21" s="694"/>
      <c r="O21" s="694"/>
    </row>
    <row r="22" spans="1:15">
      <c r="A22" s="386">
        <v>16</v>
      </c>
      <c r="B22" s="385" t="s">
        <v>484</v>
      </c>
      <c r="C22" s="695">
        <v>85671873.179226413</v>
      </c>
      <c r="D22" s="695">
        <v>1113956174.1193857</v>
      </c>
      <c r="E22" s="695">
        <v>33601867.28593722</v>
      </c>
      <c r="F22" s="695">
        <v>0</v>
      </c>
      <c r="G22" s="695">
        <v>0</v>
      </c>
      <c r="H22" s="696">
        <f>C22+D22-E22-F22</f>
        <v>1166026180.0126748</v>
      </c>
      <c r="J22" s="694"/>
      <c r="K22" s="694"/>
      <c r="L22" s="694"/>
      <c r="M22" s="694"/>
      <c r="N22" s="694"/>
      <c r="O22" s="694"/>
    </row>
    <row r="23" spans="1:15">
      <c r="A23" s="386">
        <v>17</v>
      </c>
      <c r="B23" s="385" t="s">
        <v>485</v>
      </c>
      <c r="C23" s="695">
        <v>0</v>
      </c>
      <c r="D23" s="695">
        <v>76884177.489999995</v>
      </c>
      <c r="E23" s="695">
        <v>746143.32493188314</v>
      </c>
      <c r="F23" s="695">
        <v>0</v>
      </c>
      <c r="G23" s="695">
        <v>0</v>
      </c>
      <c r="H23" s="696">
        <f>C23+D23-E23-F23</f>
        <v>76138034.165068105</v>
      </c>
      <c r="J23" s="694"/>
      <c r="K23" s="694"/>
      <c r="L23" s="694"/>
      <c r="M23" s="694"/>
      <c r="N23" s="694"/>
      <c r="O23" s="694"/>
    </row>
    <row r="26" spans="1:15" ht="42.4" customHeight="1">
      <c r="B26" s="316"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O36"/>
  <sheetViews>
    <sheetView showGridLines="0" zoomScale="80" zoomScaleNormal="80" workbookViewId="0"/>
  </sheetViews>
  <sheetFormatPr defaultColWidth="9.28515625" defaultRowHeight="12.75"/>
  <cols>
    <col min="1" max="1" width="11" style="300" bestFit="1" customWidth="1"/>
    <col min="2" max="2" width="93.42578125" style="300" customWidth="1"/>
    <col min="3" max="4" width="35" style="300" customWidth="1"/>
    <col min="5" max="7" width="22" style="300" customWidth="1"/>
    <col min="8" max="8" width="42.28515625" style="300" bestFit="1" customWidth="1"/>
    <col min="9" max="9" width="9.28515625" style="300"/>
    <col min="10" max="10" width="15.28515625" style="300" bestFit="1" customWidth="1"/>
    <col min="11" max="11" width="17.7109375" style="300" bestFit="1" customWidth="1"/>
    <col min="12" max="12" width="15" style="300" bestFit="1" customWidth="1"/>
    <col min="13" max="14" width="9.42578125" style="300" bestFit="1" customWidth="1"/>
    <col min="15" max="15" width="17" style="300" bestFit="1" customWidth="1"/>
    <col min="16" max="16384" width="9.28515625" style="300"/>
  </cols>
  <sheetData>
    <row r="1" spans="1:15" ht="13.5">
      <c r="A1" s="299" t="s">
        <v>97</v>
      </c>
      <c r="B1" s="221" t="str">
        <f>Info!C2</f>
        <v>სს "ბანკი ქართუ"</v>
      </c>
      <c r="C1" s="394"/>
      <c r="D1" s="394"/>
      <c r="E1" s="394"/>
      <c r="F1" s="394"/>
      <c r="G1" s="394"/>
      <c r="H1" s="394"/>
    </row>
    <row r="2" spans="1:15">
      <c r="A2" s="299" t="s">
        <v>98</v>
      </c>
      <c r="B2" s="634">
        <f>'1. key ratios'!B2</f>
        <v>46203</v>
      </c>
      <c r="C2" s="394"/>
      <c r="D2" s="394"/>
      <c r="E2" s="394"/>
      <c r="F2" s="394"/>
      <c r="G2" s="394"/>
      <c r="H2" s="394"/>
    </row>
    <row r="3" spans="1:15">
      <c r="A3" s="301" t="s">
        <v>486</v>
      </c>
      <c r="B3" s="394"/>
      <c r="C3" s="394"/>
      <c r="D3" s="394"/>
      <c r="E3" s="394"/>
      <c r="F3" s="394"/>
      <c r="G3" s="394"/>
      <c r="H3" s="394"/>
    </row>
    <row r="4" spans="1:15">
      <c r="A4" s="394"/>
      <c r="B4" s="394"/>
      <c r="C4" s="393" t="s">
        <v>471</v>
      </c>
      <c r="D4" s="393" t="s">
        <v>472</v>
      </c>
      <c r="E4" s="393" t="s">
        <v>473</v>
      </c>
      <c r="F4" s="393" t="s">
        <v>474</v>
      </c>
      <c r="G4" s="393" t="s">
        <v>475</v>
      </c>
      <c r="H4" s="393" t="s">
        <v>476</v>
      </c>
    </row>
    <row r="5" spans="1:15" ht="41.65" customHeight="1">
      <c r="A5" s="789" t="s">
        <v>837</v>
      </c>
      <c r="B5" s="790"/>
      <c r="C5" s="804" t="s">
        <v>565</v>
      </c>
      <c r="D5" s="805"/>
      <c r="E5" s="801" t="s">
        <v>834</v>
      </c>
      <c r="F5" s="801" t="s">
        <v>833</v>
      </c>
      <c r="G5" s="801" t="s">
        <v>480</v>
      </c>
      <c r="H5" s="391" t="s">
        <v>832</v>
      </c>
    </row>
    <row r="6" spans="1:15" ht="25.5">
      <c r="A6" s="793"/>
      <c r="B6" s="794"/>
      <c r="C6" s="392" t="s">
        <v>481</v>
      </c>
      <c r="D6" s="392" t="s">
        <v>482</v>
      </c>
      <c r="E6" s="802"/>
      <c r="F6" s="802"/>
      <c r="G6" s="802"/>
      <c r="H6" s="391" t="s">
        <v>831</v>
      </c>
    </row>
    <row r="7" spans="1:15">
      <c r="A7" s="384">
        <v>1</v>
      </c>
      <c r="B7" s="397" t="s">
        <v>487</v>
      </c>
      <c r="C7" s="695">
        <v>447443.82528373064</v>
      </c>
      <c r="D7" s="695">
        <v>234452818.03236717</v>
      </c>
      <c r="E7" s="695">
        <v>261757.96990690427</v>
      </c>
      <c r="F7" s="695">
        <v>0</v>
      </c>
      <c r="G7" s="695">
        <v>0</v>
      </c>
      <c r="H7" s="696">
        <f t="shared" ref="H7:H34" si="0">C7+D7-E7-F7</f>
        <v>234638503.88774401</v>
      </c>
      <c r="J7" s="694"/>
      <c r="K7" s="694"/>
      <c r="L7" s="694"/>
      <c r="M7" s="694"/>
      <c r="N7" s="694"/>
      <c r="O7" s="694"/>
    </row>
    <row r="8" spans="1:15">
      <c r="A8" s="384">
        <v>2</v>
      </c>
      <c r="B8" s="397" t="s">
        <v>488</v>
      </c>
      <c r="C8" s="695">
        <v>150339.66653099994</v>
      </c>
      <c r="D8" s="695">
        <v>403256792.62962615</v>
      </c>
      <c r="E8" s="695">
        <v>505518.75194908201</v>
      </c>
      <c r="F8" s="695">
        <v>0</v>
      </c>
      <c r="G8" s="695">
        <v>0</v>
      </c>
      <c r="H8" s="696">
        <f t="shared" si="0"/>
        <v>402901613.54420811</v>
      </c>
      <c r="J8" s="694"/>
      <c r="K8" s="694"/>
      <c r="L8" s="694"/>
      <c r="M8" s="694"/>
      <c r="N8" s="694"/>
      <c r="O8" s="694"/>
    </row>
    <row r="9" spans="1:15">
      <c r="A9" s="384">
        <v>3</v>
      </c>
      <c r="B9" s="397" t="s">
        <v>836</v>
      </c>
      <c r="C9" s="695">
        <v>0</v>
      </c>
      <c r="D9" s="695">
        <v>0</v>
      </c>
      <c r="E9" s="695">
        <v>0</v>
      </c>
      <c r="F9" s="695">
        <v>0</v>
      </c>
      <c r="G9" s="695">
        <v>0</v>
      </c>
      <c r="H9" s="696">
        <f t="shared" si="0"/>
        <v>0</v>
      </c>
      <c r="J9" s="694"/>
      <c r="K9" s="694"/>
      <c r="L9" s="694"/>
      <c r="M9" s="694"/>
      <c r="N9" s="694"/>
      <c r="O9" s="694"/>
    </row>
    <row r="10" spans="1:15">
      <c r="A10" s="384">
        <v>4</v>
      </c>
      <c r="B10" s="397" t="s">
        <v>489</v>
      </c>
      <c r="C10" s="695">
        <v>14582191.458164824</v>
      </c>
      <c r="D10" s="695">
        <v>86974637.756731719</v>
      </c>
      <c r="E10" s="695">
        <v>504270.2297418582</v>
      </c>
      <c r="F10" s="695">
        <v>0</v>
      </c>
      <c r="G10" s="695">
        <v>0</v>
      </c>
      <c r="H10" s="696">
        <f t="shared" si="0"/>
        <v>101052558.98515469</v>
      </c>
      <c r="J10" s="694"/>
      <c r="K10" s="694"/>
      <c r="L10" s="694"/>
      <c r="M10" s="694"/>
      <c r="N10" s="694"/>
      <c r="O10" s="694"/>
    </row>
    <row r="11" spans="1:15">
      <c r="A11" s="384">
        <v>5</v>
      </c>
      <c r="B11" s="397" t="s">
        <v>490</v>
      </c>
      <c r="C11" s="695">
        <v>968623.53833899996</v>
      </c>
      <c r="D11" s="695">
        <v>91450706.11730437</v>
      </c>
      <c r="E11" s="695">
        <v>403679.41288461443</v>
      </c>
      <c r="F11" s="695">
        <v>0</v>
      </c>
      <c r="G11" s="695">
        <v>0</v>
      </c>
      <c r="H11" s="696">
        <f t="shared" si="0"/>
        <v>92015650.242758766</v>
      </c>
      <c r="J11" s="694"/>
      <c r="K11" s="694"/>
      <c r="L11" s="694"/>
      <c r="M11" s="694"/>
      <c r="N11" s="694"/>
      <c r="O11" s="694"/>
    </row>
    <row r="12" spans="1:15">
      <c r="A12" s="384">
        <v>6</v>
      </c>
      <c r="B12" s="397" t="s">
        <v>491</v>
      </c>
      <c r="C12" s="695">
        <v>0</v>
      </c>
      <c r="D12" s="695">
        <v>28545149.058125388</v>
      </c>
      <c r="E12" s="695">
        <v>102652.54966987473</v>
      </c>
      <c r="F12" s="695">
        <v>0</v>
      </c>
      <c r="G12" s="695">
        <v>0</v>
      </c>
      <c r="H12" s="696">
        <f t="shared" si="0"/>
        <v>28442496.508455515</v>
      </c>
      <c r="J12" s="694"/>
      <c r="K12" s="694"/>
      <c r="L12" s="694"/>
      <c r="M12" s="694"/>
      <c r="N12" s="694"/>
      <c r="O12" s="694"/>
    </row>
    <row r="13" spans="1:15">
      <c r="A13" s="384">
        <v>7</v>
      </c>
      <c r="B13" s="397" t="s">
        <v>492</v>
      </c>
      <c r="C13" s="695">
        <v>1894400.1203648492</v>
      </c>
      <c r="D13" s="695">
        <v>32251437.45670975</v>
      </c>
      <c r="E13" s="695">
        <v>222238.59544123686</v>
      </c>
      <c r="F13" s="695">
        <v>0</v>
      </c>
      <c r="G13" s="695">
        <v>0</v>
      </c>
      <c r="H13" s="696">
        <f t="shared" si="0"/>
        <v>33923598.981633365</v>
      </c>
      <c r="J13" s="694"/>
      <c r="K13" s="694"/>
      <c r="L13" s="694"/>
      <c r="M13" s="694"/>
      <c r="N13" s="694"/>
      <c r="O13" s="694"/>
    </row>
    <row r="14" spans="1:15">
      <c r="A14" s="384">
        <v>8</v>
      </c>
      <c r="B14" s="397" t="s">
        <v>493</v>
      </c>
      <c r="C14" s="695">
        <v>838030.86805927078</v>
      </c>
      <c r="D14" s="695">
        <v>17529632.540162422</v>
      </c>
      <c r="E14" s="695">
        <v>365486.71097695525</v>
      </c>
      <c r="F14" s="695">
        <v>0</v>
      </c>
      <c r="G14" s="695">
        <v>0</v>
      </c>
      <c r="H14" s="696">
        <f t="shared" si="0"/>
        <v>18002176.697244737</v>
      </c>
      <c r="J14" s="694"/>
      <c r="K14" s="694"/>
      <c r="L14" s="694"/>
      <c r="M14" s="694"/>
      <c r="N14" s="694"/>
      <c r="O14" s="694"/>
    </row>
    <row r="15" spans="1:15">
      <c r="A15" s="384">
        <v>9</v>
      </c>
      <c r="B15" s="397" t="s">
        <v>494</v>
      </c>
      <c r="C15" s="695">
        <v>3022944.5615385678</v>
      </c>
      <c r="D15" s="695">
        <v>230390390.43309909</v>
      </c>
      <c r="E15" s="695">
        <v>2439952.9243705254</v>
      </c>
      <c r="F15" s="695">
        <v>0</v>
      </c>
      <c r="G15" s="695">
        <v>0</v>
      </c>
      <c r="H15" s="696">
        <f t="shared" si="0"/>
        <v>230973382.07026714</v>
      </c>
      <c r="J15" s="694"/>
      <c r="K15" s="694"/>
      <c r="L15" s="694"/>
      <c r="M15" s="694"/>
      <c r="N15" s="694"/>
      <c r="O15" s="694"/>
    </row>
    <row r="16" spans="1:15">
      <c r="A16" s="384">
        <v>10</v>
      </c>
      <c r="B16" s="397" t="s">
        <v>495</v>
      </c>
      <c r="C16" s="695">
        <v>0</v>
      </c>
      <c r="D16" s="695">
        <v>5757599.0050245943</v>
      </c>
      <c r="E16" s="695">
        <v>17006.653793228685</v>
      </c>
      <c r="F16" s="695">
        <v>0</v>
      </c>
      <c r="G16" s="695">
        <v>0</v>
      </c>
      <c r="H16" s="696">
        <f t="shared" si="0"/>
        <v>5740592.3512313655</v>
      </c>
      <c r="J16" s="694"/>
      <c r="K16" s="694"/>
      <c r="L16" s="694"/>
      <c r="M16" s="694"/>
      <c r="N16" s="694"/>
      <c r="O16" s="694"/>
    </row>
    <row r="17" spans="1:15">
      <c r="A17" s="384">
        <v>11</v>
      </c>
      <c r="B17" s="397" t="s">
        <v>496</v>
      </c>
      <c r="C17" s="695">
        <v>0</v>
      </c>
      <c r="D17" s="695">
        <v>510642.93999999994</v>
      </c>
      <c r="E17" s="695">
        <v>62.223690487935279</v>
      </c>
      <c r="F17" s="695">
        <v>0</v>
      </c>
      <c r="G17" s="695">
        <v>0</v>
      </c>
      <c r="H17" s="696">
        <f t="shared" si="0"/>
        <v>510580.71630951203</v>
      </c>
      <c r="J17" s="694"/>
      <c r="K17" s="694"/>
      <c r="L17" s="694"/>
      <c r="M17" s="694"/>
      <c r="N17" s="694"/>
      <c r="O17" s="694"/>
    </row>
    <row r="18" spans="1:15">
      <c r="A18" s="384">
        <v>12</v>
      </c>
      <c r="B18" s="397" t="s">
        <v>497</v>
      </c>
      <c r="C18" s="695">
        <v>26172118.119047739</v>
      </c>
      <c r="D18" s="695">
        <v>32943182.442405347</v>
      </c>
      <c r="E18" s="695">
        <v>11595614.728752906</v>
      </c>
      <c r="F18" s="695">
        <v>0</v>
      </c>
      <c r="G18" s="695">
        <v>0</v>
      </c>
      <c r="H18" s="696">
        <f t="shared" si="0"/>
        <v>47519685.832700185</v>
      </c>
      <c r="J18" s="694"/>
      <c r="K18" s="694"/>
      <c r="L18" s="694"/>
      <c r="M18" s="694"/>
      <c r="N18" s="694"/>
      <c r="O18" s="694"/>
    </row>
    <row r="19" spans="1:15">
      <c r="A19" s="384">
        <v>13</v>
      </c>
      <c r="B19" s="397" t="s">
        <v>498</v>
      </c>
      <c r="C19" s="695">
        <v>3144367.2157805613</v>
      </c>
      <c r="D19" s="695">
        <v>11607767.364626449</v>
      </c>
      <c r="E19" s="695">
        <v>1679590.6375970566</v>
      </c>
      <c r="F19" s="695">
        <v>0</v>
      </c>
      <c r="G19" s="695">
        <v>0</v>
      </c>
      <c r="H19" s="696">
        <f t="shared" si="0"/>
        <v>13072543.942809954</v>
      </c>
      <c r="J19" s="694"/>
      <c r="K19" s="694"/>
      <c r="L19" s="694"/>
      <c r="M19" s="694"/>
      <c r="N19" s="694"/>
      <c r="O19" s="694"/>
    </row>
    <row r="20" spans="1:15">
      <c r="A20" s="384">
        <v>14</v>
      </c>
      <c r="B20" s="397" t="s">
        <v>499</v>
      </c>
      <c r="C20" s="695">
        <v>16265845.079523021</v>
      </c>
      <c r="D20" s="695">
        <v>37598294.782882266</v>
      </c>
      <c r="E20" s="695">
        <v>345068.86502992309</v>
      </c>
      <c r="F20" s="695">
        <v>0</v>
      </c>
      <c r="G20" s="695">
        <v>0</v>
      </c>
      <c r="H20" s="696">
        <f t="shared" si="0"/>
        <v>53519070.997375362</v>
      </c>
      <c r="J20" s="694"/>
      <c r="K20" s="694"/>
      <c r="L20" s="694"/>
      <c r="M20" s="694"/>
      <c r="N20" s="694"/>
      <c r="O20" s="694"/>
    </row>
    <row r="21" spans="1:15">
      <c r="A21" s="384">
        <v>15</v>
      </c>
      <c r="B21" s="397" t="s">
        <v>500</v>
      </c>
      <c r="C21" s="695">
        <v>427670.121553</v>
      </c>
      <c r="D21" s="695">
        <v>2149673.86</v>
      </c>
      <c r="E21" s="695">
        <v>70794.59871113344</v>
      </c>
      <c r="F21" s="695">
        <v>0</v>
      </c>
      <c r="G21" s="695">
        <v>0</v>
      </c>
      <c r="H21" s="696">
        <f t="shared" si="0"/>
        <v>2506549.3828418665</v>
      </c>
      <c r="J21" s="694"/>
      <c r="K21" s="694"/>
      <c r="L21" s="694"/>
      <c r="M21" s="694"/>
      <c r="N21" s="694"/>
      <c r="O21" s="694"/>
    </row>
    <row r="22" spans="1:15">
      <c r="A22" s="384">
        <v>16</v>
      </c>
      <c r="B22" s="397" t="s">
        <v>501</v>
      </c>
      <c r="C22" s="695">
        <v>0</v>
      </c>
      <c r="D22" s="695">
        <v>74744737.444756031</v>
      </c>
      <c r="E22" s="695">
        <v>7461322.6240300015</v>
      </c>
      <c r="F22" s="695">
        <v>0</v>
      </c>
      <c r="G22" s="695">
        <v>0</v>
      </c>
      <c r="H22" s="696">
        <f t="shared" si="0"/>
        <v>67283414.820726037</v>
      </c>
      <c r="J22" s="694"/>
      <c r="K22" s="694"/>
      <c r="L22" s="694"/>
      <c r="M22" s="694"/>
      <c r="N22" s="694"/>
      <c r="O22" s="694"/>
    </row>
    <row r="23" spans="1:15">
      <c r="A23" s="384">
        <v>17</v>
      </c>
      <c r="B23" s="397" t="s">
        <v>502</v>
      </c>
      <c r="C23" s="695">
        <v>0</v>
      </c>
      <c r="D23" s="695">
        <v>92188031.800606176</v>
      </c>
      <c r="E23" s="695">
        <v>649737.06949296733</v>
      </c>
      <c r="F23" s="695">
        <v>0</v>
      </c>
      <c r="G23" s="695">
        <v>0</v>
      </c>
      <c r="H23" s="696">
        <f t="shared" si="0"/>
        <v>91538294.73111321</v>
      </c>
      <c r="J23" s="694"/>
      <c r="K23" s="694"/>
      <c r="L23" s="694"/>
      <c r="M23" s="694"/>
      <c r="N23" s="694"/>
      <c r="O23" s="694"/>
    </row>
    <row r="24" spans="1:15">
      <c r="A24" s="384">
        <v>18</v>
      </c>
      <c r="B24" s="397" t="s">
        <v>503</v>
      </c>
      <c r="C24" s="695">
        <v>0</v>
      </c>
      <c r="D24" s="695">
        <v>20225672.221287627</v>
      </c>
      <c r="E24" s="695">
        <v>465697.0032366332</v>
      </c>
      <c r="F24" s="695">
        <v>0</v>
      </c>
      <c r="G24" s="695">
        <v>0</v>
      </c>
      <c r="H24" s="696">
        <f t="shared" si="0"/>
        <v>19759975.218050994</v>
      </c>
      <c r="J24" s="694"/>
      <c r="K24" s="694"/>
      <c r="L24" s="694"/>
      <c r="M24" s="694"/>
      <c r="N24" s="694"/>
      <c r="O24" s="694"/>
    </row>
    <row r="25" spans="1:15">
      <c r="A25" s="384">
        <v>19</v>
      </c>
      <c r="B25" s="397" t="s">
        <v>504</v>
      </c>
      <c r="C25" s="695">
        <v>0</v>
      </c>
      <c r="D25" s="695">
        <v>19402480.485463995</v>
      </c>
      <c r="E25" s="695">
        <v>271254.0149825784</v>
      </c>
      <c r="F25" s="695">
        <v>0</v>
      </c>
      <c r="G25" s="695">
        <v>0</v>
      </c>
      <c r="H25" s="696">
        <f t="shared" si="0"/>
        <v>19131226.470481418</v>
      </c>
      <c r="J25" s="694"/>
      <c r="K25" s="694"/>
      <c r="L25" s="694"/>
      <c r="M25" s="694"/>
      <c r="N25" s="694"/>
      <c r="O25" s="694"/>
    </row>
    <row r="26" spans="1:15">
      <c r="A26" s="384">
        <v>20</v>
      </c>
      <c r="B26" s="397" t="s">
        <v>505</v>
      </c>
      <c r="C26" s="695">
        <v>0</v>
      </c>
      <c r="D26" s="695">
        <v>66072692.147431701</v>
      </c>
      <c r="E26" s="695">
        <v>2059983.560223364</v>
      </c>
      <c r="F26" s="695">
        <v>0</v>
      </c>
      <c r="G26" s="695">
        <v>0</v>
      </c>
      <c r="H26" s="696">
        <f t="shared" si="0"/>
        <v>64012708.587208338</v>
      </c>
      <c r="J26" s="694"/>
      <c r="K26" s="694"/>
      <c r="L26" s="694"/>
      <c r="M26" s="694"/>
      <c r="N26" s="694"/>
      <c r="O26" s="694"/>
    </row>
    <row r="27" spans="1:15">
      <c r="A27" s="384">
        <v>21</v>
      </c>
      <c r="B27" s="397" t="s">
        <v>506</v>
      </c>
      <c r="C27" s="695">
        <v>4.29</v>
      </c>
      <c r="D27" s="695">
        <v>6944466.1994174439</v>
      </c>
      <c r="E27" s="695">
        <v>18472.398321665594</v>
      </c>
      <c r="F27" s="695">
        <v>0</v>
      </c>
      <c r="G27" s="695">
        <v>0</v>
      </c>
      <c r="H27" s="696">
        <f t="shared" si="0"/>
        <v>6925998.0910957782</v>
      </c>
      <c r="J27" s="694"/>
      <c r="K27" s="694"/>
      <c r="L27" s="694"/>
      <c r="M27" s="694"/>
      <c r="N27" s="694"/>
      <c r="O27" s="694"/>
    </row>
    <row r="28" spans="1:15">
      <c r="A28" s="384">
        <v>22</v>
      </c>
      <c r="B28" s="397" t="s">
        <v>507</v>
      </c>
      <c r="C28" s="695">
        <v>2746610.3025237969</v>
      </c>
      <c r="D28" s="695">
        <v>40863523.655358732</v>
      </c>
      <c r="E28" s="695">
        <v>112344.31465962254</v>
      </c>
      <c r="F28" s="695">
        <v>0</v>
      </c>
      <c r="G28" s="695">
        <v>0</v>
      </c>
      <c r="H28" s="696">
        <f t="shared" si="0"/>
        <v>43497789.643222906</v>
      </c>
      <c r="J28" s="694"/>
      <c r="K28" s="694"/>
      <c r="L28" s="694"/>
      <c r="M28" s="694"/>
      <c r="N28" s="694"/>
      <c r="O28" s="694"/>
    </row>
    <row r="29" spans="1:15">
      <c r="A29" s="384">
        <v>23</v>
      </c>
      <c r="B29" s="397" t="s">
        <v>508</v>
      </c>
      <c r="C29" s="695">
        <v>3297315.4564308138</v>
      </c>
      <c r="D29" s="695">
        <v>86920226.745541349</v>
      </c>
      <c r="E29" s="695">
        <v>440742.97062933957</v>
      </c>
      <c r="F29" s="695">
        <v>0</v>
      </c>
      <c r="G29" s="695">
        <v>0</v>
      </c>
      <c r="H29" s="696">
        <f t="shared" si="0"/>
        <v>89776799.231342822</v>
      </c>
      <c r="J29" s="694"/>
      <c r="K29" s="694"/>
      <c r="L29" s="694"/>
      <c r="M29" s="694"/>
      <c r="N29" s="694"/>
      <c r="O29" s="694"/>
    </row>
    <row r="30" spans="1:15">
      <c r="A30" s="384">
        <v>24</v>
      </c>
      <c r="B30" s="397" t="s">
        <v>509</v>
      </c>
      <c r="C30" s="695">
        <v>4890155.6602649977</v>
      </c>
      <c r="D30" s="695">
        <v>36031873.890751272</v>
      </c>
      <c r="E30" s="695">
        <v>984097.52245662478</v>
      </c>
      <c r="F30" s="695">
        <v>0</v>
      </c>
      <c r="G30" s="695">
        <v>0</v>
      </c>
      <c r="H30" s="696">
        <f t="shared" si="0"/>
        <v>39937932.028559648</v>
      </c>
      <c r="J30" s="694"/>
      <c r="K30" s="694"/>
      <c r="L30" s="694"/>
      <c r="M30" s="694"/>
      <c r="N30" s="694"/>
      <c r="O30" s="694"/>
    </row>
    <row r="31" spans="1:15">
      <c r="A31" s="384">
        <v>25</v>
      </c>
      <c r="B31" s="397" t="s">
        <v>510</v>
      </c>
      <c r="C31" s="695">
        <v>6670664.9945209986</v>
      </c>
      <c r="D31" s="695">
        <v>96968992.788694233</v>
      </c>
      <c r="E31" s="695">
        <v>3319281.3748001261</v>
      </c>
      <c r="F31" s="695">
        <v>0</v>
      </c>
      <c r="G31" s="695">
        <v>0</v>
      </c>
      <c r="H31" s="696">
        <f t="shared" si="0"/>
        <v>100320376.40841509</v>
      </c>
      <c r="J31" s="694"/>
      <c r="K31" s="694"/>
      <c r="L31" s="694"/>
      <c r="M31" s="694"/>
      <c r="N31" s="694"/>
      <c r="O31" s="694"/>
    </row>
    <row r="32" spans="1:15">
      <c r="A32" s="384">
        <v>26</v>
      </c>
      <c r="B32" s="397" t="s">
        <v>511</v>
      </c>
      <c r="C32" s="695">
        <v>153147.90130000023</v>
      </c>
      <c r="D32" s="695">
        <v>0</v>
      </c>
      <c r="E32" s="695">
        <v>153147.90130000023</v>
      </c>
      <c r="F32" s="695">
        <v>0</v>
      </c>
      <c r="G32" s="695">
        <v>0</v>
      </c>
      <c r="H32" s="696">
        <f t="shared" si="0"/>
        <v>0</v>
      </c>
      <c r="J32" s="694"/>
      <c r="K32" s="694"/>
      <c r="L32" s="694"/>
      <c r="M32" s="694"/>
      <c r="N32" s="694"/>
      <c r="O32" s="694"/>
    </row>
    <row r="33" spans="1:15">
      <c r="A33" s="384">
        <v>27</v>
      </c>
      <c r="B33" s="384" t="s">
        <v>88</v>
      </c>
      <c r="C33" s="695">
        <v>388660.91</v>
      </c>
      <c r="D33" s="695">
        <v>155074415.37721282</v>
      </c>
      <c r="E33" s="695">
        <v>183013.17357966915</v>
      </c>
      <c r="F33" s="695">
        <v>0</v>
      </c>
      <c r="G33" s="695">
        <v>0</v>
      </c>
      <c r="H33" s="696">
        <f t="shared" si="0"/>
        <v>155280063.11363316</v>
      </c>
      <c r="J33" s="694"/>
      <c r="K33" s="694"/>
      <c r="L33" s="694"/>
      <c r="M33" s="694"/>
      <c r="N33" s="694"/>
      <c r="O33" s="694"/>
    </row>
    <row r="34" spans="1:15">
      <c r="A34" s="384">
        <v>28</v>
      </c>
      <c r="B34" s="387" t="s">
        <v>66</v>
      </c>
      <c r="C34" s="697">
        <f>SUM(C7:C33)</f>
        <v>86060534.089226156</v>
      </c>
      <c r="D34" s="697">
        <f>SUM(D7:D33)</f>
        <v>1910855837.1755862</v>
      </c>
      <c r="E34" s="697">
        <f>SUM(E7:E33)</f>
        <v>34632788.780228369</v>
      </c>
      <c r="F34" s="697">
        <f>SUM(F7:F33)</f>
        <v>0</v>
      </c>
      <c r="G34" s="697">
        <f>SUM(G7:G33)</f>
        <v>0</v>
      </c>
      <c r="H34" s="696">
        <f t="shared" si="0"/>
        <v>1962283582.4845841</v>
      </c>
      <c r="J34" s="694"/>
      <c r="K34" s="694"/>
      <c r="L34" s="694"/>
      <c r="M34" s="694"/>
      <c r="N34" s="694"/>
      <c r="O34" s="694"/>
    </row>
    <row r="36" spans="1:15">
      <c r="B36" s="304"/>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G15"/>
  <sheetViews>
    <sheetView showGridLines="0" zoomScale="80" zoomScaleNormal="80" workbookViewId="0"/>
  </sheetViews>
  <sheetFormatPr defaultColWidth="9.28515625" defaultRowHeight="12.75"/>
  <cols>
    <col min="1" max="1" width="11.7109375" style="300" bestFit="1" customWidth="1"/>
    <col min="2" max="2" width="108" style="300" bestFit="1" customWidth="1"/>
    <col min="3" max="3" width="35.5703125" style="300" customWidth="1"/>
    <col min="4" max="4" width="38.42578125" style="300" customWidth="1"/>
    <col min="5" max="5" width="9.28515625" style="300"/>
    <col min="6" max="6" width="15.28515625" style="300" bestFit="1" customWidth="1"/>
    <col min="7" max="7" width="12.42578125" style="300" bestFit="1" customWidth="1"/>
    <col min="8" max="16384" width="9.28515625" style="300"/>
  </cols>
  <sheetData>
    <row r="1" spans="1:7" ht="13.5">
      <c r="A1" s="299" t="s">
        <v>97</v>
      </c>
      <c r="B1" s="221" t="str">
        <f>Info!C2</f>
        <v>სს "ბანკი ქართუ"</v>
      </c>
    </row>
    <row r="2" spans="1:7">
      <c r="A2" s="299" t="s">
        <v>98</v>
      </c>
      <c r="B2" s="634">
        <f>'1. key ratios'!B2</f>
        <v>46203</v>
      </c>
    </row>
    <row r="3" spans="1:7">
      <c r="A3" s="301" t="s">
        <v>512</v>
      </c>
    </row>
    <row r="5" spans="1:7">
      <c r="A5" s="806" t="s">
        <v>848</v>
      </c>
      <c r="B5" s="806"/>
      <c r="C5" s="405" t="s">
        <v>531</v>
      </c>
      <c r="D5" s="405" t="s">
        <v>847</v>
      </c>
    </row>
    <row r="6" spans="1:7">
      <c r="A6" s="404">
        <v>1</v>
      </c>
      <c r="B6" s="398" t="s">
        <v>846</v>
      </c>
      <c r="C6" s="698">
        <v>34532494.034186937</v>
      </c>
      <c r="D6" s="698">
        <v>740077.33710580203</v>
      </c>
      <c r="F6" s="694"/>
      <c r="G6" s="694"/>
    </row>
    <row r="7" spans="1:7">
      <c r="A7" s="401">
        <v>2</v>
      </c>
      <c r="B7" s="398" t="s">
        <v>845</v>
      </c>
      <c r="C7" s="698">
        <f>SUM(C8:C9)</f>
        <v>2481461.7088631811</v>
      </c>
      <c r="D7" s="698">
        <f>SUM(D8:D9)</f>
        <v>1807.9307118720051</v>
      </c>
      <c r="F7" s="694"/>
      <c r="G7" s="694"/>
    </row>
    <row r="8" spans="1:7">
      <c r="A8" s="403">
        <v>2.1</v>
      </c>
      <c r="B8" s="402" t="s">
        <v>844</v>
      </c>
      <c r="C8" s="698">
        <v>1260917.1885533237</v>
      </c>
      <c r="D8" s="698">
        <v>1807.9307118720051</v>
      </c>
      <c r="F8" s="694"/>
      <c r="G8" s="694"/>
    </row>
    <row r="9" spans="1:7">
      <c r="A9" s="403">
        <v>2.2000000000000002</v>
      </c>
      <c r="B9" s="402" t="s">
        <v>843</v>
      </c>
      <c r="C9" s="698">
        <v>1220544.5203098573</v>
      </c>
      <c r="D9" s="698">
        <v>0</v>
      </c>
      <c r="F9" s="694"/>
      <c r="G9" s="694"/>
    </row>
    <row r="10" spans="1:7">
      <c r="A10" s="404">
        <v>3</v>
      </c>
      <c r="B10" s="398" t="s">
        <v>842</v>
      </c>
      <c r="C10" s="698">
        <f>SUM(C11:C13)</f>
        <v>2901260.6317373589</v>
      </c>
      <c r="D10" s="698">
        <f>SUM(D11:D13)</f>
        <v>46602.802002271186</v>
      </c>
      <c r="F10" s="694"/>
      <c r="G10" s="694"/>
    </row>
    <row r="11" spans="1:7">
      <c r="A11" s="403">
        <v>3.1</v>
      </c>
      <c r="B11" s="402" t="s">
        <v>513</v>
      </c>
      <c r="C11" s="698">
        <v>0</v>
      </c>
      <c r="D11" s="698">
        <v>0</v>
      </c>
      <c r="F11" s="694"/>
      <c r="G11" s="694"/>
    </row>
    <row r="12" spans="1:7">
      <c r="A12" s="403">
        <v>3.2</v>
      </c>
      <c r="B12" s="402" t="s">
        <v>841</v>
      </c>
      <c r="C12" s="698">
        <v>644739.48923464422</v>
      </c>
      <c r="D12" s="698">
        <v>5798.2411618989754</v>
      </c>
      <c r="F12" s="694"/>
      <c r="G12" s="694"/>
    </row>
    <row r="13" spans="1:7">
      <c r="A13" s="403">
        <v>3.3</v>
      </c>
      <c r="B13" s="402" t="s">
        <v>840</v>
      </c>
      <c r="C13" s="698">
        <v>2256521.1425027144</v>
      </c>
      <c r="D13" s="698">
        <v>40804.560840372207</v>
      </c>
      <c r="F13" s="694"/>
      <c r="G13" s="694"/>
    </row>
    <row r="14" spans="1:7">
      <c r="A14" s="401">
        <v>4</v>
      </c>
      <c r="B14" s="400" t="s">
        <v>839</v>
      </c>
      <c r="C14" s="698">
        <v>-510827.82537561603</v>
      </c>
      <c r="D14" s="698">
        <v>-4.5474735088646412E-11</v>
      </c>
      <c r="F14" s="694"/>
      <c r="G14" s="694"/>
    </row>
    <row r="15" spans="1:7">
      <c r="A15" s="399">
        <v>5</v>
      </c>
      <c r="B15" s="398" t="s">
        <v>838</v>
      </c>
      <c r="C15" s="699">
        <f>C6+C7-C10+C14</f>
        <v>33601867.285937145</v>
      </c>
      <c r="D15" s="699">
        <f>D6+D7-D10+D14</f>
        <v>695282.46581540292</v>
      </c>
      <c r="F15" s="694"/>
      <c r="G15" s="694"/>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G23"/>
  <sheetViews>
    <sheetView showGridLines="0" zoomScale="80" zoomScaleNormal="80" workbookViewId="0"/>
  </sheetViews>
  <sheetFormatPr defaultColWidth="9.28515625" defaultRowHeight="12.75"/>
  <cols>
    <col min="1" max="1" width="11.7109375" style="394" bestFit="1" customWidth="1"/>
    <col min="2" max="2" width="128.85546875" style="394" bestFit="1" customWidth="1"/>
    <col min="3" max="3" width="37" style="394" customWidth="1"/>
    <col min="4" max="4" width="50.5703125" style="394" customWidth="1"/>
    <col min="5" max="5" width="9.28515625" style="394"/>
    <col min="6" max="6" width="15" style="394" bestFit="1" customWidth="1"/>
    <col min="7" max="7" width="14.28515625" style="394" bestFit="1" customWidth="1"/>
    <col min="8" max="16384" width="9.28515625" style="394"/>
  </cols>
  <sheetData>
    <row r="1" spans="1:7" ht="13.5">
      <c r="A1" s="299" t="s">
        <v>97</v>
      </c>
      <c r="B1" s="221" t="str">
        <f>Info!C2</f>
        <v>სს "ბანკი ქართუ"</v>
      </c>
    </row>
    <row r="2" spans="1:7">
      <c r="A2" s="299" t="s">
        <v>98</v>
      </c>
      <c r="B2" s="634">
        <f>'1. key ratios'!B2</f>
        <v>46203</v>
      </c>
    </row>
    <row r="3" spans="1:7">
      <c r="A3" s="301" t="s">
        <v>514</v>
      </c>
    </row>
    <row r="4" spans="1:7">
      <c r="A4" s="301"/>
    </row>
    <row r="5" spans="1:7" ht="15" customHeight="1">
      <c r="A5" s="807" t="s">
        <v>515</v>
      </c>
      <c r="B5" s="808"/>
      <c r="C5" s="811" t="s">
        <v>516</v>
      </c>
      <c r="D5" s="811" t="s">
        <v>517</v>
      </c>
    </row>
    <row r="6" spans="1:7">
      <c r="A6" s="809"/>
      <c r="B6" s="810"/>
      <c r="C6" s="811"/>
      <c r="D6" s="811"/>
    </row>
    <row r="7" spans="1:7">
      <c r="A7" s="387">
        <v>1</v>
      </c>
      <c r="B7" s="387" t="s">
        <v>518</v>
      </c>
      <c r="C7" s="695">
        <v>86317926.617474169</v>
      </c>
      <c r="D7" s="701"/>
      <c r="F7" s="700"/>
      <c r="G7" s="700"/>
    </row>
    <row r="8" spans="1:7">
      <c r="A8" s="384">
        <v>2</v>
      </c>
      <c r="B8" s="384" t="s">
        <v>519</v>
      </c>
      <c r="C8" s="695">
        <v>2854401.7753313836</v>
      </c>
      <c r="D8" s="701"/>
      <c r="F8" s="700"/>
      <c r="G8" s="700"/>
    </row>
    <row r="9" spans="1:7">
      <c r="A9" s="384">
        <v>3</v>
      </c>
      <c r="B9" s="408" t="s">
        <v>520</v>
      </c>
      <c r="C9" s="695">
        <v>0</v>
      </c>
      <c r="D9" s="701"/>
      <c r="F9" s="700"/>
      <c r="G9" s="700"/>
    </row>
    <row r="10" spans="1:7">
      <c r="A10" s="384">
        <v>4</v>
      </c>
      <c r="B10" s="384" t="s">
        <v>521</v>
      </c>
      <c r="C10" s="695">
        <f>SUM(C11:C17)</f>
        <v>3500455.2135793045</v>
      </c>
      <c r="D10" s="701"/>
      <c r="F10" s="700"/>
      <c r="G10" s="700"/>
    </row>
    <row r="11" spans="1:7">
      <c r="A11" s="384">
        <v>5</v>
      </c>
      <c r="B11" s="407" t="s">
        <v>849</v>
      </c>
      <c r="C11" s="695">
        <v>0</v>
      </c>
      <c r="D11" s="701"/>
      <c r="F11" s="700"/>
      <c r="G11" s="700"/>
    </row>
    <row r="12" spans="1:7">
      <c r="A12" s="384">
        <v>6</v>
      </c>
      <c r="B12" s="407" t="s">
        <v>522</v>
      </c>
      <c r="C12" s="695">
        <v>2127186.8497068416</v>
      </c>
      <c r="D12" s="701"/>
      <c r="F12" s="700"/>
      <c r="G12" s="700"/>
    </row>
    <row r="13" spans="1:7">
      <c r="A13" s="384">
        <v>7</v>
      </c>
      <c r="B13" s="407" t="s">
        <v>525</v>
      </c>
      <c r="C13" s="695">
        <v>0</v>
      </c>
      <c r="D13" s="701"/>
      <c r="F13" s="700"/>
      <c r="G13" s="700"/>
    </row>
    <row r="14" spans="1:7">
      <c r="A14" s="384">
        <v>8</v>
      </c>
      <c r="B14" s="407" t="s">
        <v>523</v>
      </c>
      <c r="C14" s="695">
        <v>0</v>
      </c>
      <c r="D14" s="695">
        <v>0</v>
      </c>
      <c r="F14" s="700"/>
      <c r="G14" s="700"/>
    </row>
    <row r="15" spans="1:7">
      <c r="A15" s="384">
        <v>9</v>
      </c>
      <c r="B15" s="407" t="s">
        <v>524</v>
      </c>
      <c r="C15" s="695">
        <v>0</v>
      </c>
      <c r="D15" s="695">
        <v>0</v>
      </c>
      <c r="F15" s="700"/>
      <c r="G15" s="700"/>
    </row>
    <row r="16" spans="1:7">
      <c r="A16" s="384">
        <v>10</v>
      </c>
      <c r="B16" s="407" t="s">
        <v>526</v>
      </c>
      <c r="C16" s="695">
        <v>0</v>
      </c>
      <c r="D16" s="695">
        <v>0</v>
      </c>
      <c r="F16" s="700"/>
      <c r="G16" s="700"/>
    </row>
    <row r="17" spans="1:7" ht="25.5">
      <c r="A17" s="384">
        <v>11</v>
      </c>
      <c r="B17" s="407" t="s">
        <v>527</v>
      </c>
      <c r="C17" s="695">
        <v>1373268.3638724631</v>
      </c>
      <c r="D17" s="701"/>
      <c r="F17" s="700"/>
      <c r="G17" s="700"/>
    </row>
    <row r="18" spans="1:7">
      <c r="A18" s="387">
        <v>12</v>
      </c>
      <c r="B18" s="406" t="s">
        <v>528</v>
      </c>
      <c r="C18" s="697">
        <f>C7+C8+C9-C10</f>
        <v>85671873.179226249</v>
      </c>
      <c r="D18" s="701"/>
      <c r="F18" s="700"/>
      <c r="G18" s="700"/>
    </row>
    <row r="21" spans="1:7">
      <c r="B21" s="299"/>
    </row>
    <row r="22" spans="1:7">
      <c r="B22" s="299"/>
    </row>
    <row r="23" spans="1:7">
      <c r="B23" s="301"/>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55"/>
  <sheetViews>
    <sheetView showGridLines="0" zoomScale="80" zoomScaleNormal="80" workbookViewId="0"/>
  </sheetViews>
  <sheetFormatPr defaultColWidth="9.28515625" defaultRowHeight="12.75"/>
  <cols>
    <col min="1" max="1" width="11.7109375" style="394" bestFit="1" customWidth="1"/>
    <col min="2" max="2" width="63.85546875" style="394" customWidth="1"/>
    <col min="3" max="3" width="17.140625" style="394" bestFit="1" customWidth="1"/>
    <col min="4" max="18" width="22.28515625" style="394" customWidth="1"/>
    <col min="19" max="19" width="23.28515625" style="394" bestFit="1" customWidth="1"/>
    <col min="20" max="26" width="22.28515625" style="394" customWidth="1"/>
    <col min="27" max="27" width="23.28515625" style="394" bestFit="1" customWidth="1"/>
    <col min="28" max="28" width="20" style="394" customWidth="1"/>
    <col min="29" max="16384" width="9.28515625" style="394"/>
  </cols>
  <sheetData>
    <row r="1" spans="1:28" ht="13.5">
      <c r="A1" s="299" t="s">
        <v>97</v>
      </c>
      <c r="B1" s="221" t="str">
        <f>Info!C2</f>
        <v>სს "ბანკი ქართუ"</v>
      </c>
    </row>
    <row r="2" spans="1:28">
      <c r="A2" s="299" t="s">
        <v>98</v>
      </c>
      <c r="B2" s="634">
        <f>'1. key ratios'!B2</f>
        <v>46203</v>
      </c>
      <c r="C2" s="395"/>
    </row>
    <row r="3" spans="1:28">
      <c r="A3" s="301" t="s">
        <v>529</v>
      </c>
    </row>
    <row r="5" spans="1:28" ht="15" customHeight="1">
      <c r="A5" s="812" t="s">
        <v>862</v>
      </c>
      <c r="B5" s="813"/>
      <c r="C5" s="804" t="s">
        <v>861</v>
      </c>
      <c r="D5" s="818"/>
      <c r="E5" s="818"/>
      <c r="F5" s="818"/>
      <c r="G5" s="818"/>
      <c r="H5" s="818"/>
      <c r="I5" s="818"/>
      <c r="J5" s="818"/>
      <c r="K5" s="818"/>
      <c r="L5" s="818"/>
      <c r="M5" s="818"/>
      <c r="N5" s="818"/>
      <c r="O5" s="818"/>
      <c r="P5" s="818"/>
      <c r="Q5" s="818"/>
      <c r="R5" s="818"/>
      <c r="S5" s="818"/>
      <c r="T5" s="418"/>
      <c r="U5" s="418"/>
      <c r="V5" s="418"/>
      <c r="W5" s="418"/>
      <c r="X5" s="418"/>
      <c r="Y5" s="418"/>
      <c r="Z5" s="418"/>
      <c r="AA5" s="417"/>
      <c r="AB5" s="410"/>
    </row>
    <row r="6" spans="1:28">
      <c r="A6" s="814"/>
      <c r="B6" s="815"/>
      <c r="C6" s="819" t="s">
        <v>66</v>
      </c>
      <c r="D6" s="821" t="s">
        <v>860</v>
      </c>
      <c r="E6" s="821"/>
      <c r="F6" s="821"/>
      <c r="G6" s="821"/>
      <c r="H6" s="822" t="s">
        <v>859</v>
      </c>
      <c r="I6" s="823"/>
      <c r="J6" s="823"/>
      <c r="K6" s="824"/>
      <c r="L6" s="415"/>
      <c r="M6" s="825" t="s">
        <v>858</v>
      </c>
      <c r="N6" s="825"/>
      <c r="O6" s="825"/>
      <c r="P6" s="825"/>
      <c r="Q6" s="825"/>
      <c r="R6" s="825"/>
      <c r="S6" s="802"/>
      <c r="T6" s="416"/>
      <c r="U6" s="805" t="s">
        <v>857</v>
      </c>
      <c r="V6" s="805"/>
      <c r="W6" s="805"/>
      <c r="X6" s="805"/>
      <c r="Y6" s="805"/>
      <c r="Z6" s="805"/>
      <c r="AA6" s="803"/>
      <c r="AB6" s="415"/>
    </row>
    <row r="7" spans="1:28" ht="25.5">
      <c r="A7" s="816"/>
      <c r="B7" s="817"/>
      <c r="C7" s="820"/>
      <c r="D7" s="414"/>
      <c r="E7" s="391" t="s">
        <v>530</v>
      </c>
      <c r="F7" s="391" t="s">
        <v>855</v>
      </c>
      <c r="G7" s="391" t="s">
        <v>856</v>
      </c>
      <c r="H7" s="413"/>
      <c r="I7" s="391" t="s">
        <v>530</v>
      </c>
      <c r="J7" s="391" t="s">
        <v>855</v>
      </c>
      <c r="K7" s="391" t="s">
        <v>856</v>
      </c>
      <c r="L7" s="412"/>
      <c r="M7" s="391" t="s">
        <v>530</v>
      </c>
      <c r="N7" s="391" t="s">
        <v>855</v>
      </c>
      <c r="O7" s="391" t="s">
        <v>854</v>
      </c>
      <c r="P7" s="391" t="s">
        <v>853</v>
      </c>
      <c r="Q7" s="391" t="s">
        <v>852</v>
      </c>
      <c r="R7" s="391" t="s">
        <v>851</v>
      </c>
      <c r="S7" s="391" t="s">
        <v>850</v>
      </c>
      <c r="T7" s="411"/>
      <c r="U7" s="391" t="s">
        <v>530</v>
      </c>
      <c r="V7" s="391" t="s">
        <v>855</v>
      </c>
      <c r="W7" s="391" t="s">
        <v>854</v>
      </c>
      <c r="X7" s="391" t="s">
        <v>853</v>
      </c>
      <c r="Y7" s="391" t="s">
        <v>852</v>
      </c>
      <c r="Z7" s="391" t="s">
        <v>851</v>
      </c>
      <c r="AA7" s="391" t="s">
        <v>850</v>
      </c>
      <c r="AB7" s="410"/>
    </row>
    <row r="8" spans="1:28">
      <c r="A8" s="409">
        <v>1</v>
      </c>
      <c r="B8" s="387" t="s">
        <v>531</v>
      </c>
      <c r="C8" s="697">
        <v>1199628047.2986107</v>
      </c>
      <c r="D8" s="695">
        <v>978060208.14910161</v>
      </c>
      <c r="E8" s="695">
        <v>21345392.924610067</v>
      </c>
      <c r="F8" s="695">
        <v>0</v>
      </c>
      <c r="G8" s="695">
        <v>0</v>
      </c>
      <c r="H8" s="695">
        <v>135895965.97028276</v>
      </c>
      <c r="I8" s="695">
        <v>11724403.083783202</v>
      </c>
      <c r="J8" s="695">
        <v>31280234.600297846</v>
      </c>
      <c r="K8" s="695">
        <v>0</v>
      </c>
      <c r="L8" s="695">
        <v>84767869.283077255</v>
      </c>
      <c r="M8" s="695">
        <v>101769.64813099999</v>
      </c>
      <c r="N8" s="695">
        <v>103744.74599999998</v>
      </c>
      <c r="O8" s="695">
        <v>2346133.1669228594</v>
      </c>
      <c r="P8" s="695">
        <v>20106313.606683813</v>
      </c>
      <c r="Q8" s="695">
        <v>1770058.6811858409</v>
      </c>
      <c r="R8" s="695">
        <v>33958340.632456489</v>
      </c>
      <c r="S8" s="695">
        <v>10522608.584492277</v>
      </c>
      <c r="T8" s="695">
        <v>904003.89614899992</v>
      </c>
      <c r="U8" s="695">
        <v>0</v>
      </c>
      <c r="V8" s="695">
        <v>0</v>
      </c>
      <c r="W8" s="695">
        <v>0</v>
      </c>
      <c r="X8" s="695">
        <v>0</v>
      </c>
      <c r="Y8" s="695">
        <v>0</v>
      </c>
      <c r="Z8" s="695">
        <v>0</v>
      </c>
      <c r="AA8" s="695">
        <v>0</v>
      </c>
    </row>
    <row r="9" spans="1:28">
      <c r="A9" s="384">
        <v>1.1000000000000001</v>
      </c>
      <c r="B9" s="401" t="s">
        <v>532</v>
      </c>
      <c r="C9" s="702">
        <v>0</v>
      </c>
      <c r="D9" s="695">
        <v>0</v>
      </c>
      <c r="E9" s="695">
        <v>0</v>
      </c>
      <c r="F9" s="695">
        <v>0</v>
      </c>
      <c r="G9" s="695">
        <v>0</v>
      </c>
      <c r="H9" s="695">
        <v>0</v>
      </c>
      <c r="I9" s="695">
        <v>0</v>
      </c>
      <c r="J9" s="695">
        <v>0</v>
      </c>
      <c r="K9" s="695">
        <v>0</v>
      </c>
      <c r="L9" s="695">
        <v>0</v>
      </c>
      <c r="M9" s="695">
        <v>0</v>
      </c>
      <c r="N9" s="695">
        <v>0</v>
      </c>
      <c r="O9" s="695">
        <v>0</v>
      </c>
      <c r="P9" s="695">
        <v>0</v>
      </c>
      <c r="Q9" s="695">
        <v>0</v>
      </c>
      <c r="R9" s="695">
        <v>0</v>
      </c>
      <c r="S9" s="695">
        <v>0</v>
      </c>
      <c r="T9" s="695">
        <v>0</v>
      </c>
      <c r="U9" s="695">
        <v>0</v>
      </c>
      <c r="V9" s="695">
        <v>0</v>
      </c>
      <c r="W9" s="695">
        <v>0</v>
      </c>
      <c r="X9" s="695">
        <v>0</v>
      </c>
      <c r="Y9" s="695">
        <v>0</v>
      </c>
      <c r="Z9" s="695">
        <v>0</v>
      </c>
      <c r="AA9" s="695">
        <v>0</v>
      </c>
    </row>
    <row r="10" spans="1:28">
      <c r="A10" s="384">
        <v>1.2</v>
      </c>
      <c r="B10" s="401" t="s">
        <v>533</v>
      </c>
      <c r="C10" s="702">
        <v>0</v>
      </c>
      <c r="D10" s="695">
        <v>0</v>
      </c>
      <c r="E10" s="695">
        <v>0</v>
      </c>
      <c r="F10" s="695">
        <v>0</v>
      </c>
      <c r="G10" s="695">
        <v>0</v>
      </c>
      <c r="H10" s="695">
        <v>0</v>
      </c>
      <c r="I10" s="695">
        <v>0</v>
      </c>
      <c r="J10" s="695">
        <v>0</v>
      </c>
      <c r="K10" s="695">
        <v>0</v>
      </c>
      <c r="L10" s="695">
        <v>0</v>
      </c>
      <c r="M10" s="695">
        <v>0</v>
      </c>
      <c r="N10" s="695">
        <v>0</v>
      </c>
      <c r="O10" s="695">
        <v>0</v>
      </c>
      <c r="P10" s="695">
        <v>0</v>
      </c>
      <c r="Q10" s="695">
        <v>0</v>
      </c>
      <c r="R10" s="695">
        <v>0</v>
      </c>
      <c r="S10" s="695">
        <v>0</v>
      </c>
      <c r="T10" s="695">
        <v>0</v>
      </c>
      <c r="U10" s="695">
        <v>0</v>
      </c>
      <c r="V10" s="695">
        <v>0</v>
      </c>
      <c r="W10" s="695">
        <v>0</v>
      </c>
      <c r="X10" s="695">
        <v>0</v>
      </c>
      <c r="Y10" s="695">
        <v>0</v>
      </c>
      <c r="Z10" s="695">
        <v>0</v>
      </c>
      <c r="AA10" s="695">
        <v>0</v>
      </c>
    </row>
    <row r="11" spans="1:28">
      <c r="A11" s="384">
        <v>1.3</v>
      </c>
      <c r="B11" s="401" t="s">
        <v>534</v>
      </c>
      <c r="C11" s="702">
        <v>0</v>
      </c>
      <c r="D11" s="695">
        <v>0</v>
      </c>
      <c r="E11" s="695">
        <v>0</v>
      </c>
      <c r="F11" s="695">
        <v>0</v>
      </c>
      <c r="G11" s="695">
        <v>0</v>
      </c>
      <c r="H11" s="695">
        <v>0</v>
      </c>
      <c r="I11" s="695">
        <v>0</v>
      </c>
      <c r="J11" s="695">
        <v>0</v>
      </c>
      <c r="K11" s="695">
        <v>0</v>
      </c>
      <c r="L11" s="695">
        <v>0</v>
      </c>
      <c r="M11" s="695">
        <v>0</v>
      </c>
      <c r="N11" s="695">
        <v>0</v>
      </c>
      <c r="O11" s="695">
        <v>0</v>
      </c>
      <c r="P11" s="695">
        <v>0</v>
      </c>
      <c r="Q11" s="695">
        <v>0</v>
      </c>
      <c r="R11" s="695">
        <v>0</v>
      </c>
      <c r="S11" s="695">
        <v>0</v>
      </c>
      <c r="T11" s="695">
        <v>0</v>
      </c>
      <c r="U11" s="695">
        <v>0</v>
      </c>
      <c r="V11" s="695">
        <v>0</v>
      </c>
      <c r="W11" s="695">
        <v>0</v>
      </c>
      <c r="X11" s="695">
        <v>0</v>
      </c>
      <c r="Y11" s="695">
        <v>0</v>
      </c>
      <c r="Z11" s="695">
        <v>0</v>
      </c>
      <c r="AA11" s="695">
        <v>0</v>
      </c>
    </row>
    <row r="12" spans="1:28">
      <c r="A12" s="384">
        <v>1.4</v>
      </c>
      <c r="B12" s="401" t="s">
        <v>535</v>
      </c>
      <c r="C12" s="702">
        <v>12350323.210000001</v>
      </c>
      <c r="D12" s="695">
        <v>12350323.210000001</v>
      </c>
      <c r="E12" s="695">
        <v>0</v>
      </c>
      <c r="F12" s="695">
        <v>0</v>
      </c>
      <c r="G12" s="695">
        <v>0</v>
      </c>
      <c r="H12" s="695">
        <v>0</v>
      </c>
      <c r="I12" s="695">
        <v>0</v>
      </c>
      <c r="J12" s="695">
        <v>0</v>
      </c>
      <c r="K12" s="695">
        <v>0</v>
      </c>
      <c r="L12" s="695">
        <v>0</v>
      </c>
      <c r="M12" s="695">
        <v>0</v>
      </c>
      <c r="N12" s="695">
        <v>0</v>
      </c>
      <c r="O12" s="695">
        <v>0</v>
      </c>
      <c r="P12" s="695">
        <v>0</v>
      </c>
      <c r="Q12" s="695">
        <v>0</v>
      </c>
      <c r="R12" s="695">
        <v>0</v>
      </c>
      <c r="S12" s="695">
        <v>0</v>
      </c>
      <c r="T12" s="695">
        <v>0</v>
      </c>
      <c r="U12" s="695">
        <v>0</v>
      </c>
      <c r="V12" s="695">
        <v>0</v>
      </c>
      <c r="W12" s="695">
        <v>0</v>
      </c>
      <c r="X12" s="695">
        <v>0</v>
      </c>
      <c r="Y12" s="695">
        <v>0</v>
      </c>
      <c r="Z12" s="695">
        <v>0</v>
      </c>
      <c r="AA12" s="695">
        <v>0</v>
      </c>
    </row>
    <row r="13" spans="1:28">
      <c r="A13" s="384">
        <v>1.5</v>
      </c>
      <c r="B13" s="401" t="s">
        <v>536</v>
      </c>
      <c r="C13" s="702">
        <v>1073779962.5538621</v>
      </c>
      <c r="D13" s="695">
        <v>861419662.93400788</v>
      </c>
      <c r="E13" s="695">
        <v>3447918.1620038897</v>
      </c>
      <c r="F13" s="695">
        <v>0</v>
      </c>
      <c r="G13" s="695">
        <v>0</v>
      </c>
      <c r="H13" s="695">
        <v>133319981.13615867</v>
      </c>
      <c r="I13" s="695">
        <v>11724403.083783202</v>
      </c>
      <c r="J13" s="695">
        <v>31175118.310297847</v>
      </c>
      <c r="K13" s="695">
        <v>0</v>
      </c>
      <c r="L13" s="695">
        <v>78136314.587546632</v>
      </c>
      <c r="M13" s="695">
        <v>0</v>
      </c>
      <c r="N13" s="695">
        <v>101498.04079999999</v>
      </c>
      <c r="O13" s="695">
        <v>1562140.6553758597</v>
      </c>
      <c r="P13" s="695">
        <v>17454159.421072967</v>
      </c>
      <c r="Q13" s="695">
        <v>1704841.5883858409</v>
      </c>
      <c r="R13" s="695">
        <v>33432841.437613491</v>
      </c>
      <c r="S13" s="695">
        <v>10245844.710055277</v>
      </c>
      <c r="T13" s="695">
        <v>904003.89614899992</v>
      </c>
      <c r="U13" s="695">
        <v>0</v>
      </c>
      <c r="V13" s="695">
        <v>0</v>
      </c>
      <c r="W13" s="695">
        <v>0</v>
      </c>
      <c r="X13" s="695">
        <v>0</v>
      </c>
      <c r="Y13" s="695">
        <v>0</v>
      </c>
      <c r="Z13" s="695">
        <v>0</v>
      </c>
      <c r="AA13" s="695">
        <v>0</v>
      </c>
    </row>
    <row r="14" spans="1:28">
      <c r="A14" s="384">
        <v>1.6</v>
      </c>
      <c r="B14" s="401" t="s">
        <v>537</v>
      </c>
      <c r="C14" s="702">
        <v>113497761.53474863</v>
      </c>
      <c r="D14" s="695">
        <v>104290222.00509372</v>
      </c>
      <c r="E14" s="695">
        <v>17897474.762606177</v>
      </c>
      <c r="F14" s="695">
        <v>0</v>
      </c>
      <c r="G14" s="695">
        <v>0</v>
      </c>
      <c r="H14" s="695">
        <v>2575984.8341240827</v>
      </c>
      <c r="I14" s="695">
        <v>0</v>
      </c>
      <c r="J14" s="695">
        <v>105116.29</v>
      </c>
      <c r="K14" s="695">
        <v>0</v>
      </c>
      <c r="L14" s="695">
        <v>6631554.6955306185</v>
      </c>
      <c r="M14" s="695">
        <v>101769.64813099999</v>
      </c>
      <c r="N14" s="695">
        <v>2246.7052000000003</v>
      </c>
      <c r="O14" s="695">
        <v>783992.5115469998</v>
      </c>
      <c r="P14" s="695">
        <v>2652154.1856108466</v>
      </c>
      <c r="Q14" s="695">
        <v>65217.092799999984</v>
      </c>
      <c r="R14" s="695">
        <v>525499.19484299992</v>
      </c>
      <c r="S14" s="695">
        <v>276763.87443700025</v>
      </c>
      <c r="T14" s="695">
        <v>0</v>
      </c>
      <c r="U14" s="695">
        <v>0</v>
      </c>
      <c r="V14" s="695">
        <v>0</v>
      </c>
      <c r="W14" s="695">
        <v>0</v>
      </c>
      <c r="X14" s="695">
        <v>0</v>
      </c>
      <c r="Y14" s="695">
        <v>0</v>
      </c>
      <c r="Z14" s="695">
        <v>0</v>
      </c>
      <c r="AA14" s="695">
        <v>0</v>
      </c>
    </row>
    <row r="15" spans="1:28">
      <c r="A15" s="409">
        <v>2</v>
      </c>
      <c r="B15" s="387" t="s">
        <v>538</v>
      </c>
      <c r="C15" s="697">
        <v>76884177.489999995</v>
      </c>
      <c r="D15" s="695">
        <v>76884177.489999995</v>
      </c>
      <c r="E15" s="695">
        <v>0</v>
      </c>
      <c r="F15" s="695">
        <v>0</v>
      </c>
      <c r="G15" s="695">
        <v>0</v>
      </c>
      <c r="H15" s="695">
        <v>0</v>
      </c>
      <c r="I15" s="695">
        <v>0</v>
      </c>
      <c r="J15" s="695">
        <v>0</v>
      </c>
      <c r="K15" s="695">
        <v>0</v>
      </c>
      <c r="L15" s="695">
        <v>0</v>
      </c>
      <c r="M15" s="695">
        <v>0</v>
      </c>
      <c r="N15" s="695">
        <v>0</v>
      </c>
      <c r="O15" s="695">
        <v>0</v>
      </c>
      <c r="P15" s="695">
        <v>0</v>
      </c>
      <c r="Q15" s="695">
        <v>0</v>
      </c>
      <c r="R15" s="695">
        <v>0</v>
      </c>
      <c r="S15" s="695">
        <v>0</v>
      </c>
      <c r="T15" s="695">
        <v>0</v>
      </c>
      <c r="U15" s="695">
        <v>0</v>
      </c>
      <c r="V15" s="695">
        <v>0</v>
      </c>
      <c r="W15" s="695">
        <v>0</v>
      </c>
      <c r="X15" s="695">
        <v>0</v>
      </c>
      <c r="Y15" s="695">
        <v>0</v>
      </c>
      <c r="Z15" s="695">
        <v>0</v>
      </c>
      <c r="AA15" s="695">
        <v>0</v>
      </c>
    </row>
    <row r="16" spans="1:28">
      <c r="A16" s="384">
        <v>2.1</v>
      </c>
      <c r="B16" s="401" t="s">
        <v>532</v>
      </c>
      <c r="C16" s="702">
        <v>0</v>
      </c>
      <c r="D16" s="695">
        <v>0</v>
      </c>
      <c r="E16" s="695">
        <v>0</v>
      </c>
      <c r="F16" s="695">
        <v>0</v>
      </c>
      <c r="G16" s="695">
        <v>0</v>
      </c>
      <c r="H16" s="695">
        <v>0</v>
      </c>
      <c r="I16" s="695">
        <v>0</v>
      </c>
      <c r="J16" s="695">
        <v>0</v>
      </c>
      <c r="K16" s="695">
        <v>0</v>
      </c>
      <c r="L16" s="695">
        <v>0</v>
      </c>
      <c r="M16" s="695">
        <v>0</v>
      </c>
      <c r="N16" s="695">
        <v>0</v>
      </c>
      <c r="O16" s="695">
        <v>0</v>
      </c>
      <c r="P16" s="695">
        <v>0</v>
      </c>
      <c r="Q16" s="695">
        <v>0</v>
      </c>
      <c r="R16" s="695">
        <v>0</v>
      </c>
      <c r="S16" s="695">
        <v>0</v>
      </c>
      <c r="T16" s="695">
        <v>0</v>
      </c>
      <c r="U16" s="695">
        <v>0</v>
      </c>
      <c r="V16" s="695">
        <v>0</v>
      </c>
      <c r="W16" s="695">
        <v>0</v>
      </c>
      <c r="X16" s="695">
        <v>0</v>
      </c>
      <c r="Y16" s="695">
        <v>0</v>
      </c>
      <c r="Z16" s="695">
        <v>0</v>
      </c>
      <c r="AA16" s="695">
        <v>0</v>
      </c>
    </row>
    <row r="17" spans="1:27">
      <c r="A17" s="384">
        <v>2.2000000000000002</v>
      </c>
      <c r="B17" s="401" t="s">
        <v>533</v>
      </c>
      <c r="C17" s="702">
        <v>21941699.359999999</v>
      </c>
      <c r="D17" s="695">
        <v>21941699.359999999</v>
      </c>
      <c r="E17" s="695">
        <v>0</v>
      </c>
      <c r="F17" s="695">
        <v>0</v>
      </c>
      <c r="G17" s="695">
        <v>0</v>
      </c>
      <c r="H17" s="695">
        <v>0</v>
      </c>
      <c r="I17" s="695">
        <v>0</v>
      </c>
      <c r="J17" s="695">
        <v>0</v>
      </c>
      <c r="K17" s="695">
        <v>0</v>
      </c>
      <c r="L17" s="695">
        <v>0</v>
      </c>
      <c r="M17" s="695">
        <v>0</v>
      </c>
      <c r="N17" s="695">
        <v>0</v>
      </c>
      <c r="O17" s="695">
        <v>0</v>
      </c>
      <c r="P17" s="695">
        <v>0</v>
      </c>
      <c r="Q17" s="695">
        <v>0</v>
      </c>
      <c r="R17" s="695">
        <v>0</v>
      </c>
      <c r="S17" s="695">
        <v>0</v>
      </c>
      <c r="T17" s="695">
        <v>0</v>
      </c>
      <c r="U17" s="695">
        <v>0</v>
      </c>
      <c r="V17" s="695">
        <v>0</v>
      </c>
      <c r="W17" s="695">
        <v>0</v>
      </c>
      <c r="X17" s="695">
        <v>0</v>
      </c>
      <c r="Y17" s="695">
        <v>0</v>
      </c>
      <c r="Z17" s="695">
        <v>0</v>
      </c>
      <c r="AA17" s="695">
        <v>0</v>
      </c>
    </row>
    <row r="18" spans="1:27">
      <c r="A18" s="384">
        <v>2.2999999999999998</v>
      </c>
      <c r="B18" s="401" t="s">
        <v>534</v>
      </c>
      <c r="C18" s="702">
        <v>0</v>
      </c>
      <c r="D18" s="695">
        <v>0</v>
      </c>
      <c r="E18" s="695">
        <v>0</v>
      </c>
      <c r="F18" s="695">
        <v>0</v>
      </c>
      <c r="G18" s="695">
        <v>0</v>
      </c>
      <c r="H18" s="695">
        <v>0</v>
      </c>
      <c r="I18" s="695">
        <v>0</v>
      </c>
      <c r="J18" s="695">
        <v>0</v>
      </c>
      <c r="K18" s="695">
        <v>0</v>
      </c>
      <c r="L18" s="695">
        <v>0</v>
      </c>
      <c r="M18" s="695">
        <v>0</v>
      </c>
      <c r="N18" s="695">
        <v>0</v>
      </c>
      <c r="O18" s="695">
        <v>0</v>
      </c>
      <c r="P18" s="695">
        <v>0</v>
      </c>
      <c r="Q18" s="695">
        <v>0</v>
      </c>
      <c r="R18" s="695">
        <v>0</v>
      </c>
      <c r="S18" s="695">
        <v>0</v>
      </c>
      <c r="T18" s="695">
        <v>0</v>
      </c>
      <c r="U18" s="695">
        <v>0</v>
      </c>
      <c r="V18" s="695">
        <v>0</v>
      </c>
      <c r="W18" s="695">
        <v>0</v>
      </c>
      <c r="X18" s="695">
        <v>0</v>
      </c>
      <c r="Y18" s="695">
        <v>0</v>
      </c>
      <c r="Z18" s="695">
        <v>0</v>
      </c>
      <c r="AA18" s="695">
        <v>0</v>
      </c>
    </row>
    <row r="19" spans="1:27">
      <c r="A19" s="384">
        <v>2.4</v>
      </c>
      <c r="B19" s="401" t="s">
        <v>535</v>
      </c>
      <c r="C19" s="702">
        <v>27055694.239999998</v>
      </c>
      <c r="D19" s="695">
        <v>27055694.239999998</v>
      </c>
      <c r="E19" s="695">
        <v>0</v>
      </c>
      <c r="F19" s="695">
        <v>0</v>
      </c>
      <c r="G19" s="695">
        <v>0</v>
      </c>
      <c r="H19" s="695">
        <v>0</v>
      </c>
      <c r="I19" s="695">
        <v>0</v>
      </c>
      <c r="J19" s="695">
        <v>0</v>
      </c>
      <c r="K19" s="695">
        <v>0</v>
      </c>
      <c r="L19" s="695">
        <v>0</v>
      </c>
      <c r="M19" s="695">
        <v>0</v>
      </c>
      <c r="N19" s="695">
        <v>0</v>
      </c>
      <c r="O19" s="695">
        <v>0</v>
      </c>
      <c r="P19" s="695">
        <v>0</v>
      </c>
      <c r="Q19" s="695">
        <v>0</v>
      </c>
      <c r="R19" s="695">
        <v>0</v>
      </c>
      <c r="S19" s="695">
        <v>0</v>
      </c>
      <c r="T19" s="695">
        <v>0</v>
      </c>
      <c r="U19" s="695">
        <v>0</v>
      </c>
      <c r="V19" s="695">
        <v>0</v>
      </c>
      <c r="W19" s="695">
        <v>0</v>
      </c>
      <c r="X19" s="695">
        <v>0</v>
      </c>
      <c r="Y19" s="695">
        <v>0</v>
      </c>
      <c r="Z19" s="695">
        <v>0</v>
      </c>
      <c r="AA19" s="695">
        <v>0</v>
      </c>
    </row>
    <row r="20" spans="1:27">
      <c r="A20" s="384">
        <v>2.5</v>
      </c>
      <c r="B20" s="401" t="s">
        <v>536</v>
      </c>
      <c r="C20" s="702">
        <v>27886783.890000004</v>
      </c>
      <c r="D20" s="695">
        <v>27886783.890000004</v>
      </c>
      <c r="E20" s="695">
        <v>0</v>
      </c>
      <c r="F20" s="695">
        <v>0</v>
      </c>
      <c r="G20" s="695">
        <v>0</v>
      </c>
      <c r="H20" s="695">
        <v>0</v>
      </c>
      <c r="I20" s="695">
        <v>0</v>
      </c>
      <c r="J20" s="695">
        <v>0</v>
      </c>
      <c r="K20" s="695">
        <v>0</v>
      </c>
      <c r="L20" s="695">
        <v>0</v>
      </c>
      <c r="M20" s="695">
        <v>0</v>
      </c>
      <c r="N20" s="695">
        <v>0</v>
      </c>
      <c r="O20" s="695">
        <v>0</v>
      </c>
      <c r="P20" s="695">
        <v>0</v>
      </c>
      <c r="Q20" s="695">
        <v>0</v>
      </c>
      <c r="R20" s="695">
        <v>0</v>
      </c>
      <c r="S20" s="695">
        <v>0</v>
      </c>
      <c r="T20" s="695">
        <v>0</v>
      </c>
      <c r="U20" s="695">
        <v>0</v>
      </c>
      <c r="V20" s="695">
        <v>0</v>
      </c>
      <c r="W20" s="695">
        <v>0</v>
      </c>
      <c r="X20" s="695">
        <v>0</v>
      </c>
      <c r="Y20" s="695">
        <v>0</v>
      </c>
      <c r="Z20" s="695">
        <v>0</v>
      </c>
      <c r="AA20" s="695">
        <v>0</v>
      </c>
    </row>
    <row r="21" spans="1:27">
      <c r="A21" s="384">
        <v>2.6</v>
      </c>
      <c r="B21" s="401" t="s">
        <v>537</v>
      </c>
      <c r="C21" s="702">
        <v>0</v>
      </c>
      <c r="D21" s="695">
        <v>0</v>
      </c>
      <c r="E21" s="695">
        <v>0</v>
      </c>
      <c r="F21" s="695">
        <v>0</v>
      </c>
      <c r="G21" s="695">
        <v>0</v>
      </c>
      <c r="H21" s="695">
        <v>0</v>
      </c>
      <c r="I21" s="695">
        <v>0</v>
      </c>
      <c r="J21" s="695">
        <v>0</v>
      </c>
      <c r="K21" s="695">
        <v>0</v>
      </c>
      <c r="L21" s="695">
        <v>0</v>
      </c>
      <c r="M21" s="695">
        <v>0</v>
      </c>
      <c r="N21" s="695">
        <v>0</v>
      </c>
      <c r="O21" s="695">
        <v>0</v>
      </c>
      <c r="P21" s="695">
        <v>0</v>
      </c>
      <c r="Q21" s="695">
        <v>0</v>
      </c>
      <c r="R21" s="695">
        <v>0</v>
      </c>
      <c r="S21" s="695">
        <v>0</v>
      </c>
      <c r="T21" s="695">
        <v>0</v>
      </c>
      <c r="U21" s="695">
        <v>0</v>
      </c>
      <c r="V21" s="695">
        <v>0</v>
      </c>
      <c r="W21" s="695">
        <v>0</v>
      </c>
      <c r="X21" s="695">
        <v>0</v>
      </c>
      <c r="Y21" s="695">
        <v>0</v>
      </c>
      <c r="Z21" s="695">
        <v>0</v>
      </c>
      <c r="AA21" s="695">
        <v>0</v>
      </c>
    </row>
    <row r="22" spans="1:27">
      <c r="A22" s="409">
        <v>3</v>
      </c>
      <c r="B22" s="387" t="s">
        <v>539</v>
      </c>
      <c r="C22" s="697">
        <v>220491099.47840008</v>
      </c>
      <c r="D22" s="697">
        <v>217483115.07470009</v>
      </c>
      <c r="E22" s="703"/>
      <c r="F22" s="703"/>
      <c r="G22" s="703"/>
      <c r="H22" s="697">
        <v>3006918.1902999999</v>
      </c>
      <c r="I22" s="703"/>
      <c r="J22" s="703"/>
      <c r="K22" s="703"/>
      <c r="L22" s="697">
        <v>1066.2094000002671</v>
      </c>
      <c r="M22" s="703"/>
      <c r="N22" s="703"/>
      <c r="O22" s="703"/>
      <c r="P22" s="703"/>
      <c r="Q22" s="703"/>
      <c r="R22" s="703"/>
      <c r="S22" s="703"/>
      <c r="T22" s="697">
        <v>4.0000000153668225E-3</v>
      </c>
      <c r="U22" s="703"/>
      <c r="V22" s="703"/>
      <c r="W22" s="703"/>
      <c r="X22" s="703"/>
      <c r="Y22" s="703"/>
      <c r="Z22" s="703"/>
      <c r="AA22" s="703"/>
    </row>
    <row r="23" spans="1:27">
      <c r="A23" s="384">
        <v>3.1</v>
      </c>
      <c r="B23" s="401" t="s">
        <v>532</v>
      </c>
      <c r="C23" s="702">
        <v>0</v>
      </c>
      <c r="D23" s="697">
        <v>0</v>
      </c>
      <c r="E23" s="703"/>
      <c r="F23" s="703"/>
      <c r="G23" s="703"/>
      <c r="H23" s="697">
        <v>0</v>
      </c>
      <c r="I23" s="703"/>
      <c r="J23" s="703"/>
      <c r="K23" s="703"/>
      <c r="L23" s="697">
        <v>0</v>
      </c>
      <c r="M23" s="703"/>
      <c r="N23" s="703"/>
      <c r="O23" s="703"/>
      <c r="P23" s="703"/>
      <c r="Q23" s="703"/>
      <c r="R23" s="703"/>
      <c r="S23" s="703"/>
      <c r="T23" s="697">
        <v>0</v>
      </c>
      <c r="U23" s="703"/>
      <c r="V23" s="703"/>
      <c r="W23" s="703"/>
      <c r="X23" s="703"/>
      <c r="Y23" s="703"/>
      <c r="Z23" s="703"/>
      <c r="AA23" s="703"/>
    </row>
    <row r="24" spans="1:27">
      <c r="A24" s="384">
        <v>3.2</v>
      </c>
      <c r="B24" s="401" t="s">
        <v>533</v>
      </c>
      <c r="C24" s="702">
        <v>0</v>
      </c>
      <c r="D24" s="697">
        <v>0</v>
      </c>
      <c r="E24" s="703"/>
      <c r="F24" s="703"/>
      <c r="G24" s="703"/>
      <c r="H24" s="697">
        <v>0</v>
      </c>
      <c r="I24" s="703"/>
      <c r="J24" s="703"/>
      <c r="K24" s="703"/>
      <c r="L24" s="697">
        <v>0</v>
      </c>
      <c r="M24" s="703"/>
      <c r="N24" s="703"/>
      <c r="O24" s="703"/>
      <c r="P24" s="703"/>
      <c r="Q24" s="703"/>
      <c r="R24" s="703"/>
      <c r="S24" s="703"/>
      <c r="T24" s="697">
        <v>0</v>
      </c>
      <c r="U24" s="703"/>
      <c r="V24" s="703"/>
      <c r="W24" s="703"/>
      <c r="X24" s="703"/>
      <c r="Y24" s="703"/>
      <c r="Z24" s="703"/>
      <c r="AA24" s="703"/>
    </row>
    <row r="25" spans="1:27">
      <c r="A25" s="384">
        <v>3.3</v>
      </c>
      <c r="B25" s="401" t="s">
        <v>534</v>
      </c>
      <c r="C25" s="702">
        <v>0</v>
      </c>
      <c r="D25" s="697">
        <v>0</v>
      </c>
      <c r="E25" s="703"/>
      <c r="F25" s="703"/>
      <c r="G25" s="703"/>
      <c r="H25" s="697">
        <v>0</v>
      </c>
      <c r="I25" s="703"/>
      <c r="J25" s="703"/>
      <c r="K25" s="703"/>
      <c r="L25" s="697">
        <v>0</v>
      </c>
      <c r="M25" s="703"/>
      <c r="N25" s="703"/>
      <c r="O25" s="703"/>
      <c r="P25" s="703"/>
      <c r="Q25" s="703"/>
      <c r="R25" s="703"/>
      <c r="S25" s="703"/>
      <c r="T25" s="697">
        <v>0</v>
      </c>
      <c r="U25" s="703"/>
      <c r="V25" s="703"/>
      <c r="W25" s="703"/>
      <c r="X25" s="703"/>
      <c r="Y25" s="703"/>
      <c r="Z25" s="703"/>
      <c r="AA25" s="703"/>
    </row>
    <row r="26" spans="1:27">
      <c r="A26" s="384">
        <v>3.4</v>
      </c>
      <c r="B26" s="401" t="s">
        <v>535</v>
      </c>
      <c r="C26" s="702">
        <v>9719970.0399999972</v>
      </c>
      <c r="D26" s="697">
        <v>9719970.0399999972</v>
      </c>
      <c r="E26" s="703"/>
      <c r="F26" s="703"/>
      <c r="G26" s="703"/>
      <c r="H26" s="697">
        <v>0</v>
      </c>
      <c r="I26" s="703"/>
      <c r="J26" s="703"/>
      <c r="K26" s="703"/>
      <c r="L26" s="697">
        <v>0</v>
      </c>
      <c r="M26" s="703"/>
      <c r="N26" s="703"/>
      <c r="O26" s="703"/>
      <c r="P26" s="703"/>
      <c r="Q26" s="703"/>
      <c r="R26" s="703"/>
      <c r="S26" s="703"/>
      <c r="T26" s="697">
        <v>0</v>
      </c>
      <c r="U26" s="703"/>
      <c r="V26" s="703"/>
      <c r="W26" s="703"/>
      <c r="X26" s="703"/>
      <c r="Y26" s="703"/>
      <c r="Z26" s="703"/>
      <c r="AA26" s="703"/>
    </row>
    <row r="27" spans="1:27">
      <c r="A27" s="384">
        <v>3.5</v>
      </c>
      <c r="B27" s="401" t="s">
        <v>536</v>
      </c>
      <c r="C27" s="702">
        <v>206347781.69280007</v>
      </c>
      <c r="D27" s="697">
        <v>203340870.17370009</v>
      </c>
      <c r="E27" s="703"/>
      <c r="F27" s="703"/>
      <c r="G27" s="703"/>
      <c r="H27" s="697">
        <v>3006911.4841999998</v>
      </c>
      <c r="I27" s="703"/>
      <c r="J27" s="703"/>
      <c r="K27" s="703"/>
      <c r="L27" s="697">
        <v>3.0900000188921695E-2</v>
      </c>
      <c r="M27" s="703"/>
      <c r="N27" s="703"/>
      <c r="O27" s="703"/>
      <c r="P27" s="703"/>
      <c r="Q27" s="703"/>
      <c r="R27" s="703"/>
      <c r="S27" s="703"/>
      <c r="T27" s="697">
        <v>4.0000000153668225E-3</v>
      </c>
      <c r="U27" s="703"/>
      <c r="V27" s="703"/>
      <c r="W27" s="703"/>
      <c r="X27" s="703"/>
      <c r="Y27" s="703"/>
      <c r="Z27" s="703"/>
      <c r="AA27" s="703"/>
    </row>
    <row r="28" spans="1:27">
      <c r="A28" s="384">
        <v>3.6</v>
      </c>
      <c r="B28" s="401" t="s">
        <v>537</v>
      </c>
      <c r="C28" s="702">
        <v>4423347.745600001</v>
      </c>
      <c r="D28" s="697">
        <v>4422274.8610000014</v>
      </c>
      <c r="E28" s="703"/>
      <c r="F28" s="703"/>
      <c r="G28" s="703"/>
      <c r="H28" s="697">
        <v>6.7060999999834223</v>
      </c>
      <c r="I28" s="703"/>
      <c r="J28" s="703"/>
      <c r="K28" s="703"/>
      <c r="L28" s="697">
        <v>1066.1785000000782</v>
      </c>
      <c r="M28" s="703"/>
      <c r="N28" s="703"/>
      <c r="O28" s="703"/>
      <c r="P28" s="703"/>
      <c r="Q28" s="703"/>
      <c r="R28" s="703"/>
      <c r="S28" s="703"/>
      <c r="T28" s="697">
        <v>0</v>
      </c>
      <c r="U28" s="703"/>
      <c r="V28" s="703"/>
      <c r="W28" s="703"/>
      <c r="X28" s="703"/>
      <c r="Y28" s="703"/>
      <c r="Z28" s="703"/>
      <c r="AA28" s="703"/>
    </row>
    <row r="35" spans="3:27">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row>
    <row r="36" spans="3:27">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row>
    <row r="37" spans="3:27">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row>
    <row r="38" spans="3:27">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row>
    <row r="39" spans="3:27">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row>
    <row r="40" spans="3:27">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row>
    <row r="41" spans="3:27">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row>
    <row r="42" spans="3:27">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row>
    <row r="43" spans="3:27">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row>
    <row r="44" spans="3:27">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row>
    <row r="45" spans="3:27">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row>
    <row r="46" spans="3:27">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row>
    <row r="47" spans="3:27">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row>
    <row r="48" spans="3:27">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row>
    <row r="49" spans="3:27">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row>
    <row r="50" spans="3:27">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row>
    <row r="51" spans="3:27">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row>
    <row r="52" spans="3:27">
      <c r="C52" s="700"/>
      <c r="D52" s="700"/>
      <c r="E52" s="700"/>
      <c r="F52" s="700"/>
      <c r="G52" s="700"/>
      <c r="H52" s="700"/>
      <c r="I52" s="700"/>
      <c r="J52" s="700"/>
      <c r="K52" s="700"/>
      <c r="L52" s="700"/>
      <c r="M52" s="700"/>
      <c r="N52" s="700"/>
      <c r="O52" s="700"/>
      <c r="P52" s="700"/>
      <c r="Q52" s="700"/>
      <c r="R52" s="700"/>
      <c r="S52" s="700"/>
      <c r="T52" s="700"/>
      <c r="U52" s="700"/>
      <c r="V52" s="700"/>
      <c r="W52" s="700"/>
      <c r="X52" s="700"/>
      <c r="Y52" s="700"/>
      <c r="Z52" s="700"/>
      <c r="AA52" s="700"/>
    </row>
    <row r="53" spans="3:27">
      <c r="C53" s="700"/>
      <c r="D53" s="700"/>
      <c r="E53" s="700"/>
      <c r="F53" s="700"/>
      <c r="G53" s="700"/>
      <c r="H53" s="700"/>
      <c r="I53" s="700"/>
      <c r="J53" s="700"/>
      <c r="K53" s="700"/>
      <c r="L53" s="700"/>
      <c r="M53" s="700"/>
      <c r="N53" s="700"/>
      <c r="O53" s="700"/>
      <c r="P53" s="700"/>
      <c r="Q53" s="700"/>
      <c r="R53" s="700"/>
      <c r="S53" s="700"/>
      <c r="T53" s="700"/>
      <c r="U53" s="700"/>
      <c r="V53" s="700"/>
      <c r="W53" s="700"/>
      <c r="X53" s="700"/>
      <c r="Y53" s="700"/>
      <c r="Z53" s="700"/>
      <c r="AA53" s="700"/>
    </row>
    <row r="54" spans="3:27">
      <c r="C54" s="700"/>
      <c r="D54" s="700"/>
      <c r="E54" s="700"/>
      <c r="F54" s="700"/>
      <c r="G54" s="700"/>
      <c r="H54" s="700"/>
      <c r="I54" s="700"/>
      <c r="J54" s="700"/>
      <c r="K54" s="700"/>
      <c r="L54" s="700"/>
      <c r="M54" s="700"/>
      <c r="N54" s="700"/>
      <c r="O54" s="700"/>
      <c r="P54" s="700"/>
      <c r="Q54" s="700"/>
      <c r="R54" s="700"/>
      <c r="S54" s="700"/>
      <c r="T54" s="700"/>
      <c r="U54" s="700"/>
      <c r="V54" s="700"/>
      <c r="W54" s="700"/>
      <c r="X54" s="700"/>
      <c r="Y54" s="700"/>
      <c r="Z54" s="700"/>
      <c r="AA54" s="700"/>
    </row>
    <row r="55" spans="3:27">
      <c r="C55" s="700"/>
      <c r="D55" s="700"/>
      <c r="E55" s="700"/>
      <c r="F55" s="700"/>
      <c r="G55" s="700"/>
      <c r="H55" s="700"/>
      <c r="I55" s="700"/>
      <c r="J55" s="700"/>
      <c r="K55" s="700"/>
      <c r="L55" s="700"/>
      <c r="M55" s="700"/>
      <c r="N55" s="700"/>
      <c r="O55" s="700"/>
      <c r="P55" s="700"/>
      <c r="Q55" s="700"/>
      <c r="R55" s="700"/>
      <c r="S55" s="700"/>
      <c r="T55" s="700"/>
      <c r="U55" s="700"/>
      <c r="V55" s="700"/>
      <c r="W55" s="700"/>
      <c r="X55" s="700"/>
      <c r="Y55" s="700"/>
      <c r="Z55" s="700"/>
      <c r="AA55" s="700"/>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42"/>
  <sheetViews>
    <sheetView showGridLines="0" zoomScale="80" zoomScaleNormal="80" workbookViewId="0"/>
  </sheetViews>
  <sheetFormatPr defaultColWidth="9.28515625" defaultRowHeight="12.75"/>
  <cols>
    <col min="1" max="1" width="11.7109375" style="394" bestFit="1" customWidth="1"/>
    <col min="2" max="2" width="90.28515625" style="394" bestFit="1" customWidth="1"/>
    <col min="3" max="3" width="20.28515625" style="394" customWidth="1"/>
    <col min="4" max="4" width="22.28515625" style="394" customWidth="1"/>
    <col min="5" max="7" width="17.140625" style="394" customWidth="1"/>
    <col min="8" max="8" width="22.28515625" style="394" customWidth="1"/>
    <col min="9" max="10" width="17.140625" style="394" customWidth="1"/>
    <col min="11" max="27" width="22.28515625" style="394" customWidth="1"/>
    <col min="28" max="16384" width="9.28515625" style="394"/>
  </cols>
  <sheetData>
    <row r="1" spans="1:27" ht="13.5">
      <c r="A1" s="299" t="s">
        <v>97</v>
      </c>
      <c r="B1" s="221" t="str">
        <f>Info!C2</f>
        <v>სს "ბანკი ქართუ"</v>
      </c>
    </row>
    <row r="2" spans="1:27">
      <c r="A2" s="299" t="s">
        <v>98</v>
      </c>
      <c r="B2" s="634">
        <f>'1. key ratios'!B2</f>
        <v>46203</v>
      </c>
    </row>
    <row r="3" spans="1:27">
      <c r="A3" s="301" t="s">
        <v>540</v>
      </c>
      <c r="C3" s="396"/>
    </row>
    <row r="4" spans="1:27" ht="13.5" thickBot="1">
      <c r="A4" s="301"/>
      <c r="B4" s="396"/>
      <c r="C4" s="396"/>
    </row>
    <row r="5" spans="1:27" ht="13.5" customHeight="1">
      <c r="A5" s="830" t="s">
        <v>869</v>
      </c>
      <c r="B5" s="831"/>
      <c r="C5" s="827" t="s">
        <v>541</v>
      </c>
      <c r="D5" s="828"/>
      <c r="E5" s="828"/>
      <c r="F5" s="828"/>
      <c r="G5" s="828"/>
      <c r="H5" s="828"/>
      <c r="I5" s="828"/>
      <c r="J5" s="828"/>
      <c r="K5" s="828"/>
      <c r="L5" s="828"/>
      <c r="M5" s="828"/>
      <c r="N5" s="828"/>
      <c r="O5" s="828"/>
      <c r="P5" s="828"/>
      <c r="Q5" s="828"/>
      <c r="R5" s="828"/>
      <c r="S5" s="828"/>
      <c r="T5" s="828"/>
      <c r="U5" s="828"/>
      <c r="V5" s="828"/>
      <c r="W5" s="828"/>
      <c r="X5" s="828"/>
      <c r="Y5" s="828"/>
      <c r="Z5" s="828"/>
      <c r="AA5" s="829"/>
    </row>
    <row r="6" spans="1:27" ht="12" customHeight="1">
      <c r="A6" s="832"/>
      <c r="B6" s="833"/>
      <c r="C6" s="836" t="s">
        <v>66</v>
      </c>
      <c r="D6" s="801" t="s">
        <v>860</v>
      </c>
      <c r="E6" s="801"/>
      <c r="F6" s="801"/>
      <c r="G6" s="801"/>
      <c r="H6" s="822" t="s">
        <v>859</v>
      </c>
      <c r="I6" s="823"/>
      <c r="J6" s="823"/>
      <c r="K6" s="823"/>
      <c r="L6" s="416"/>
      <c r="M6" s="805" t="s">
        <v>858</v>
      </c>
      <c r="N6" s="805"/>
      <c r="O6" s="805"/>
      <c r="P6" s="805"/>
      <c r="Q6" s="805"/>
      <c r="R6" s="805"/>
      <c r="S6" s="803"/>
      <c r="T6" s="416"/>
      <c r="U6" s="805" t="s">
        <v>857</v>
      </c>
      <c r="V6" s="805"/>
      <c r="W6" s="805"/>
      <c r="X6" s="805"/>
      <c r="Y6" s="805"/>
      <c r="Z6" s="805"/>
      <c r="AA6" s="826"/>
    </row>
    <row r="7" spans="1:27" ht="38.25">
      <c r="A7" s="834"/>
      <c r="B7" s="835"/>
      <c r="C7" s="837"/>
      <c r="D7" s="414"/>
      <c r="E7" s="391" t="s">
        <v>530</v>
      </c>
      <c r="F7" s="391" t="s">
        <v>855</v>
      </c>
      <c r="G7" s="391" t="s">
        <v>856</v>
      </c>
      <c r="H7" s="395"/>
      <c r="I7" s="391" t="s">
        <v>530</v>
      </c>
      <c r="J7" s="391" t="s">
        <v>855</v>
      </c>
      <c r="K7" s="391" t="s">
        <v>856</v>
      </c>
      <c r="L7" s="411"/>
      <c r="M7" s="391" t="s">
        <v>530</v>
      </c>
      <c r="N7" s="391" t="s">
        <v>868</v>
      </c>
      <c r="O7" s="391" t="s">
        <v>867</v>
      </c>
      <c r="P7" s="391" t="s">
        <v>866</v>
      </c>
      <c r="Q7" s="391" t="s">
        <v>865</v>
      </c>
      <c r="R7" s="391" t="s">
        <v>864</v>
      </c>
      <c r="S7" s="391" t="s">
        <v>850</v>
      </c>
      <c r="T7" s="411"/>
      <c r="U7" s="391" t="s">
        <v>530</v>
      </c>
      <c r="V7" s="391" t="s">
        <v>868</v>
      </c>
      <c r="W7" s="391" t="s">
        <v>867</v>
      </c>
      <c r="X7" s="391" t="s">
        <v>866</v>
      </c>
      <c r="Y7" s="391" t="s">
        <v>865</v>
      </c>
      <c r="Z7" s="391" t="s">
        <v>864</v>
      </c>
      <c r="AA7" s="391" t="s">
        <v>850</v>
      </c>
    </row>
    <row r="8" spans="1:27">
      <c r="A8" s="440">
        <v>1</v>
      </c>
      <c r="B8" s="439" t="s">
        <v>531</v>
      </c>
      <c r="C8" s="704">
        <v>1199628047.2986109</v>
      </c>
      <c r="D8" s="695">
        <v>978060208.14910126</v>
      </c>
      <c r="E8" s="695">
        <v>21345392.924610063</v>
      </c>
      <c r="F8" s="695">
        <v>0</v>
      </c>
      <c r="G8" s="695">
        <v>0</v>
      </c>
      <c r="H8" s="695">
        <v>135895965.97028276</v>
      </c>
      <c r="I8" s="695">
        <v>11724403.083783202</v>
      </c>
      <c r="J8" s="695">
        <v>31280234.600297846</v>
      </c>
      <c r="K8" s="695">
        <v>0</v>
      </c>
      <c r="L8" s="695">
        <v>84767869.283077404</v>
      </c>
      <c r="M8" s="695">
        <v>101769.64813099999</v>
      </c>
      <c r="N8" s="695">
        <v>103744.74599999997</v>
      </c>
      <c r="O8" s="695">
        <v>2346133.1669228594</v>
      </c>
      <c r="P8" s="695">
        <v>20106313.606683824</v>
      </c>
      <c r="Q8" s="695">
        <v>1770058.6811858406</v>
      </c>
      <c r="R8" s="695">
        <v>33958340.632456571</v>
      </c>
      <c r="S8" s="695">
        <v>10522608.584492274</v>
      </c>
      <c r="T8" s="695">
        <v>904003.89614899992</v>
      </c>
      <c r="U8" s="695">
        <v>0</v>
      </c>
      <c r="V8" s="695">
        <v>0</v>
      </c>
      <c r="W8" s="695">
        <v>0</v>
      </c>
      <c r="X8" s="695">
        <v>0</v>
      </c>
      <c r="Y8" s="695">
        <v>0</v>
      </c>
      <c r="Z8" s="695">
        <v>0</v>
      </c>
      <c r="AA8" s="705">
        <v>0</v>
      </c>
    </row>
    <row r="9" spans="1:27">
      <c r="A9" s="432">
        <v>1.1000000000000001</v>
      </c>
      <c r="B9" s="438" t="s">
        <v>542</v>
      </c>
      <c r="C9" s="706">
        <v>1159439098.8592291</v>
      </c>
      <c r="D9" s="695">
        <v>951042603.47896612</v>
      </c>
      <c r="E9" s="695">
        <v>21345392.924610063</v>
      </c>
      <c r="F9" s="695">
        <v>0</v>
      </c>
      <c r="G9" s="695">
        <v>0</v>
      </c>
      <c r="H9" s="695">
        <v>131336262.83428593</v>
      </c>
      <c r="I9" s="695">
        <v>10845362.163740275</v>
      </c>
      <c r="J9" s="695">
        <v>31280234.600297846</v>
      </c>
      <c r="K9" s="695">
        <v>0</v>
      </c>
      <c r="L9" s="695">
        <v>76156228.649825633</v>
      </c>
      <c r="M9" s="695">
        <v>101769.64813099999</v>
      </c>
      <c r="N9" s="695">
        <v>70307.19</v>
      </c>
      <c r="O9" s="695">
        <v>2261701.9732228601</v>
      </c>
      <c r="P9" s="695">
        <v>20105687.927683812</v>
      </c>
      <c r="Q9" s="695">
        <v>1663620.5483858408</v>
      </c>
      <c r="R9" s="695">
        <v>33852447.083656497</v>
      </c>
      <c r="S9" s="695">
        <v>10439070.03399227</v>
      </c>
      <c r="T9" s="695">
        <v>904003.89614899992</v>
      </c>
      <c r="U9" s="695">
        <v>0</v>
      </c>
      <c r="V9" s="695">
        <v>0</v>
      </c>
      <c r="W9" s="695">
        <v>0</v>
      </c>
      <c r="X9" s="695">
        <v>0</v>
      </c>
      <c r="Y9" s="695">
        <v>0</v>
      </c>
      <c r="Z9" s="695">
        <v>0</v>
      </c>
      <c r="AA9" s="705">
        <v>0</v>
      </c>
    </row>
    <row r="10" spans="1:27">
      <c r="A10" s="436" t="s">
        <v>146</v>
      </c>
      <c r="B10" s="437" t="s">
        <v>543</v>
      </c>
      <c r="C10" s="707">
        <v>1046336377.4145042</v>
      </c>
      <c r="D10" s="695">
        <v>842798943.1997304</v>
      </c>
      <c r="E10" s="695">
        <v>18181465.662870061</v>
      </c>
      <c r="F10" s="695">
        <v>0</v>
      </c>
      <c r="G10" s="695">
        <v>0</v>
      </c>
      <c r="H10" s="695">
        <v>131336262.83428593</v>
      </c>
      <c r="I10" s="695">
        <v>10845362.163740275</v>
      </c>
      <c r="J10" s="695">
        <v>31280234.600297846</v>
      </c>
      <c r="K10" s="695">
        <v>0</v>
      </c>
      <c r="L10" s="695">
        <v>71297167.484339014</v>
      </c>
      <c r="M10" s="695">
        <v>101769.64813099999</v>
      </c>
      <c r="N10" s="695">
        <v>70307.19</v>
      </c>
      <c r="O10" s="695">
        <v>2261701.9732228601</v>
      </c>
      <c r="P10" s="695">
        <v>19994493.837683812</v>
      </c>
      <c r="Q10" s="695">
        <v>753108.31488584075</v>
      </c>
      <c r="R10" s="695">
        <v>33031768.444556493</v>
      </c>
      <c r="S10" s="695">
        <v>10139064.021492269</v>
      </c>
      <c r="T10" s="695">
        <v>904003.89614899992</v>
      </c>
      <c r="U10" s="695">
        <v>0</v>
      </c>
      <c r="V10" s="695">
        <v>0</v>
      </c>
      <c r="W10" s="695">
        <v>0</v>
      </c>
      <c r="X10" s="695">
        <v>0</v>
      </c>
      <c r="Y10" s="695">
        <v>0</v>
      </c>
      <c r="Z10" s="695">
        <v>0</v>
      </c>
      <c r="AA10" s="705">
        <v>0</v>
      </c>
    </row>
    <row r="11" spans="1:27">
      <c r="A11" s="434" t="s">
        <v>544</v>
      </c>
      <c r="B11" s="435" t="s">
        <v>545</v>
      </c>
      <c r="C11" s="708">
        <v>300192913.62949252</v>
      </c>
      <c r="D11" s="695">
        <v>251683365.24751374</v>
      </c>
      <c r="E11" s="695">
        <v>3676615.7776398896</v>
      </c>
      <c r="F11" s="695">
        <v>0</v>
      </c>
      <c r="G11" s="695">
        <v>0</v>
      </c>
      <c r="H11" s="695">
        <v>12955043.369934639</v>
      </c>
      <c r="I11" s="695">
        <v>966504.02234899998</v>
      </c>
      <c r="J11" s="695">
        <v>6819379.6694060005</v>
      </c>
      <c r="K11" s="695">
        <v>0</v>
      </c>
      <c r="L11" s="695">
        <v>34650501.115894824</v>
      </c>
      <c r="M11" s="695">
        <v>101769.64813099999</v>
      </c>
      <c r="N11" s="695">
        <v>70307.19</v>
      </c>
      <c r="O11" s="695">
        <v>2261701.9732228601</v>
      </c>
      <c r="P11" s="695">
        <v>17480971.967304967</v>
      </c>
      <c r="Q11" s="695">
        <v>0</v>
      </c>
      <c r="R11" s="695">
        <v>744186.87983200001</v>
      </c>
      <c r="S11" s="695">
        <v>9655456.1480582692</v>
      </c>
      <c r="T11" s="695">
        <v>904003.89614899992</v>
      </c>
      <c r="U11" s="695">
        <v>0</v>
      </c>
      <c r="V11" s="695">
        <v>0</v>
      </c>
      <c r="W11" s="695">
        <v>0</v>
      </c>
      <c r="X11" s="695">
        <v>0</v>
      </c>
      <c r="Y11" s="695">
        <v>0</v>
      </c>
      <c r="Z11" s="695">
        <v>0</v>
      </c>
      <c r="AA11" s="705">
        <v>0</v>
      </c>
    </row>
    <row r="12" spans="1:27">
      <c r="A12" s="434" t="s">
        <v>546</v>
      </c>
      <c r="B12" s="435" t="s">
        <v>547</v>
      </c>
      <c r="C12" s="708">
        <v>223505203.15474802</v>
      </c>
      <c r="D12" s="695">
        <v>187926171.30064553</v>
      </c>
      <c r="E12" s="695">
        <v>0</v>
      </c>
      <c r="F12" s="695">
        <v>0</v>
      </c>
      <c r="G12" s="695">
        <v>0</v>
      </c>
      <c r="H12" s="695">
        <v>30397845.251419108</v>
      </c>
      <c r="I12" s="695">
        <v>153218.103864</v>
      </c>
      <c r="J12" s="695">
        <v>24460854.930891845</v>
      </c>
      <c r="K12" s="695">
        <v>0</v>
      </c>
      <c r="L12" s="695">
        <v>5181186.6026834259</v>
      </c>
      <c r="M12" s="695">
        <v>0</v>
      </c>
      <c r="N12" s="695">
        <v>0</v>
      </c>
      <c r="O12" s="695">
        <v>0</v>
      </c>
      <c r="P12" s="695">
        <v>2513521.8703788468</v>
      </c>
      <c r="Q12" s="695">
        <v>753108.31488584075</v>
      </c>
      <c r="R12" s="695">
        <v>1305709.6723977393</v>
      </c>
      <c r="S12" s="695">
        <v>0</v>
      </c>
      <c r="T12" s="695">
        <v>0</v>
      </c>
      <c r="U12" s="695">
        <v>0</v>
      </c>
      <c r="V12" s="695">
        <v>0</v>
      </c>
      <c r="W12" s="695">
        <v>0</v>
      </c>
      <c r="X12" s="695">
        <v>0</v>
      </c>
      <c r="Y12" s="695">
        <v>0</v>
      </c>
      <c r="Z12" s="695">
        <v>0</v>
      </c>
      <c r="AA12" s="705">
        <v>0</v>
      </c>
    </row>
    <row r="13" spans="1:27">
      <c r="A13" s="434" t="s">
        <v>548</v>
      </c>
      <c r="B13" s="435" t="s">
        <v>549</v>
      </c>
      <c r="C13" s="708">
        <v>50564619.735546701</v>
      </c>
      <c r="D13" s="695">
        <v>48638675.226574957</v>
      </c>
      <c r="E13" s="695">
        <v>0</v>
      </c>
      <c r="F13" s="695">
        <v>0</v>
      </c>
      <c r="G13" s="695">
        <v>0</v>
      </c>
      <c r="H13" s="695">
        <v>1925944.5089717475</v>
      </c>
      <c r="I13" s="695">
        <v>1660323.824634396</v>
      </c>
      <c r="J13" s="695">
        <v>0</v>
      </c>
      <c r="K13" s="695">
        <v>0</v>
      </c>
      <c r="L13" s="695">
        <v>0</v>
      </c>
      <c r="M13" s="695">
        <v>0</v>
      </c>
      <c r="N13" s="695">
        <v>0</v>
      </c>
      <c r="O13" s="695">
        <v>0</v>
      </c>
      <c r="P13" s="695">
        <v>0</v>
      </c>
      <c r="Q13" s="695">
        <v>0</v>
      </c>
      <c r="R13" s="695">
        <v>0</v>
      </c>
      <c r="S13" s="695">
        <v>0</v>
      </c>
      <c r="T13" s="695">
        <v>0</v>
      </c>
      <c r="U13" s="695">
        <v>0</v>
      </c>
      <c r="V13" s="695">
        <v>0</v>
      </c>
      <c r="W13" s="695">
        <v>0</v>
      </c>
      <c r="X13" s="695">
        <v>0</v>
      </c>
      <c r="Y13" s="695">
        <v>0</v>
      </c>
      <c r="Z13" s="695">
        <v>0</v>
      </c>
      <c r="AA13" s="705">
        <v>0</v>
      </c>
    </row>
    <row r="14" spans="1:27">
      <c r="A14" s="434" t="s">
        <v>550</v>
      </c>
      <c r="B14" s="435" t="s">
        <v>551</v>
      </c>
      <c r="C14" s="708">
        <v>472073640.89471793</v>
      </c>
      <c r="D14" s="695">
        <v>354550731.42499691</v>
      </c>
      <c r="E14" s="695">
        <v>14504849.885230176</v>
      </c>
      <c r="F14" s="695">
        <v>0</v>
      </c>
      <c r="G14" s="695">
        <v>0</v>
      </c>
      <c r="H14" s="695">
        <v>86057429.703960404</v>
      </c>
      <c r="I14" s="695">
        <v>8065316.2128928816</v>
      </c>
      <c r="J14" s="695">
        <v>0</v>
      </c>
      <c r="K14" s="695">
        <v>0</v>
      </c>
      <c r="L14" s="695">
        <v>31465479.765760753</v>
      </c>
      <c r="M14" s="695">
        <v>0</v>
      </c>
      <c r="N14" s="695">
        <v>0</v>
      </c>
      <c r="O14" s="695">
        <v>0</v>
      </c>
      <c r="P14" s="695">
        <v>0</v>
      </c>
      <c r="Q14" s="695">
        <v>0</v>
      </c>
      <c r="R14" s="695">
        <v>30981871.892326754</v>
      </c>
      <c r="S14" s="695">
        <v>483607.87343400001</v>
      </c>
      <c r="T14" s="695">
        <v>0</v>
      </c>
      <c r="U14" s="695">
        <v>0</v>
      </c>
      <c r="V14" s="695">
        <v>0</v>
      </c>
      <c r="W14" s="695">
        <v>0</v>
      </c>
      <c r="X14" s="695">
        <v>0</v>
      </c>
      <c r="Y14" s="695">
        <v>0</v>
      </c>
      <c r="Z14" s="695">
        <v>0</v>
      </c>
      <c r="AA14" s="705">
        <v>0</v>
      </c>
    </row>
    <row r="15" spans="1:27">
      <c r="A15" s="433">
        <v>1.2</v>
      </c>
      <c r="B15" s="431" t="s">
        <v>863</v>
      </c>
      <c r="C15" s="706">
        <v>32477473.358018316</v>
      </c>
      <c r="D15" s="695">
        <v>6033304.0127653601</v>
      </c>
      <c r="E15" s="695">
        <v>84453.90059952403</v>
      </c>
      <c r="F15" s="695">
        <v>0</v>
      </c>
      <c r="G15" s="695">
        <v>0</v>
      </c>
      <c r="H15" s="695">
        <v>9550611.602434773</v>
      </c>
      <c r="I15" s="695">
        <v>1375878.0667020082</v>
      </c>
      <c r="J15" s="695">
        <v>122702.34282927722</v>
      </c>
      <c r="K15" s="695">
        <v>0</v>
      </c>
      <c r="L15" s="695">
        <v>16890486.657645524</v>
      </c>
      <c r="M15" s="695">
        <v>10657.527274784919</v>
      </c>
      <c r="N15" s="695">
        <v>351.53595000000001</v>
      </c>
      <c r="O15" s="695">
        <v>11308.50986563784</v>
      </c>
      <c r="P15" s="695">
        <v>204517.34436272623</v>
      </c>
      <c r="Q15" s="695">
        <v>1005384.7617892037</v>
      </c>
      <c r="R15" s="695">
        <v>14798980.751233414</v>
      </c>
      <c r="S15" s="695">
        <v>723893.22406814236</v>
      </c>
      <c r="T15" s="695">
        <v>3071.0851726886158</v>
      </c>
      <c r="U15" s="695">
        <v>0</v>
      </c>
      <c r="V15" s="695">
        <v>0</v>
      </c>
      <c r="W15" s="695">
        <v>0</v>
      </c>
      <c r="X15" s="695">
        <v>0</v>
      </c>
      <c r="Y15" s="695">
        <v>0</v>
      </c>
      <c r="Z15" s="695">
        <v>0</v>
      </c>
      <c r="AA15" s="705">
        <v>0</v>
      </c>
    </row>
    <row r="16" spans="1:27">
      <c r="A16" s="432">
        <v>1.3</v>
      </c>
      <c r="B16" s="431" t="s">
        <v>552</v>
      </c>
      <c r="C16" s="430"/>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8"/>
    </row>
    <row r="17" spans="1:27" ht="25.5">
      <c r="A17" s="425" t="s">
        <v>553</v>
      </c>
      <c r="B17" s="427" t="s">
        <v>554</v>
      </c>
      <c r="C17" s="709">
        <v>1130003015.0165594</v>
      </c>
      <c r="D17" s="695">
        <v>924868993.48421812</v>
      </c>
      <c r="E17" s="695">
        <v>18784673.777639888</v>
      </c>
      <c r="F17" s="695">
        <v>0</v>
      </c>
      <c r="G17" s="695">
        <v>0</v>
      </c>
      <c r="H17" s="695">
        <v>131332126.3221332</v>
      </c>
      <c r="I17" s="695">
        <v>10845362.163740275</v>
      </c>
      <c r="J17" s="695">
        <v>31280234.600297846</v>
      </c>
      <c r="K17" s="695">
        <v>0</v>
      </c>
      <c r="L17" s="695">
        <v>72897891.314057305</v>
      </c>
      <c r="M17" s="695">
        <v>101769.64813099999</v>
      </c>
      <c r="N17" s="695">
        <v>70307.19</v>
      </c>
      <c r="O17" s="695">
        <v>2261701.9732228601</v>
      </c>
      <c r="P17" s="695">
        <v>20105687.927683812</v>
      </c>
      <c r="Q17" s="695">
        <v>929310.79108459828</v>
      </c>
      <c r="R17" s="695">
        <v>31442035.089414995</v>
      </c>
      <c r="S17" s="695">
        <v>10340088.780558269</v>
      </c>
      <c r="T17" s="695">
        <v>904003.89614899992</v>
      </c>
      <c r="U17" s="695">
        <v>0</v>
      </c>
      <c r="V17" s="695">
        <v>0</v>
      </c>
      <c r="W17" s="695">
        <v>0</v>
      </c>
      <c r="X17" s="695">
        <v>0</v>
      </c>
      <c r="Y17" s="695">
        <v>0</v>
      </c>
      <c r="Z17" s="695">
        <v>0</v>
      </c>
      <c r="AA17" s="705">
        <v>0</v>
      </c>
    </row>
    <row r="18" spans="1:27" ht="25.5">
      <c r="A18" s="423" t="s">
        <v>555</v>
      </c>
      <c r="B18" s="424" t="s">
        <v>556</v>
      </c>
      <c r="C18" s="710">
        <v>872588208.10478377</v>
      </c>
      <c r="D18" s="695">
        <v>703667401.89390492</v>
      </c>
      <c r="E18" s="695">
        <v>15633371.77763989</v>
      </c>
      <c r="F18" s="695">
        <v>0</v>
      </c>
      <c r="G18" s="695">
        <v>0</v>
      </c>
      <c r="H18" s="695">
        <v>104770437.8676957</v>
      </c>
      <c r="I18" s="695">
        <v>9192797.2670851331</v>
      </c>
      <c r="J18" s="695">
        <v>31280234.600297846</v>
      </c>
      <c r="K18" s="695">
        <v>0</v>
      </c>
      <c r="L18" s="695">
        <v>63246364.447034888</v>
      </c>
      <c r="M18" s="695">
        <v>101769.64813099999</v>
      </c>
      <c r="N18" s="695">
        <v>70307.19</v>
      </c>
      <c r="O18" s="695">
        <v>2261701.9732228601</v>
      </c>
      <c r="P18" s="695">
        <v>19994493.837683812</v>
      </c>
      <c r="Q18" s="695">
        <v>753108.31488584075</v>
      </c>
      <c r="R18" s="695">
        <v>25079946.660686377</v>
      </c>
      <c r="S18" s="695">
        <v>10040082.768058268</v>
      </c>
      <c r="T18" s="695">
        <v>904003.89614899992</v>
      </c>
      <c r="U18" s="695">
        <v>0</v>
      </c>
      <c r="V18" s="695">
        <v>0</v>
      </c>
      <c r="W18" s="695">
        <v>0</v>
      </c>
      <c r="X18" s="695">
        <v>0</v>
      </c>
      <c r="Y18" s="695">
        <v>0</v>
      </c>
      <c r="Z18" s="695">
        <v>0</v>
      </c>
      <c r="AA18" s="705">
        <v>0</v>
      </c>
    </row>
    <row r="19" spans="1:27">
      <c r="A19" s="425" t="s">
        <v>557</v>
      </c>
      <c r="B19" s="426" t="s">
        <v>558</v>
      </c>
      <c r="C19" s="711">
        <v>1891918263.6328516</v>
      </c>
      <c r="D19" s="695">
        <v>1682063529.7547274</v>
      </c>
      <c r="E19" s="695">
        <v>3214783.5137928324</v>
      </c>
      <c r="F19" s="695">
        <v>0</v>
      </c>
      <c r="G19" s="695">
        <v>0</v>
      </c>
      <c r="H19" s="695">
        <v>131405987.11892198</v>
      </c>
      <c r="I19" s="695">
        <v>5798806.6400294928</v>
      </c>
      <c r="J19" s="695">
        <v>30292121.27361016</v>
      </c>
      <c r="K19" s="695">
        <v>0</v>
      </c>
      <c r="L19" s="695">
        <v>65527090.205350339</v>
      </c>
      <c r="M19" s="695">
        <v>238103.63071895228</v>
      </c>
      <c r="N19" s="695">
        <v>985424.22911850037</v>
      </c>
      <c r="O19" s="695">
        <v>4990858.0580007257</v>
      </c>
      <c r="P19" s="695">
        <v>31746454.590017602</v>
      </c>
      <c r="Q19" s="695">
        <v>557792.43065777933</v>
      </c>
      <c r="R19" s="695">
        <v>8972499.021894047</v>
      </c>
      <c r="S19" s="695">
        <v>11772688.32179183</v>
      </c>
      <c r="T19" s="695">
        <v>12921656.553850999</v>
      </c>
      <c r="U19" s="695">
        <v>0</v>
      </c>
      <c r="V19" s="695">
        <v>0</v>
      </c>
      <c r="W19" s="695">
        <v>0</v>
      </c>
      <c r="X19" s="695">
        <v>0</v>
      </c>
      <c r="Y19" s="695">
        <v>0</v>
      </c>
      <c r="Z19" s="695">
        <v>0</v>
      </c>
      <c r="AA19" s="705">
        <v>0</v>
      </c>
    </row>
    <row r="20" spans="1:27">
      <c r="A20" s="423" t="s">
        <v>559</v>
      </c>
      <c r="B20" s="424" t="s">
        <v>560</v>
      </c>
      <c r="C20" s="710">
        <v>692553727.00320017</v>
      </c>
      <c r="D20" s="695">
        <v>603780086.60524786</v>
      </c>
      <c r="E20" s="695">
        <v>2748579.379233717</v>
      </c>
      <c r="F20" s="695">
        <v>0</v>
      </c>
      <c r="G20" s="695">
        <v>0</v>
      </c>
      <c r="H20" s="695">
        <v>22720958.573404435</v>
      </c>
      <c r="I20" s="695">
        <v>1708157.6066644986</v>
      </c>
      <c r="J20" s="695">
        <v>8954567.4965793509</v>
      </c>
      <c r="K20" s="695">
        <v>0</v>
      </c>
      <c r="L20" s="695">
        <v>53131025.270696878</v>
      </c>
      <c r="M20" s="695">
        <v>228439.01446869402</v>
      </c>
      <c r="N20" s="695">
        <v>954156.27255732985</v>
      </c>
      <c r="O20" s="695">
        <v>4990858.0580007257</v>
      </c>
      <c r="P20" s="695">
        <v>28334906.031708557</v>
      </c>
      <c r="Q20" s="695">
        <v>163151.05907528289</v>
      </c>
      <c r="R20" s="695">
        <v>2119354.7906262209</v>
      </c>
      <c r="S20" s="695">
        <v>10355063.350153163</v>
      </c>
      <c r="T20" s="695">
        <v>12921656.553850999</v>
      </c>
      <c r="U20" s="695">
        <v>0</v>
      </c>
      <c r="V20" s="695">
        <v>0</v>
      </c>
      <c r="W20" s="695">
        <v>0</v>
      </c>
      <c r="X20" s="695">
        <v>0</v>
      </c>
      <c r="Y20" s="695">
        <v>0</v>
      </c>
      <c r="Z20" s="695">
        <v>0</v>
      </c>
      <c r="AA20" s="705">
        <v>0</v>
      </c>
    </row>
    <row r="21" spans="1:27">
      <c r="A21" s="422">
        <v>1.4</v>
      </c>
      <c r="B21" s="421" t="s">
        <v>649</v>
      </c>
      <c r="C21" s="712">
        <v>3920498.2795000002</v>
      </c>
      <c r="D21" s="695">
        <v>1963868.4830000002</v>
      </c>
      <c r="E21" s="695">
        <v>0</v>
      </c>
      <c r="F21" s="695">
        <v>0</v>
      </c>
      <c r="G21" s="695">
        <v>0</v>
      </c>
      <c r="H21" s="695">
        <v>1656623.784</v>
      </c>
      <c r="I21" s="695">
        <v>1656623.784</v>
      </c>
      <c r="J21" s="695">
        <v>0</v>
      </c>
      <c r="K21" s="695">
        <v>0</v>
      </c>
      <c r="L21" s="695">
        <v>300006.01250000001</v>
      </c>
      <c r="M21" s="695">
        <v>0</v>
      </c>
      <c r="N21" s="695">
        <v>0</v>
      </c>
      <c r="O21" s="695">
        <v>0</v>
      </c>
      <c r="P21" s="695">
        <v>0</v>
      </c>
      <c r="Q21" s="695">
        <v>0</v>
      </c>
      <c r="R21" s="695">
        <v>0</v>
      </c>
      <c r="S21" s="695">
        <v>300006.01250000001</v>
      </c>
      <c r="T21" s="695">
        <v>0</v>
      </c>
      <c r="U21" s="695">
        <v>0</v>
      </c>
      <c r="V21" s="695">
        <v>0</v>
      </c>
      <c r="W21" s="695">
        <v>0</v>
      </c>
      <c r="X21" s="695">
        <v>0</v>
      </c>
      <c r="Y21" s="695">
        <v>0</v>
      </c>
      <c r="Z21" s="695">
        <v>0</v>
      </c>
      <c r="AA21" s="705">
        <v>0</v>
      </c>
    </row>
    <row r="22" spans="1:27" ht="13.5" thickBot="1">
      <c r="A22" s="420">
        <v>1.5</v>
      </c>
      <c r="B22" s="419" t="s">
        <v>650</v>
      </c>
      <c r="C22" s="713">
        <v>0</v>
      </c>
      <c r="D22" s="714">
        <v>0</v>
      </c>
      <c r="E22" s="714">
        <v>0</v>
      </c>
      <c r="F22" s="714">
        <v>0</v>
      </c>
      <c r="G22" s="714">
        <v>0</v>
      </c>
      <c r="H22" s="714">
        <v>0</v>
      </c>
      <c r="I22" s="714">
        <v>0</v>
      </c>
      <c r="J22" s="714">
        <v>0</v>
      </c>
      <c r="K22" s="714">
        <v>0</v>
      </c>
      <c r="L22" s="714">
        <v>0</v>
      </c>
      <c r="M22" s="714">
        <v>0</v>
      </c>
      <c r="N22" s="714">
        <v>0</v>
      </c>
      <c r="O22" s="714">
        <v>0</v>
      </c>
      <c r="P22" s="714">
        <v>0</v>
      </c>
      <c r="Q22" s="714">
        <v>0</v>
      </c>
      <c r="R22" s="714">
        <v>0</v>
      </c>
      <c r="S22" s="714">
        <v>0</v>
      </c>
      <c r="T22" s="714">
        <v>0</v>
      </c>
      <c r="U22" s="714">
        <v>0</v>
      </c>
      <c r="V22" s="714">
        <v>0</v>
      </c>
      <c r="W22" s="714">
        <v>0</v>
      </c>
      <c r="X22" s="714">
        <v>0</v>
      </c>
      <c r="Y22" s="714">
        <v>0</v>
      </c>
      <c r="Z22" s="714">
        <v>0</v>
      </c>
      <c r="AA22" s="715">
        <v>0</v>
      </c>
    </row>
    <row r="28" spans="1:27">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row>
    <row r="29" spans="1:27">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row>
    <row r="30" spans="1:27">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row>
    <row r="31" spans="1:27">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row>
    <row r="32" spans="1:27">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row>
    <row r="33" spans="3:27">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row>
    <row r="34" spans="3:27">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row>
    <row r="35" spans="3:27">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row>
    <row r="36" spans="3:27">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row>
    <row r="37" spans="3:27">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row>
    <row r="38" spans="3:27">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row>
    <row r="39" spans="3:27">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row>
    <row r="40" spans="3:27">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row>
    <row r="41" spans="3:27">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row>
    <row r="42" spans="3:27">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O72"/>
  <sheetViews>
    <sheetView showGridLines="0" zoomScale="80" zoomScaleNormal="80" workbookViewId="0"/>
  </sheetViews>
  <sheetFormatPr defaultRowHeight="15"/>
  <cols>
    <col min="1" max="1" width="8.7109375" style="363"/>
    <col min="2" max="2" width="69.28515625" style="342" customWidth="1"/>
    <col min="3" max="3" width="13.42578125" style="602" bestFit="1" customWidth="1"/>
    <col min="4" max="5" width="15.140625" style="602" bestFit="1" customWidth="1"/>
    <col min="6" max="6" width="13.42578125" style="602" bestFit="1" customWidth="1"/>
    <col min="7" max="8" width="15.140625" style="602"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46203</v>
      </c>
      <c r="C2" s="600"/>
      <c r="D2" s="601"/>
      <c r="E2" s="601"/>
      <c r="F2" s="601"/>
      <c r="G2" s="601"/>
    </row>
    <row r="3" spans="1:15" ht="15.75">
      <c r="A3" s="13"/>
      <c r="B3" s="12"/>
      <c r="C3" s="600"/>
      <c r="D3" s="601"/>
      <c r="E3" s="601"/>
      <c r="F3" s="601"/>
      <c r="G3" s="601"/>
    </row>
    <row r="4" spans="1:15" ht="21" customHeight="1">
      <c r="A4" s="736" t="s">
        <v>25</v>
      </c>
      <c r="B4" s="737" t="s">
        <v>697</v>
      </c>
      <c r="C4" s="739" t="s">
        <v>103</v>
      </c>
      <c r="D4" s="739"/>
      <c r="E4" s="739"/>
      <c r="F4" s="739" t="s">
        <v>104</v>
      </c>
      <c r="G4" s="739"/>
      <c r="H4" s="740"/>
    </row>
    <row r="5" spans="1:15" ht="21" customHeight="1">
      <c r="A5" s="736"/>
      <c r="B5" s="738"/>
      <c r="C5" s="603" t="s">
        <v>26</v>
      </c>
      <c r="D5" s="603" t="s">
        <v>77</v>
      </c>
      <c r="E5" s="603" t="s">
        <v>66</v>
      </c>
      <c r="F5" s="603" t="s">
        <v>26</v>
      </c>
      <c r="G5" s="603" t="s">
        <v>77</v>
      </c>
      <c r="H5" s="603" t="s">
        <v>66</v>
      </c>
    </row>
    <row r="6" spans="1:15" ht="26.65" customHeight="1">
      <c r="A6" s="736"/>
      <c r="B6" s="317" t="s">
        <v>84</v>
      </c>
      <c r="C6" s="730"/>
      <c r="D6" s="731"/>
      <c r="E6" s="731"/>
      <c r="F6" s="731"/>
      <c r="G6" s="731"/>
      <c r="H6" s="732"/>
    </row>
    <row r="7" spans="1:15" ht="22.9" customHeight="1">
      <c r="A7" s="355">
        <v>1</v>
      </c>
      <c r="B7" s="318" t="s">
        <v>811</v>
      </c>
      <c r="C7" s="604">
        <f>SUM(C8:C10)</f>
        <v>119854977.99391271</v>
      </c>
      <c r="D7" s="604">
        <f>SUM(D8:D10)</f>
        <v>495836942.79378712</v>
      </c>
      <c r="E7" s="605">
        <f>C7+D7</f>
        <v>615691920.78769982</v>
      </c>
      <c r="F7" s="604">
        <f>SUM(F8:F10)</f>
        <v>54406866.783773325</v>
      </c>
      <c r="G7" s="604">
        <f>SUM(G8:G10)</f>
        <v>532116897.04079527</v>
      </c>
      <c r="H7" s="605">
        <f>F7+G7</f>
        <v>586523763.82456863</v>
      </c>
      <c r="J7" s="610"/>
      <c r="K7" s="610"/>
      <c r="L7" s="610"/>
      <c r="M7" s="610"/>
      <c r="N7" s="610"/>
      <c r="O7" s="610"/>
    </row>
    <row r="8" spans="1:15">
      <c r="A8" s="355">
        <v>1.1000000000000001</v>
      </c>
      <c r="B8" s="319" t="s">
        <v>85</v>
      </c>
      <c r="C8" s="604">
        <v>18370076.300000001</v>
      </c>
      <c r="D8" s="604">
        <v>32482540.354199998</v>
      </c>
      <c r="E8" s="605">
        <f t="shared" ref="E8:E36" si="0">C8+D8</f>
        <v>50852616.654200003</v>
      </c>
      <c r="F8" s="604">
        <v>10711800.300000001</v>
      </c>
      <c r="G8" s="604">
        <v>28403968.108099997</v>
      </c>
      <c r="H8" s="605">
        <f t="shared" ref="H8:H36" si="1">F8+G8</f>
        <v>39115768.408099994</v>
      </c>
      <c r="J8" s="610"/>
      <c r="K8" s="610"/>
      <c r="L8" s="610"/>
      <c r="M8" s="610"/>
      <c r="N8" s="610"/>
      <c r="O8" s="610"/>
    </row>
    <row r="9" spans="1:15">
      <c r="A9" s="355">
        <v>1.2</v>
      </c>
      <c r="B9" s="319" t="s">
        <v>86</v>
      </c>
      <c r="C9" s="604">
        <v>11339163.539999999</v>
      </c>
      <c r="D9" s="604">
        <v>194156368.07367998</v>
      </c>
      <c r="E9" s="605">
        <f t="shared" si="0"/>
        <v>205495531.61367998</v>
      </c>
      <c r="F9" s="604">
        <v>7727525.3399999999</v>
      </c>
      <c r="G9" s="604">
        <v>250703506.22430775</v>
      </c>
      <c r="H9" s="605">
        <f t="shared" si="1"/>
        <v>258431031.56430775</v>
      </c>
      <c r="J9" s="610"/>
      <c r="K9" s="610"/>
      <c r="L9" s="610"/>
      <c r="M9" s="610"/>
      <c r="N9" s="610"/>
      <c r="O9" s="610"/>
    </row>
    <row r="10" spans="1:15">
      <c r="A10" s="355">
        <v>1.3</v>
      </c>
      <c r="B10" s="319" t="s">
        <v>87</v>
      </c>
      <c r="C10" s="604">
        <v>90145738.153912708</v>
      </c>
      <c r="D10" s="604">
        <v>269198034.36590713</v>
      </c>
      <c r="E10" s="605">
        <f t="shared" si="0"/>
        <v>359343772.51981986</v>
      </c>
      <c r="F10" s="604">
        <v>35967541.143773325</v>
      </c>
      <c r="G10" s="604">
        <v>253009422.70838755</v>
      </c>
      <c r="H10" s="605">
        <f t="shared" si="1"/>
        <v>288976963.85216087</v>
      </c>
      <c r="J10" s="610"/>
      <c r="K10" s="610"/>
      <c r="L10" s="610"/>
      <c r="M10" s="610"/>
      <c r="N10" s="610"/>
      <c r="O10" s="610"/>
    </row>
    <row r="11" spans="1:15">
      <c r="A11" s="355">
        <v>2</v>
      </c>
      <c r="B11" s="320" t="s">
        <v>698</v>
      </c>
      <c r="C11" s="604">
        <v>0</v>
      </c>
      <c r="D11" s="604">
        <v>0</v>
      </c>
      <c r="E11" s="605">
        <f t="shared" si="0"/>
        <v>0</v>
      </c>
      <c r="F11" s="604">
        <v>0</v>
      </c>
      <c r="G11" s="604">
        <v>0</v>
      </c>
      <c r="H11" s="605">
        <f t="shared" si="1"/>
        <v>0</v>
      </c>
      <c r="J11" s="610"/>
      <c r="K11" s="610"/>
      <c r="L11" s="610"/>
      <c r="M11" s="610"/>
      <c r="N11" s="610"/>
      <c r="O11" s="610"/>
    </row>
    <row r="12" spans="1:15">
      <c r="A12" s="355">
        <v>2.1</v>
      </c>
      <c r="B12" s="321" t="s">
        <v>699</v>
      </c>
      <c r="C12" s="604">
        <v>0</v>
      </c>
      <c r="D12" s="604">
        <v>0</v>
      </c>
      <c r="E12" s="605">
        <f t="shared" si="0"/>
        <v>0</v>
      </c>
      <c r="F12" s="604">
        <v>0</v>
      </c>
      <c r="G12" s="604">
        <v>0</v>
      </c>
      <c r="H12" s="605">
        <f t="shared" si="1"/>
        <v>0</v>
      </c>
      <c r="J12" s="610"/>
      <c r="K12" s="610"/>
      <c r="L12" s="610"/>
      <c r="M12" s="610"/>
      <c r="N12" s="610"/>
      <c r="O12" s="610"/>
    </row>
    <row r="13" spans="1:15" ht="26.65" customHeight="1">
      <c r="A13" s="355">
        <v>3</v>
      </c>
      <c r="B13" s="322" t="s">
        <v>700</v>
      </c>
      <c r="C13" s="604">
        <v>0</v>
      </c>
      <c r="D13" s="604">
        <v>0</v>
      </c>
      <c r="E13" s="605">
        <f t="shared" si="0"/>
        <v>0</v>
      </c>
      <c r="F13" s="604">
        <v>0</v>
      </c>
      <c r="G13" s="604">
        <v>0</v>
      </c>
      <c r="H13" s="605">
        <f t="shared" si="1"/>
        <v>0</v>
      </c>
      <c r="J13" s="610"/>
      <c r="K13" s="610"/>
      <c r="L13" s="610"/>
      <c r="M13" s="610"/>
      <c r="N13" s="610"/>
      <c r="O13" s="610"/>
    </row>
    <row r="14" spans="1:15" ht="26.65" customHeight="1">
      <c r="A14" s="355">
        <v>4</v>
      </c>
      <c r="B14" s="323" t="s">
        <v>701</v>
      </c>
      <c r="C14" s="604">
        <v>0</v>
      </c>
      <c r="D14" s="604">
        <v>0</v>
      </c>
      <c r="E14" s="605">
        <f t="shared" si="0"/>
        <v>0</v>
      </c>
      <c r="F14" s="604">
        <v>0</v>
      </c>
      <c r="G14" s="604">
        <v>0</v>
      </c>
      <c r="H14" s="605">
        <f t="shared" si="1"/>
        <v>0</v>
      </c>
      <c r="J14" s="610"/>
      <c r="K14" s="610"/>
      <c r="L14" s="610"/>
      <c r="M14" s="610"/>
      <c r="N14" s="610"/>
      <c r="O14" s="610"/>
    </row>
    <row r="15" spans="1:15" ht="24.4" customHeight="1">
      <c r="A15" s="355">
        <v>5</v>
      </c>
      <c r="B15" s="323" t="s">
        <v>702</v>
      </c>
      <c r="C15" s="606">
        <f>SUM(C16:C18)</f>
        <v>175637.53</v>
      </c>
      <c r="D15" s="606">
        <f>SUM(D16:D18)</f>
        <v>0</v>
      </c>
      <c r="E15" s="607">
        <f t="shared" si="0"/>
        <v>175637.53</v>
      </c>
      <c r="F15" s="606">
        <f>SUM(F16:F18)</f>
        <v>175637.53</v>
      </c>
      <c r="G15" s="606">
        <f>SUM(G16:G18)</f>
        <v>0</v>
      </c>
      <c r="H15" s="607">
        <f t="shared" si="1"/>
        <v>175637.53</v>
      </c>
      <c r="J15" s="610"/>
      <c r="K15" s="610"/>
      <c r="L15" s="610"/>
      <c r="M15" s="610"/>
      <c r="N15" s="610"/>
      <c r="O15" s="610"/>
    </row>
    <row r="16" spans="1:15">
      <c r="A16" s="355">
        <v>5.0999999999999996</v>
      </c>
      <c r="B16" s="324" t="s">
        <v>703</v>
      </c>
      <c r="C16" s="604">
        <v>175637.53</v>
      </c>
      <c r="D16" s="604">
        <v>0</v>
      </c>
      <c r="E16" s="605">
        <f t="shared" si="0"/>
        <v>175637.53</v>
      </c>
      <c r="F16" s="604">
        <v>175637.53</v>
      </c>
      <c r="G16" s="604">
        <v>0</v>
      </c>
      <c r="H16" s="605">
        <f t="shared" si="1"/>
        <v>175637.53</v>
      </c>
      <c r="J16" s="610"/>
      <c r="K16" s="610"/>
      <c r="L16" s="610"/>
      <c r="M16" s="610"/>
      <c r="N16" s="610"/>
      <c r="O16" s="610"/>
    </row>
    <row r="17" spans="1:15">
      <c r="A17" s="355">
        <v>5.2</v>
      </c>
      <c r="B17" s="324" t="s">
        <v>538</v>
      </c>
      <c r="C17" s="604">
        <v>0</v>
      </c>
      <c r="D17" s="604">
        <v>0</v>
      </c>
      <c r="E17" s="605">
        <f t="shared" si="0"/>
        <v>0</v>
      </c>
      <c r="F17" s="604">
        <v>0</v>
      </c>
      <c r="G17" s="604">
        <v>0</v>
      </c>
      <c r="H17" s="605">
        <f t="shared" si="1"/>
        <v>0</v>
      </c>
      <c r="J17" s="610"/>
      <c r="K17" s="610"/>
      <c r="L17" s="610"/>
      <c r="M17" s="610"/>
      <c r="N17" s="610"/>
      <c r="O17" s="610"/>
    </row>
    <row r="18" spans="1:15">
      <c r="A18" s="355">
        <v>5.3</v>
      </c>
      <c r="B18" s="324" t="s">
        <v>704</v>
      </c>
      <c r="C18" s="604">
        <v>0</v>
      </c>
      <c r="D18" s="604">
        <v>0</v>
      </c>
      <c r="E18" s="605">
        <f t="shared" si="0"/>
        <v>0</v>
      </c>
      <c r="F18" s="604">
        <v>0</v>
      </c>
      <c r="G18" s="604">
        <v>0</v>
      </c>
      <c r="H18" s="605">
        <f t="shared" si="1"/>
        <v>0</v>
      </c>
      <c r="J18" s="610"/>
      <c r="K18" s="610"/>
      <c r="L18" s="610"/>
      <c r="M18" s="610"/>
      <c r="N18" s="610"/>
      <c r="O18" s="610"/>
    </row>
    <row r="19" spans="1:15">
      <c r="A19" s="355">
        <v>6</v>
      </c>
      <c r="B19" s="322" t="s">
        <v>705</v>
      </c>
      <c r="C19" s="604">
        <f>SUM(C20:C21)</f>
        <v>635756429.04964626</v>
      </c>
      <c r="D19" s="604">
        <f>SUM(D20:D21)</f>
        <v>607433196.6936748</v>
      </c>
      <c r="E19" s="605">
        <f t="shared" si="0"/>
        <v>1243189625.7433209</v>
      </c>
      <c r="F19" s="604">
        <f>SUM(F20:F21)</f>
        <v>521081172.4990226</v>
      </c>
      <c r="G19" s="604">
        <f>SUM(G20:G21)</f>
        <v>578125219.88715518</v>
      </c>
      <c r="H19" s="605">
        <f t="shared" si="1"/>
        <v>1099206392.3861778</v>
      </c>
      <c r="J19" s="610"/>
      <c r="K19" s="610"/>
      <c r="L19" s="610"/>
      <c r="M19" s="610"/>
      <c r="N19" s="610"/>
      <c r="O19" s="610"/>
    </row>
    <row r="20" spans="1:15">
      <c r="A20" s="355">
        <v>6.1</v>
      </c>
      <c r="B20" s="324" t="s">
        <v>538</v>
      </c>
      <c r="C20" s="604">
        <v>76138034.165068105</v>
      </c>
      <c r="D20" s="604">
        <v>0</v>
      </c>
      <c r="E20" s="605">
        <f t="shared" si="0"/>
        <v>76138034.165068105</v>
      </c>
      <c r="F20" s="604">
        <v>60734555.356762029</v>
      </c>
      <c r="G20" s="604">
        <v>0</v>
      </c>
      <c r="H20" s="605">
        <f t="shared" si="1"/>
        <v>60734555.356762029</v>
      </c>
      <c r="J20" s="610"/>
      <c r="K20" s="610"/>
      <c r="L20" s="610"/>
      <c r="M20" s="610"/>
      <c r="N20" s="610"/>
      <c r="O20" s="610"/>
    </row>
    <row r="21" spans="1:15">
      <c r="A21" s="355">
        <v>6.2</v>
      </c>
      <c r="B21" s="324" t="s">
        <v>704</v>
      </c>
      <c r="C21" s="604">
        <v>559618394.88457811</v>
      </c>
      <c r="D21" s="604">
        <v>607433196.6936748</v>
      </c>
      <c r="E21" s="605">
        <f t="shared" si="0"/>
        <v>1167051591.5782528</v>
      </c>
      <c r="F21" s="604">
        <v>460346617.14226055</v>
      </c>
      <c r="G21" s="604">
        <v>578125219.88715518</v>
      </c>
      <c r="H21" s="605">
        <f t="shared" si="1"/>
        <v>1038471837.0294157</v>
      </c>
      <c r="J21" s="610"/>
      <c r="K21" s="610"/>
      <c r="L21" s="610"/>
      <c r="M21" s="610"/>
      <c r="N21" s="610"/>
      <c r="O21" s="610"/>
    </row>
    <row r="22" spans="1:15">
      <c r="A22" s="355">
        <v>7</v>
      </c>
      <c r="B22" s="325" t="s">
        <v>706</v>
      </c>
      <c r="C22" s="604">
        <v>9527300</v>
      </c>
      <c r="D22" s="604">
        <v>0</v>
      </c>
      <c r="E22" s="605">
        <f t="shared" si="0"/>
        <v>9527300</v>
      </c>
      <c r="F22" s="604">
        <v>9772300</v>
      </c>
      <c r="G22" s="604">
        <v>0</v>
      </c>
      <c r="H22" s="605">
        <f t="shared" si="1"/>
        <v>9772300</v>
      </c>
      <c r="J22" s="610"/>
      <c r="K22" s="610"/>
      <c r="L22" s="610"/>
      <c r="M22" s="610"/>
      <c r="N22" s="610"/>
      <c r="O22" s="610"/>
    </row>
    <row r="23" spans="1:15" ht="21">
      <c r="A23" s="355">
        <v>8</v>
      </c>
      <c r="B23" s="326" t="s">
        <v>707</v>
      </c>
      <c r="C23" s="604">
        <v>0</v>
      </c>
      <c r="D23" s="604">
        <v>0</v>
      </c>
      <c r="E23" s="605">
        <f t="shared" si="0"/>
        <v>0</v>
      </c>
      <c r="F23" s="604">
        <v>0</v>
      </c>
      <c r="G23" s="604">
        <v>0</v>
      </c>
      <c r="H23" s="605">
        <f t="shared" si="1"/>
        <v>0</v>
      </c>
      <c r="J23" s="610"/>
      <c r="K23" s="610"/>
      <c r="L23" s="610"/>
      <c r="M23" s="610"/>
      <c r="N23" s="610"/>
      <c r="O23" s="610"/>
    </row>
    <row r="24" spans="1:15">
      <c r="A24" s="355">
        <v>9</v>
      </c>
      <c r="B24" s="323" t="s">
        <v>708</v>
      </c>
      <c r="C24" s="604">
        <f>SUM(C25:C26)</f>
        <v>24912541.56258833</v>
      </c>
      <c r="D24" s="604">
        <f>SUM(D25:D26)</f>
        <v>0</v>
      </c>
      <c r="E24" s="605">
        <f t="shared" si="0"/>
        <v>24912541.56258833</v>
      </c>
      <c r="F24" s="604">
        <f>SUM(F25:F26)</f>
        <v>22051984.405841783</v>
      </c>
      <c r="G24" s="604">
        <f>SUM(G25:G26)</f>
        <v>0</v>
      </c>
      <c r="H24" s="605">
        <f t="shared" si="1"/>
        <v>22051984.405841783</v>
      </c>
      <c r="J24" s="610"/>
      <c r="K24" s="610"/>
      <c r="L24" s="610"/>
      <c r="M24" s="610"/>
      <c r="N24" s="610"/>
      <c r="O24" s="610"/>
    </row>
    <row r="25" spans="1:15">
      <c r="A25" s="355">
        <v>9.1</v>
      </c>
      <c r="B25" s="327" t="s">
        <v>709</v>
      </c>
      <c r="C25" s="604">
        <v>24912541.56258833</v>
      </c>
      <c r="D25" s="604">
        <v>0</v>
      </c>
      <c r="E25" s="605">
        <f t="shared" si="0"/>
        <v>24912541.56258833</v>
      </c>
      <c r="F25" s="604">
        <v>22051984.405841783</v>
      </c>
      <c r="G25" s="604">
        <v>0</v>
      </c>
      <c r="H25" s="605">
        <f t="shared" si="1"/>
        <v>22051984.405841783</v>
      </c>
      <c r="J25" s="610"/>
      <c r="K25" s="610"/>
      <c r="L25" s="610"/>
      <c r="M25" s="610"/>
      <c r="N25" s="610"/>
      <c r="O25" s="610"/>
    </row>
    <row r="26" spans="1:15">
      <c r="A26" s="355">
        <v>9.1999999999999993</v>
      </c>
      <c r="B26" s="327" t="s">
        <v>710</v>
      </c>
      <c r="C26" s="604">
        <v>0</v>
      </c>
      <c r="D26" s="604">
        <v>0</v>
      </c>
      <c r="E26" s="605">
        <f t="shared" si="0"/>
        <v>0</v>
      </c>
      <c r="F26" s="604">
        <v>0</v>
      </c>
      <c r="G26" s="604">
        <v>0</v>
      </c>
      <c r="H26" s="605">
        <f t="shared" si="1"/>
        <v>0</v>
      </c>
      <c r="J26" s="610"/>
      <c r="K26" s="610"/>
      <c r="L26" s="610"/>
      <c r="M26" s="610"/>
      <c r="N26" s="610"/>
      <c r="O26" s="610"/>
    </row>
    <row r="27" spans="1:15">
      <c r="A27" s="355">
        <v>10</v>
      </c>
      <c r="B27" s="323" t="s">
        <v>36</v>
      </c>
      <c r="C27" s="604">
        <f>SUM(C28:C29)</f>
        <v>13776285.720000001</v>
      </c>
      <c r="D27" s="604">
        <f>SUM(D28:D29)</f>
        <v>1682320.62</v>
      </c>
      <c r="E27" s="605">
        <f t="shared" si="0"/>
        <v>15458606.34</v>
      </c>
      <c r="F27" s="604">
        <f>SUM(F28:F29)</f>
        <v>10602320.979999999</v>
      </c>
      <c r="G27" s="604">
        <f>SUM(G28:G29)</f>
        <v>1877390.7599999998</v>
      </c>
      <c r="H27" s="605">
        <f t="shared" si="1"/>
        <v>12479711.739999998</v>
      </c>
      <c r="J27" s="610"/>
      <c r="K27" s="610"/>
      <c r="L27" s="610"/>
      <c r="M27" s="610"/>
      <c r="N27" s="610"/>
      <c r="O27" s="610"/>
    </row>
    <row r="28" spans="1:15">
      <c r="A28" s="355">
        <v>10.1</v>
      </c>
      <c r="B28" s="327" t="s">
        <v>711</v>
      </c>
      <c r="C28" s="604">
        <v>0</v>
      </c>
      <c r="D28" s="604">
        <v>0</v>
      </c>
      <c r="E28" s="605">
        <f t="shared" si="0"/>
        <v>0</v>
      </c>
      <c r="F28" s="604">
        <v>0</v>
      </c>
      <c r="G28" s="604">
        <v>0</v>
      </c>
      <c r="H28" s="605">
        <f t="shared" si="1"/>
        <v>0</v>
      </c>
      <c r="J28" s="610"/>
      <c r="K28" s="610"/>
      <c r="L28" s="610"/>
      <c r="M28" s="610"/>
      <c r="N28" s="610"/>
      <c r="O28" s="610"/>
    </row>
    <row r="29" spans="1:15">
      <c r="A29" s="355">
        <v>10.199999999999999</v>
      </c>
      <c r="B29" s="327" t="s">
        <v>712</v>
      </c>
      <c r="C29" s="604">
        <v>13776285.720000001</v>
      </c>
      <c r="D29" s="604">
        <v>1682320.62</v>
      </c>
      <c r="E29" s="605">
        <f t="shared" si="0"/>
        <v>15458606.34</v>
      </c>
      <c r="F29" s="604">
        <v>10602320.979999999</v>
      </c>
      <c r="G29" s="604">
        <v>1877390.7599999998</v>
      </c>
      <c r="H29" s="605">
        <f t="shared" si="1"/>
        <v>12479711.739999998</v>
      </c>
      <c r="J29" s="610"/>
      <c r="K29" s="610"/>
      <c r="L29" s="610"/>
      <c r="M29" s="610"/>
      <c r="N29" s="610"/>
      <c r="O29" s="610"/>
    </row>
    <row r="30" spans="1:15">
      <c r="A30" s="355">
        <v>11</v>
      </c>
      <c r="B30" s="323" t="s">
        <v>713</v>
      </c>
      <c r="C30" s="604">
        <f>SUM(C31:C32)</f>
        <v>3764221.6954356106</v>
      </c>
      <c r="D30" s="604">
        <f>SUM(D31:D32)</f>
        <v>0</v>
      </c>
      <c r="E30" s="605">
        <f t="shared" si="0"/>
        <v>3764221.6954356106</v>
      </c>
      <c r="F30" s="604">
        <f>SUM(F31:F32)</f>
        <v>5520316.7818216588</v>
      </c>
      <c r="G30" s="604">
        <f>SUM(G31:G32)</f>
        <v>0</v>
      </c>
      <c r="H30" s="605">
        <f t="shared" si="1"/>
        <v>5520316.7818216588</v>
      </c>
      <c r="J30" s="610"/>
      <c r="K30" s="610"/>
      <c r="L30" s="610"/>
      <c r="M30" s="610"/>
      <c r="N30" s="610"/>
      <c r="O30" s="610"/>
    </row>
    <row r="31" spans="1:15">
      <c r="A31" s="355">
        <v>11.1</v>
      </c>
      <c r="B31" s="327" t="s">
        <v>714</v>
      </c>
      <c r="C31" s="604">
        <v>3764221.6954356106</v>
      </c>
      <c r="D31" s="604">
        <v>0</v>
      </c>
      <c r="E31" s="605">
        <f t="shared" si="0"/>
        <v>3764221.6954356106</v>
      </c>
      <c r="F31" s="604">
        <v>5520316.7818216588</v>
      </c>
      <c r="G31" s="604">
        <v>0</v>
      </c>
      <c r="H31" s="605">
        <f t="shared" si="1"/>
        <v>5520316.7818216588</v>
      </c>
      <c r="J31" s="610"/>
      <c r="K31" s="610"/>
      <c r="L31" s="610"/>
      <c r="M31" s="610"/>
      <c r="N31" s="610"/>
      <c r="O31" s="610"/>
    </row>
    <row r="32" spans="1:15">
      <c r="A32" s="355">
        <v>11.2</v>
      </c>
      <c r="B32" s="327" t="s">
        <v>715</v>
      </c>
      <c r="C32" s="604">
        <v>0</v>
      </c>
      <c r="D32" s="604">
        <v>0</v>
      </c>
      <c r="E32" s="605">
        <f t="shared" si="0"/>
        <v>0</v>
      </c>
      <c r="F32" s="604">
        <v>0</v>
      </c>
      <c r="G32" s="604">
        <v>0</v>
      </c>
      <c r="H32" s="605">
        <f t="shared" si="1"/>
        <v>0</v>
      </c>
      <c r="J32" s="610"/>
      <c r="K32" s="610"/>
      <c r="L32" s="610"/>
      <c r="M32" s="610"/>
      <c r="N32" s="610"/>
      <c r="O32" s="610"/>
    </row>
    <row r="33" spans="1:15">
      <c r="A33" s="355">
        <v>13</v>
      </c>
      <c r="B33" s="323" t="s">
        <v>88</v>
      </c>
      <c r="C33" s="604">
        <v>48994830.048850872</v>
      </c>
      <c r="D33" s="604">
        <v>568898.27562900004</v>
      </c>
      <c r="E33" s="605">
        <f t="shared" si="0"/>
        <v>49563728.32447987</v>
      </c>
      <c r="F33" s="604">
        <v>47033913.813766122</v>
      </c>
      <c r="G33" s="604">
        <v>501506.4031</v>
      </c>
      <c r="H33" s="605">
        <f t="shared" si="1"/>
        <v>47535420.216866121</v>
      </c>
      <c r="J33" s="610"/>
      <c r="K33" s="610"/>
      <c r="L33" s="610"/>
      <c r="M33" s="610"/>
      <c r="N33" s="610"/>
      <c r="O33" s="610"/>
    </row>
    <row r="34" spans="1:15">
      <c r="A34" s="355">
        <v>13.1</v>
      </c>
      <c r="B34" s="328" t="s">
        <v>716</v>
      </c>
      <c r="C34" s="604">
        <v>47213611.428850867</v>
      </c>
      <c r="D34" s="604">
        <v>0</v>
      </c>
      <c r="E34" s="605">
        <f t="shared" si="0"/>
        <v>47213611.428850867</v>
      </c>
      <c r="F34" s="604">
        <v>45103431.173766114</v>
      </c>
      <c r="G34" s="604">
        <v>0</v>
      </c>
      <c r="H34" s="605">
        <f t="shared" si="1"/>
        <v>45103431.173766114</v>
      </c>
      <c r="J34" s="610"/>
      <c r="K34" s="610"/>
      <c r="L34" s="610"/>
      <c r="M34" s="610"/>
      <c r="N34" s="610"/>
      <c r="O34" s="610"/>
    </row>
    <row r="35" spans="1:15">
      <c r="A35" s="355">
        <v>13.2</v>
      </c>
      <c r="B35" s="328" t="s">
        <v>717</v>
      </c>
      <c r="C35" s="604">
        <v>0</v>
      </c>
      <c r="D35" s="604">
        <v>0</v>
      </c>
      <c r="E35" s="605">
        <f t="shared" si="0"/>
        <v>0</v>
      </c>
      <c r="F35" s="604">
        <v>0</v>
      </c>
      <c r="G35" s="604">
        <v>0</v>
      </c>
      <c r="H35" s="605">
        <f t="shared" si="1"/>
        <v>0</v>
      </c>
      <c r="J35" s="610"/>
      <c r="K35" s="610"/>
      <c r="L35" s="610"/>
      <c r="M35" s="610"/>
      <c r="N35" s="610"/>
      <c r="O35" s="610"/>
    </row>
    <row r="36" spans="1:15">
      <c r="A36" s="355">
        <v>14</v>
      </c>
      <c r="B36" s="329" t="s">
        <v>718</v>
      </c>
      <c r="C36" s="604">
        <f>SUM(C7,C11,C13,C14,C15,C19,C22,C23,C24,C27,C30,C33)</f>
        <v>856762223.60043383</v>
      </c>
      <c r="D36" s="604">
        <f>SUM(D7,D11,D13,D14,D15,D19,D22,D23,D24,D27,D30,D33)</f>
        <v>1105521358.383091</v>
      </c>
      <c r="E36" s="605">
        <f t="shared" si="0"/>
        <v>1962283581.9835248</v>
      </c>
      <c r="F36" s="604">
        <f>SUM(F7,F11,F13,F14,F15,F19,F22,F23,F24,F27,F30,F33)</f>
        <v>670644512.79422545</v>
      </c>
      <c r="G36" s="604">
        <f>SUM(G7,G11,G13,G14,G15,G19,G22,G23,G24,G27,G30,G33)</f>
        <v>1112621014.0910504</v>
      </c>
      <c r="H36" s="605">
        <f t="shared" si="1"/>
        <v>1783265526.8852758</v>
      </c>
      <c r="J36" s="610"/>
      <c r="K36" s="610"/>
      <c r="L36" s="610"/>
      <c r="M36" s="610"/>
      <c r="N36" s="610"/>
      <c r="O36" s="610"/>
    </row>
    <row r="37" spans="1:15" ht="22.5" customHeight="1">
      <c r="A37" s="355"/>
      <c r="B37" s="330" t="s">
        <v>93</v>
      </c>
      <c r="C37" s="730"/>
      <c r="D37" s="731"/>
      <c r="E37" s="731"/>
      <c r="F37" s="731"/>
      <c r="G37" s="731"/>
      <c r="H37" s="732"/>
      <c r="J37" s="610"/>
      <c r="K37" s="610"/>
      <c r="L37" s="610"/>
      <c r="M37" s="610"/>
      <c r="N37" s="610"/>
      <c r="O37" s="610"/>
    </row>
    <row r="38" spans="1:15">
      <c r="A38" s="355">
        <v>15</v>
      </c>
      <c r="B38" s="331" t="s">
        <v>719</v>
      </c>
      <c r="C38" s="604">
        <v>0</v>
      </c>
      <c r="D38" s="604">
        <v>0</v>
      </c>
      <c r="E38" s="609">
        <f>C38+D38</f>
        <v>0</v>
      </c>
      <c r="F38" s="604">
        <v>0</v>
      </c>
      <c r="G38" s="604">
        <v>0</v>
      </c>
      <c r="H38" s="609">
        <f>F38+G38</f>
        <v>0</v>
      </c>
      <c r="J38" s="610"/>
      <c r="K38" s="610"/>
      <c r="L38" s="610"/>
      <c r="M38" s="610"/>
      <c r="N38" s="610"/>
      <c r="O38" s="610"/>
    </row>
    <row r="39" spans="1:15">
      <c r="A39" s="355">
        <v>15.1</v>
      </c>
      <c r="B39" s="332" t="s">
        <v>699</v>
      </c>
      <c r="C39" s="604">
        <v>0</v>
      </c>
      <c r="D39" s="604">
        <v>0</v>
      </c>
      <c r="E39" s="609">
        <f t="shared" ref="E39:E53" si="2">C39+D39</f>
        <v>0</v>
      </c>
      <c r="F39" s="604">
        <v>0</v>
      </c>
      <c r="G39" s="604">
        <v>0</v>
      </c>
      <c r="H39" s="609">
        <f t="shared" ref="H39:H53" si="3">F39+G39</f>
        <v>0</v>
      </c>
      <c r="J39" s="610"/>
      <c r="K39" s="610"/>
      <c r="L39" s="610"/>
      <c r="M39" s="610"/>
      <c r="N39" s="610"/>
      <c r="O39" s="610"/>
    </row>
    <row r="40" spans="1:15" ht="24" customHeight="1">
      <c r="A40" s="355">
        <v>16</v>
      </c>
      <c r="B40" s="325" t="s">
        <v>720</v>
      </c>
      <c r="C40" s="604">
        <v>0</v>
      </c>
      <c r="D40" s="604">
        <v>0</v>
      </c>
      <c r="E40" s="609">
        <f t="shared" si="2"/>
        <v>0</v>
      </c>
      <c r="F40" s="604">
        <v>0</v>
      </c>
      <c r="G40" s="604">
        <v>0</v>
      </c>
      <c r="H40" s="609">
        <f t="shared" si="3"/>
        <v>0</v>
      </c>
      <c r="J40" s="610"/>
      <c r="K40" s="610"/>
      <c r="L40" s="610"/>
      <c r="M40" s="610"/>
      <c r="N40" s="610"/>
      <c r="O40" s="610"/>
    </row>
    <row r="41" spans="1:15" ht="21">
      <c r="A41" s="355">
        <v>17</v>
      </c>
      <c r="B41" s="325" t="s">
        <v>721</v>
      </c>
      <c r="C41" s="608">
        <f>SUM(C42:C45)</f>
        <v>381849098.6227991</v>
      </c>
      <c r="D41" s="608">
        <f>SUM(D42:D45)</f>
        <v>993077910.94421995</v>
      </c>
      <c r="E41" s="609">
        <f t="shared" si="2"/>
        <v>1374927009.567019</v>
      </c>
      <c r="F41" s="608">
        <f>SUM(F42:F45)</f>
        <v>235120276.70826107</v>
      </c>
      <c r="G41" s="608">
        <f>SUM(G42:G45)</f>
        <v>995381301.88307345</v>
      </c>
      <c r="H41" s="609">
        <f t="shared" si="3"/>
        <v>1230501578.5913346</v>
      </c>
      <c r="J41" s="610"/>
      <c r="K41" s="610"/>
      <c r="L41" s="610"/>
      <c r="M41" s="610"/>
      <c r="N41" s="610"/>
      <c r="O41" s="610"/>
    </row>
    <row r="42" spans="1:15">
      <c r="A42" s="355">
        <v>17.100000000000001</v>
      </c>
      <c r="B42" s="333" t="s">
        <v>722</v>
      </c>
      <c r="C42" s="604">
        <v>375496403.14999998</v>
      </c>
      <c r="D42" s="604">
        <v>989287184.0156281</v>
      </c>
      <c r="E42" s="609">
        <f t="shared" si="2"/>
        <v>1364783587.165628</v>
      </c>
      <c r="F42" s="604">
        <v>229115835.76999998</v>
      </c>
      <c r="G42" s="604">
        <v>992317330.4447</v>
      </c>
      <c r="H42" s="609">
        <f t="shared" si="3"/>
        <v>1221433166.2147</v>
      </c>
      <c r="J42" s="610"/>
      <c r="K42" s="610"/>
      <c r="L42" s="610"/>
      <c r="M42" s="610"/>
      <c r="N42" s="610"/>
      <c r="O42" s="610"/>
    </row>
    <row r="43" spans="1:15">
      <c r="A43" s="355">
        <v>17.2</v>
      </c>
      <c r="B43" s="334" t="s">
        <v>89</v>
      </c>
      <c r="C43" s="604">
        <v>0</v>
      </c>
      <c r="D43" s="604">
        <v>0</v>
      </c>
      <c r="E43" s="609">
        <f t="shared" si="2"/>
        <v>0</v>
      </c>
      <c r="F43" s="604">
        <v>0</v>
      </c>
      <c r="G43" s="604">
        <v>0</v>
      </c>
      <c r="H43" s="609">
        <f t="shared" si="3"/>
        <v>0</v>
      </c>
      <c r="J43" s="610"/>
      <c r="K43" s="610"/>
      <c r="L43" s="610"/>
      <c r="M43" s="610"/>
      <c r="N43" s="610"/>
      <c r="O43" s="610"/>
    </row>
    <row r="44" spans="1:15">
      <c r="A44" s="355">
        <v>17.3</v>
      </c>
      <c r="B44" s="333" t="s">
        <v>723</v>
      </c>
      <c r="C44" s="604">
        <v>0</v>
      </c>
      <c r="D44" s="604">
        <v>0</v>
      </c>
      <c r="E44" s="609">
        <f t="shared" si="2"/>
        <v>0</v>
      </c>
      <c r="F44" s="604">
        <v>0</v>
      </c>
      <c r="G44" s="604">
        <v>0</v>
      </c>
      <c r="H44" s="609">
        <f t="shared" si="3"/>
        <v>0</v>
      </c>
      <c r="J44" s="610"/>
      <c r="K44" s="610"/>
      <c r="L44" s="610"/>
      <c r="M44" s="610"/>
      <c r="N44" s="610"/>
      <c r="O44" s="610"/>
    </row>
    <row r="45" spans="1:15">
      <c r="A45" s="355">
        <v>17.399999999999999</v>
      </c>
      <c r="B45" s="333" t="s">
        <v>724</v>
      </c>
      <c r="C45" s="604">
        <v>6352695.4727991102</v>
      </c>
      <c r="D45" s="604">
        <v>3790726.9285918898</v>
      </c>
      <c r="E45" s="609">
        <f t="shared" si="2"/>
        <v>10143422.401391</v>
      </c>
      <c r="F45" s="604">
        <v>6004440.9382610805</v>
      </c>
      <c r="G45" s="604">
        <v>3063971.4383734078</v>
      </c>
      <c r="H45" s="609">
        <f t="shared" si="3"/>
        <v>9068412.3766344879</v>
      </c>
      <c r="J45" s="610"/>
      <c r="K45" s="610"/>
      <c r="L45" s="610"/>
      <c r="M45" s="610"/>
      <c r="N45" s="610"/>
      <c r="O45" s="610"/>
    </row>
    <row r="46" spans="1:15">
      <c r="A46" s="355">
        <v>18</v>
      </c>
      <c r="B46" s="323" t="s">
        <v>725</v>
      </c>
      <c r="C46" s="604">
        <v>135126.31506383844</v>
      </c>
      <c r="D46" s="604">
        <v>566795.06359102181</v>
      </c>
      <c r="E46" s="609">
        <f t="shared" si="2"/>
        <v>701921.37865486019</v>
      </c>
      <c r="F46" s="604">
        <v>213995.47247190517</v>
      </c>
      <c r="G46" s="604">
        <v>206457.86583289708</v>
      </c>
      <c r="H46" s="609">
        <f t="shared" si="3"/>
        <v>420453.33830480225</v>
      </c>
      <c r="J46" s="610"/>
      <c r="K46" s="610"/>
      <c r="L46" s="610"/>
      <c r="M46" s="610"/>
      <c r="N46" s="610"/>
      <c r="O46" s="610"/>
    </row>
    <row r="47" spans="1:15">
      <c r="A47" s="355">
        <v>19</v>
      </c>
      <c r="B47" s="323" t="s">
        <v>726</v>
      </c>
      <c r="C47" s="608">
        <f>SUM(C48:C49)</f>
        <v>3088094.3215556527</v>
      </c>
      <c r="D47" s="608">
        <f>SUM(D48:D49)</f>
        <v>0</v>
      </c>
      <c r="E47" s="609">
        <f t="shared" si="2"/>
        <v>3088094.3215556527</v>
      </c>
      <c r="F47" s="608">
        <f>SUM(F48:F49)</f>
        <v>2535993.1499637077</v>
      </c>
      <c r="G47" s="608">
        <f>SUM(G48:G49)</f>
        <v>0</v>
      </c>
      <c r="H47" s="609">
        <f t="shared" si="3"/>
        <v>2535993.1499637077</v>
      </c>
      <c r="J47" s="610"/>
      <c r="K47" s="610"/>
      <c r="L47" s="610"/>
      <c r="M47" s="610"/>
      <c r="N47" s="610"/>
      <c r="O47" s="610"/>
    </row>
    <row r="48" spans="1:15">
      <c r="A48" s="355">
        <v>19.100000000000001</v>
      </c>
      <c r="B48" s="335" t="s">
        <v>727</v>
      </c>
      <c r="C48" s="604">
        <v>0</v>
      </c>
      <c r="D48" s="604">
        <v>0</v>
      </c>
      <c r="E48" s="609">
        <f t="shared" si="2"/>
        <v>0</v>
      </c>
      <c r="F48" s="604">
        <v>0</v>
      </c>
      <c r="G48" s="604">
        <v>0</v>
      </c>
      <c r="H48" s="609">
        <f t="shared" si="3"/>
        <v>0</v>
      </c>
      <c r="J48" s="610"/>
      <c r="K48" s="610"/>
      <c r="L48" s="610"/>
      <c r="M48" s="610"/>
      <c r="N48" s="610"/>
      <c r="O48" s="610"/>
    </row>
    <row r="49" spans="1:15">
      <c r="A49" s="355">
        <v>19.2</v>
      </c>
      <c r="B49" s="336" t="s">
        <v>728</v>
      </c>
      <c r="C49" s="604">
        <v>3088094.3215556527</v>
      </c>
      <c r="D49" s="604">
        <v>0</v>
      </c>
      <c r="E49" s="609">
        <f t="shared" si="2"/>
        <v>3088094.3215556527</v>
      </c>
      <c r="F49" s="604">
        <v>2535993.1499637077</v>
      </c>
      <c r="G49" s="604">
        <v>0</v>
      </c>
      <c r="H49" s="609">
        <f t="shared" si="3"/>
        <v>2535993.1499637077</v>
      </c>
      <c r="J49" s="610"/>
      <c r="K49" s="610"/>
      <c r="L49" s="610"/>
      <c r="M49" s="610"/>
      <c r="N49" s="610"/>
      <c r="O49" s="610"/>
    </row>
    <row r="50" spans="1:15">
      <c r="A50" s="355">
        <v>20</v>
      </c>
      <c r="B50" s="337" t="s">
        <v>90</v>
      </c>
      <c r="C50" s="604">
        <v>0</v>
      </c>
      <c r="D50" s="604">
        <v>79335303.392840773</v>
      </c>
      <c r="E50" s="609">
        <f t="shared" si="2"/>
        <v>79335303.392840773</v>
      </c>
      <c r="F50" s="604">
        <v>0</v>
      </c>
      <c r="G50" s="604">
        <v>82389416.34469977</v>
      </c>
      <c r="H50" s="609">
        <f t="shared" si="3"/>
        <v>82389416.34469977</v>
      </c>
      <c r="J50" s="610"/>
      <c r="K50" s="610"/>
      <c r="L50" s="610"/>
      <c r="M50" s="610"/>
      <c r="N50" s="610"/>
      <c r="O50" s="610"/>
    </row>
    <row r="51" spans="1:15">
      <c r="A51" s="355">
        <v>21</v>
      </c>
      <c r="B51" s="338" t="s">
        <v>78</v>
      </c>
      <c r="C51" s="604">
        <v>3225287.1195999999</v>
      </c>
      <c r="D51" s="604">
        <v>9811.8755929999752</v>
      </c>
      <c r="E51" s="609">
        <f t="shared" si="2"/>
        <v>3235098.995193</v>
      </c>
      <c r="F51" s="604">
        <v>498050.60959999997</v>
      </c>
      <c r="G51" s="604">
        <v>586269.96759999997</v>
      </c>
      <c r="H51" s="609">
        <f t="shared" si="3"/>
        <v>1084320.5771999999</v>
      </c>
      <c r="J51" s="610"/>
      <c r="K51" s="610"/>
      <c r="L51" s="610"/>
      <c r="M51" s="610"/>
      <c r="N51" s="610"/>
      <c r="O51" s="610"/>
    </row>
    <row r="52" spans="1:15">
      <c r="A52" s="355">
        <v>21.1</v>
      </c>
      <c r="B52" s="334" t="s">
        <v>729</v>
      </c>
      <c r="C52" s="604">
        <v>0</v>
      </c>
      <c r="D52" s="604">
        <v>0</v>
      </c>
      <c r="E52" s="609">
        <f t="shared" si="2"/>
        <v>0</v>
      </c>
      <c r="F52" s="604">
        <v>0</v>
      </c>
      <c r="G52" s="604">
        <v>0</v>
      </c>
      <c r="H52" s="609">
        <f t="shared" si="3"/>
        <v>0</v>
      </c>
      <c r="J52" s="610"/>
      <c r="K52" s="610"/>
      <c r="L52" s="610"/>
      <c r="M52" s="610"/>
      <c r="N52" s="610"/>
      <c r="O52" s="610"/>
    </row>
    <row r="53" spans="1:15">
      <c r="A53" s="355">
        <v>22</v>
      </c>
      <c r="B53" s="337" t="s">
        <v>730</v>
      </c>
      <c r="C53" s="608">
        <f>SUM(C38,C40,C41,C46,C47,C50,C51)</f>
        <v>388297606.3790186</v>
      </c>
      <c r="D53" s="608">
        <f>SUM(D38,D40,D41,D46,D47,D50,D51)</f>
        <v>1072989821.2762446</v>
      </c>
      <c r="E53" s="609">
        <f t="shared" si="2"/>
        <v>1461287427.6552632</v>
      </c>
      <c r="F53" s="608">
        <f>SUM(F38,F40,F41,F46,F47,F50,F51)</f>
        <v>238368315.94029668</v>
      </c>
      <c r="G53" s="608">
        <f>SUM(G38,G40,G41,G46,G47,G50,G51)</f>
        <v>1078563446.0612063</v>
      </c>
      <c r="H53" s="609">
        <f t="shared" si="3"/>
        <v>1316931762.001503</v>
      </c>
      <c r="J53" s="610"/>
      <c r="K53" s="610"/>
      <c r="L53" s="610"/>
      <c r="M53" s="610"/>
      <c r="N53" s="610"/>
      <c r="O53" s="610"/>
    </row>
    <row r="54" spans="1:15" ht="24" customHeight="1">
      <c r="A54" s="355"/>
      <c r="B54" s="339" t="s">
        <v>731</v>
      </c>
      <c r="C54" s="733"/>
      <c r="D54" s="734"/>
      <c r="E54" s="734"/>
      <c r="F54" s="734"/>
      <c r="G54" s="734"/>
      <c r="H54" s="735"/>
      <c r="J54" s="610"/>
      <c r="K54" s="610"/>
      <c r="L54" s="610"/>
      <c r="M54" s="610"/>
      <c r="N54" s="610"/>
      <c r="O54" s="610"/>
    </row>
    <row r="55" spans="1:15">
      <c r="A55" s="355">
        <v>23</v>
      </c>
      <c r="B55" s="541" t="s">
        <v>960</v>
      </c>
      <c r="C55" s="604">
        <v>114430000</v>
      </c>
      <c r="D55" s="604">
        <v>0</v>
      </c>
      <c r="E55" s="609">
        <f>C55+D55</f>
        <v>114430000</v>
      </c>
      <c r="F55" s="604">
        <v>114430000</v>
      </c>
      <c r="G55" s="604">
        <v>0</v>
      </c>
      <c r="H55" s="609">
        <f>F55+G55</f>
        <v>114430000</v>
      </c>
      <c r="J55" s="610"/>
      <c r="K55" s="610"/>
      <c r="L55" s="610"/>
      <c r="M55" s="610"/>
      <c r="N55" s="610"/>
      <c r="O55" s="610"/>
    </row>
    <row r="56" spans="1:15">
      <c r="A56" s="355">
        <v>24</v>
      </c>
      <c r="B56" s="337" t="s">
        <v>732</v>
      </c>
      <c r="C56" s="604">
        <v>0</v>
      </c>
      <c r="D56" s="604">
        <v>0</v>
      </c>
      <c r="E56" s="609">
        <f t="shared" ref="E56:E69" si="4">C56+D56</f>
        <v>0</v>
      </c>
      <c r="F56" s="604">
        <v>0</v>
      </c>
      <c r="G56" s="604">
        <v>0</v>
      </c>
      <c r="H56" s="609">
        <f t="shared" ref="H56:H69" si="5">F56+G56</f>
        <v>0</v>
      </c>
      <c r="J56" s="610"/>
      <c r="K56" s="610"/>
      <c r="L56" s="610"/>
      <c r="M56" s="610"/>
      <c r="N56" s="610"/>
      <c r="O56" s="610"/>
    </row>
    <row r="57" spans="1:15">
      <c r="A57" s="355">
        <v>25</v>
      </c>
      <c r="B57" s="337" t="s">
        <v>91</v>
      </c>
      <c r="C57" s="604">
        <v>0</v>
      </c>
      <c r="D57" s="604">
        <v>0</v>
      </c>
      <c r="E57" s="609">
        <f t="shared" si="4"/>
        <v>0</v>
      </c>
      <c r="F57" s="604">
        <v>0</v>
      </c>
      <c r="G57" s="604">
        <v>0</v>
      </c>
      <c r="H57" s="609">
        <f t="shared" si="5"/>
        <v>0</v>
      </c>
      <c r="J57" s="610"/>
      <c r="K57" s="610"/>
      <c r="L57" s="610"/>
      <c r="M57" s="610"/>
      <c r="N57" s="610"/>
      <c r="O57" s="610"/>
    </row>
    <row r="58" spans="1:15">
      <c r="A58" s="355">
        <v>26</v>
      </c>
      <c r="B58" s="323" t="s">
        <v>733</v>
      </c>
      <c r="C58" s="604">
        <v>0</v>
      </c>
      <c r="D58" s="604">
        <v>0</v>
      </c>
      <c r="E58" s="609">
        <f t="shared" si="4"/>
        <v>0</v>
      </c>
      <c r="F58" s="604">
        <v>0</v>
      </c>
      <c r="G58" s="604">
        <v>0</v>
      </c>
      <c r="H58" s="609">
        <f t="shared" si="5"/>
        <v>0</v>
      </c>
      <c r="J58" s="610"/>
      <c r="K58" s="610"/>
      <c r="L58" s="610"/>
      <c r="M58" s="610"/>
      <c r="N58" s="610"/>
      <c r="O58" s="610"/>
    </row>
    <row r="59" spans="1:15" ht="21">
      <c r="A59" s="355">
        <v>27</v>
      </c>
      <c r="B59" s="323" t="s">
        <v>734</v>
      </c>
      <c r="C59" s="608">
        <f>SUM(C60:C61)</f>
        <v>23845347.84</v>
      </c>
      <c r="D59" s="608">
        <f>SUM(D60:D61)</f>
        <v>0</v>
      </c>
      <c r="E59" s="609">
        <f t="shared" si="4"/>
        <v>23845347.84</v>
      </c>
      <c r="F59" s="608">
        <f t="shared" ref="F59:G59" si="6">SUM(F60:F61)</f>
        <v>23845347.84</v>
      </c>
      <c r="G59" s="608">
        <f t="shared" si="6"/>
        <v>0</v>
      </c>
      <c r="H59" s="609">
        <f t="shared" si="5"/>
        <v>23845347.84</v>
      </c>
      <c r="J59" s="610"/>
      <c r="K59" s="610"/>
      <c r="L59" s="610"/>
      <c r="M59" s="610"/>
      <c r="N59" s="610"/>
      <c r="O59" s="610"/>
    </row>
    <row r="60" spans="1:15">
      <c r="A60" s="355">
        <v>27.1</v>
      </c>
      <c r="B60" s="335" t="s">
        <v>735</v>
      </c>
      <c r="C60" s="604">
        <v>23845347.84</v>
      </c>
      <c r="D60" s="604">
        <v>0</v>
      </c>
      <c r="E60" s="609">
        <f t="shared" si="4"/>
        <v>23845347.84</v>
      </c>
      <c r="F60" s="604">
        <v>23845347.84</v>
      </c>
      <c r="G60" s="604">
        <v>0</v>
      </c>
      <c r="H60" s="609">
        <f t="shared" si="5"/>
        <v>23845347.84</v>
      </c>
      <c r="J60" s="610"/>
      <c r="K60" s="610"/>
      <c r="L60" s="610"/>
      <c r="M60" s="610"/>
      <c r="N60" s="610"/>
      <c r="O60" s="610"/>
    </row>
    <row r="61" spans="1:15">
      <c r="A61" s="355">
        <v>27.2</v>
      </c>
      <c r="B61" s="333" t="s">
        <v>736</v>
      </c>
      <c r="C61" s="604">
        <v>0</v>
      </c>
      <c r="D61" s="604">
        <v>0</v>
      </c>
      <c r="E61" s="609">
        <f t="shared" si="4"/>
        <v>0</v>
      </c>
      <c r="F61" s="604">
        <v>0</v>
      </c>
      <c r="G61" s="604">
        <v>0</v>
      </c>
      <c r="H61" s="609">
        <f t="shared" si="5"/>
        <v>0</v>
      </c>
      <c r="J61" s="610"/>
      <c r="K61" s="610"/>
      <c r="L61" s="610"/>
      <c r="M61" s="610"/>
      <c r="N61" s="610"/>
      <c r="O61" s="610"/>
    </row>
    <row r="62" spans="1:15">
      <c r="A62" s="355">
        <v>28</v>
      </c>
      <c r="B62" s="338" t="s">
        <v>737</v>
      </c>
      <c r="C62" s="604">
        <v>0</v>
      </c>
      <c r="D62" s="604">
        <v>0</v>
      </c>
      <c r="E62" s="609">
        <f t="shared" si="4"/>
        <v>0</v>
      </c>
      <c r="F62" s="604">
        <v>0</v>
      </c>
      <c r="G62" s="604">
        <v>0</v>
      </c>
      <c r="H62" s="609">
        <f t="shared" si="5"/>
        <v>0</v>
      </c>
      <c r="J62" s="610"/>
      <c r="K62" s="610"/>
      <c r="L62" s="610"/>
      <c r="M62" s="610"/>
      <c r="N62" s="610"/>
      <c r="O62" s="610"/>
    </row>
    <row r="63" spans="1:15">
      <c r="A63" s="355">
        <v>29</v>
      </c>
      <c r="B63" s="323" t="s">
        <v>738</v>
      </c>
      <c r="C63" s="608">
        <f>SUM(C64:C66)</f>
        <v>0</v>
      </c>
      <c r="D63" s="608">
        <f>SUM(D64:D66)</f>
        <v>0</v>
      </c>
      <c r="E63" s="609">
        <f t="shared" si="4"/>
        <v>0</v>
      </c>
      <c r="F63" s="608">
        <f t="shared" ref="F63:G63" si="7">SUM(F64:F66)</f>
        <v>0</v>
      </c>
      <c r="G63" s="608">
        <f t="shared" si="7"/>
        <v>0</v>
      </c>
      <c r="H63" s="609">
        <f t="shared" si="5"/>
        <v>0</v>
      </c>
      <c r="J63" s="610"/>
      <c r="K63" s="610"/>
      <c r="L63" s="610"/>
      <c r="M63" s="610"/>
      <c r="N63" s="610"/>
      <c r="O63" s="610"/>
    </row>
    <row r="64" spans="1:15">
      <c r="A64" s="355">
        <v>29.1</v>
      </c>
      <c r="B64" s="324" t="s">
        <v>739</v>
      </c>
      <c r="C64" s="604">
        <v>0</v>
      </c>
      <c r="D64" s="604">
        <v>0</v>
      </c>
      <c r="E64" s="609">
        <f t="shared" si="4"/>
        <v>0</v>
      </c>
      <c r="F64" s="604">
        <v>0</v>
      </c>
      <c r="G64" s="604">
        <v>0</v>
      </c>
      <c r="H64" s="609">
        <f t="shared" si="5"/>
        <v>0</v>
      </c>
      <c r="J64" s="610"/>
      <c r="K64" s="610"/>
      <c r="L64" s="610"/>
      <c r="M64" s="610"/>
      <c r="N64" s="610"/>
      <c r="O64" s="610"/>
    </row>
    <row r="65" spans="1:15" ht="25.15" customHeight="1">
      <c r="A65" s="355">
        <v>29.2</v>
      </c>
      <c r="B65" s="335" t="s">
        <v>740</v>
      </c>
      <c r="C65" s="604">
        <v>0</v>
      </c>
      <c r="D65" s="604">
        <v>0</v>
      </c>
      <c r="E65" s="609">
        <f t="shared" si="4"/>
        <v>0</v>
      </c>
      <c r="F65" s="604">
        <v>0</v>
      </c>
      <c r="G65" s="604">
        <v>0</v>
      </c>
      <c r="H65" s="609">
        <f t="shared" si="5"/>
        <v>0</v>
      </c>
      <c r="J65" s="610"/>
      <c r="K65" s="610"/>
      <c r="L65" s="610"/>
      <c r="M65" s="610"/>
      <c r="N65" s="610"/>
      <c r="O65" s="610"/>
    </row>
    <row r="66" spans="1:15" ht="22.5" customHeight="1">
      <c r="A66" s="355">
        <v>29.3</v>
      </c>
      <c r="B66" s="327" t="s">
        <v>741</v>
      </c>
      <c r="C66" s="604">
        <v>0</v>
      </c>
      <c r="D66" s="604">
        <v>0</v>
      </c>
      <c r="E66" s="609">
        <f t="shared" si="4"/>
        <v>0</v>
      </c>
      <c r="F66" s="604">
        <v>0</v>
      </c>
      <c r="G66" s="604">
        <v>0</v>
      </c>
      <c r="H66" s="609">
        <f t="shared" si="5"/>
        <v>0</v>
      </c>
      <c r="J66" s="610"/>
      <c r="K66" s="610"/>
      <c r="L66" s="610"/>
      <c r="M66" s="610"/>
      <c r="N66" s="610"/>
      <c r="O66" s="610"/>
    </row>
    <row r="67" spans="1:15">
      <c r="A67" s="355">
        <v>30</v>
      </c>
      <c r="B67" s="323" t="s">
        <v>92</v>
      </c>
      <c r="C67" s="604">
        <v>362720808.40425909</v>
      </c>
      <c r="D67" s="604">
        <v>0</v>
      </c>
      <c r="E67" s="609">
        <f t="shared" si="4"/>
        <v>362720808.40425909</v>
      </c>
      <c r="F67" s="604">
        <v>328058413.09207308</v>
      </c>
      <c r="G67" s="604">
        <v>0</v>
      </c>
      <c r="H67" s="609">
        <f t="shared" si="5"/>
        <v>328058413.09207308</v>
      </c>
      <c r="J67" s="610"/>
      <c r="K67" s="610"/>
      <c r="L67" s="610"/>
      <c r="M67" s="610"/>
      <c r="N67" s="610"/>
      <c r="O67" s="610"/>
    </row>
    <row r="68" spans="1:15">
      <c r="A68" s="355">
        <v>31</v>
      </c>
      <c r="B68" s="340" t="s">
        <v>1000</v>
      </c>
      <c r="C68" s="608">
        <f>SUM(C55,C56,C57,C58,C59,C62,C63,C67)</f>
        <v>500996156.24425912</v>
      </c>
      <c r="D68" s="608">
        <f>SUM(D55,D56,D57,D58,D59,D62,D63,D67)</f>
        <v>0</v>
      </c>
      <c r="E68" s="609">
        <f t="shared" si="4"/>
        <v>500996156.24425912</v>
      </c>
      <c r="F68" s="608">
        <f>SUM(F55,F56,F57,F58,F59,F62,F63,F67)</f>
        <v>466333760.93207312</v>
      </c>
      <c r="G68" s="608">
        <f>SUM(G55,G56,G57,G58,G59,G62,G63,G67)</f>
        <v>0</v>
      </c>
      <c r="H68" s="609">
        <f t="shared" si="5"/>
        <v>466333760.93207312</v>
      </c>
      <c r="J68" s="610"/>
      <c r="K68" s="610"/>
      <c r="L68" s="610"/>
      <c r="M68" s="610"/>
      <c r="N68" s="610"/>
      <c r="O68" s="610"/>
    </row>
    <row r="69" spans="1:15">
      <c r="A69" s="355">
        <v>32</v>
      </c>
      <c r="B69" s="341" t="s">
        <v>743</v>
      </c>
      <c r="C69" s="608">
        <f>SUM(C53,C68)</f>
        <v>889293762.62327766</v>
      </c>
      <c r="D69" s="608">
        <f>SUM(D53,D68)</f>
        <v>1072989821.2762446</v>
      </c>
      <c r="E69" s="609">
        <f t="shared" si="4"/>
        <v>1962283583.8995223</v>
      </c>
      <c r="F69" s="608">
        <f>SUM(F53,F68)</f>
        <v>704702076.87236977</v>
      </c>
      <c r="G69" s="608">
        <f>SUM(G53,G68)</f>
        <v>1078563446.0612063</v>
      </c>
      <c r="H69" s="609">
        <f t="shared" si="5"/>
        <v>1783265522.9335761</v>
      </c>
      <c r="J69" s="610"/>
      <c r="K69" s="610"/>
      <c r="L69" s="610"/>
      <c r="M69" s="610"/>
      <c r="N69" s="610"/>
      <c r="O69" s="610"/>
    </row>
    <row r="72" spans="1:15" ht="25.15" customHeight="1">
      <c r="B72" s="591"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W35"/>
  <sheetViews>
    <sheetView showGridLines="0" zoomScale="80" zoomScaleNormal="80" workbookViewId="0"/>
  </sheetViews>
  <sheetFormatPr defaultColWidth="9.28515625" defaultRowHeight="12.75"/>
  <cols>
    <col min="1" max="1" width="11.7109375" style="394" bestFit="1" customWidth="1"/>
    <col min="2" max="2" width="93.42578125" style="394" customWidth="1"/>
    <col min="3" max="3" width="16.7109375" style="394" bestFit="1" customWidth="1"/>
    <col min="4" max="5" width="16.140625" style="394" customWidth="1"/>
    <col min="6" max="6" width="16.140625" style="410" customWidth="1"/>
    <col min="7" max="7" width="25.28515625" style="410" customWidth="1"/>
    <col min="8" max="8" width="16.140625" style="394" customWidth="1"/>
    <col min="9" max="11" width="16.140625" style="410" customWidth="1"/>
    <col min="12" max="12" width="26.28515625" style="410" customWidth="1"/>
    <col min="13" max="13" width="9.28515625" style="394"/>
    <col min="14" max="14" width="17.28515625" style="394" bestFit="1" customWidth="1"/>
    <col min="15" max="15" width="16.42578125" style="394" bestFit="1" customWidth="1"/>
    <col min="16" max="17" width="15.28515625" style="394" bestFit="1" customWidth="1"/>
    <col min="18" max="18" width="12.42578125" style="394" bestFit="1" customWidth="1"/>
    <col min="19" max="19" width="15.28515625" style="394" bestFit="1" customWidth="1"/>
    <col min="20" max="20" width="13.42578125" style="394" bestFit="1" customWidth="1"/>
    <col min="21" max="22" width="15" style="394" bestFit="1" customWidth="1"/>
    <col min="23" max="23" width="10.28515625" style="394" bestFit="1" customWidth="1"/>
    <col min="24" max="16384" width="9.28515625" style="394"/>
  </cols>
  <sheetData>
    <row r="1" spans="1:23" ht="13.5">
      <c r="A1" s="299" t="s">
        <v>97</v>
      </c>
      <c r="B1" s="221" t="str">
        <f>Info!C2</f>
        <v>სს "ბანკი ქართუ"</v>
      </c>
      <c r="F1" s="394"/>
      <c r="G1" s="394"/>
      <c r="I1" s="394"/>
      <c r="J1" s="394"/>
      <c r="K1" s="394"/>
      <c r="L1" s="394"/>
    </row>
    <row r="2" spans="1:23">
      <c r="A2" s="299" t="s">
        <v>98</v>
      </c>
      <c r="B2" s="634">
        <f>'1. key ratios'!B2</f>
        <v>46203</v>
      </c>
      <c r="F2" s="394"/>
      <c r="G2" s="394"/>
      <c r="I2" s="394"/>
      <c r="J2" s="394"/>
      <c r="K2" s="394"/>
      <c r="L2" s="394"/>
    </row>
    <row r="3" spans="1:23">
      <c r="A3" s="301" t="s">
        <v>563</v>
      </c>
      <c r="F3" s="394"/>
      <c r="G3" s="394"/>
      <c r="I3" s="394"/>
      <c r="J3" s="394"/>
      <c r="K3" s="394"/>
      <c r="L3" s="394"/>
    </row>
    <row r="4" spans="1:23">
      <c r="F4" s="394"/>
      <c r="G4" s="394"/>
      <c r="I4" s="394"/>
      <c r="J4" s="394"/>
      <c r="K4" s="394"/>
      <c r="L4" s="394"/>
    </row>
    <row r="5" spans="1:23" ht="37.5" customHeight="1">
      <c r="A5" s="789" t="s">
        <v>564</v>
      </c>
      <c r="B5" s="790"/>
      <c r="C5" s="838" t="s">
        <v>565</v>
      </c>
      <c r="D5" s="839"/>
      <c r="E5" s="839"/>
      <c r="F5" s="839"/>
      <c r="G5" s="839"/>
      <c r="H5" s="838" t="s">
        <v>875</v>
      </c>
      <c r="I5" s="840"/>
      <c r="J5" s="840"/>
      <c r="K5" s="840"/>
      <c r="L5" s="841"/>
    </row>
    <row r="6" spans="1:23" ht="39.4" customHeight="1">
      <c r="A6" s="793"/>
      <c r="B6" s="794"/>
      <c r="C6" s="305"/>
      <c r="D6" s="392" t="s">
        <v>860</v>
      </c>
      <c r="E6" s="392" t="s">
        <v>859</v>
      </c>
      <c r="F6" s="392" t="s">
        <v>858</v>
      </c>
      <c r="G6" s="392" t="s">
        <v>857</v>
      </c>
      <c r="H6" s="411"/>
      <c r="I6" s="392" t="s">
        <v>860</v>
      </c>
      <c r="J6" s="392" t="s">
        <v>859</v>
      </c>
      <c r="K6" s="392" t="s">
        <v>858</v>
      </c>
      <c r="L6" s="392" t="s">
        <v>857</v>
      </c>
    </row>
    <row r="7" spans="1:23">
      <c r="A7" s="384">
        <v>1</v>
      </c>
      <c r="B7" s="397" t="s">
        <v>487</v>
      </c>
      <c r="C7" s="716">
        <v>7425552.5829509255</v>
      </c>
      <c r="D7" s="695">
        <v>6777153.6199711952</v>
      </c>
      <c r="E7" s="695">
        <v>200955.13769600002</v>
      </c>
      <c r="F7" s="717">
        <v>447443.82528373064</v>
      </c>
      <c r="G7" s="717">
        <v>0</v>
      </c>
      <c r="H7" s="695">
        <v>173418.80948043315</v>
      </c>
      <c r="I7" s="717">
        <v>127010.03193087215</v>
      </c>
      <c r="J7" s="717">
        <v>3052.0553916423492</v>
      </c>
      <c r="K7" s="717">
        <v>43356.722157918652</v>
      </c>
      <c r="L7" s="717">
        <v>0</v>
      </c>
      <c r="N7" s="700"/>
      <c r="O7" s="700"/>
      <c r="P7" s="700"/>
      <c r="Q7" s="700"/>
      <c r="R7" s="700"/>
      <c r="S7" s="700"/>
      <c r="T7" s="700"/>
      <c r="U7" s="700"/>
      <c r="V7" s="700"/>
      <c r="W7" s="700"/>
    </row>
    <row r="8" spans="1:23">
      <c r="A8" s="384">
        <v>2</v>
      </c>
      <c r="B8" s="397" t="s">
        <v>488</v>
      </c>
      <c r="C8" s="716">
        <v>16943377.781868301</v>
      </c>
      <c r="D8" s="695">
        <v>16793038.11533729</v>
      </c>
      <c r="E8" s="695">
        <v>0</v>
      </c>
      <c r="F8" s="717">
        <v>150339.66653099994</v>
      </c>
      <c r="G8" s="717">
        <v>0</v>
      </c>
      <c r="H8" s="695">
        <v>233850.09067814879</v>
      </c>
      <c r="I8" s="717">
        <v>217387.43765336392</v>
      </c>
      <c r="J8" s="717">
        <v>0</v>
      </c>
      <c r="K8" s="717">
        <v>16462.653024784919</v>
      </c>
      <c r="L8" s="717">
        <v>0</v>
      </c>
      <c r="N8" s="700"/>
      <c r="O8" s="700"/>
      <c r="P8" s="700"/>
      <c r="Q8" s="700"/>
      <c r="R8" s="700"/>
      <c r="S8" s="700"/>
      <c r="T8" s="700"/>
      <c r="U8" s="700"/>
      <c r="V8" s="700"/>
      <c r="W8" s="700"/>
    </row>
    <row r="9" spans="1:23">
      <c r="A9" s="384">
        <v>3</v>
      </c>
      <c r="B9" s="397" t="s">
        <v>836</v>
      </c>
      <c r="C9" s="716">
        <v>0</v>
      </c>
      <c r="D9" s="695">
        <v>0</v>
      </c>
      <c r="E9" s="695">
        <v>0</v>
      </c>
      <c r="F9" s="718">
        <v>0</v>
      </c>
      <c r="G9" s="718">
        <v>0</v>
      </c>
      <c r="H9" s="695">
        <v>0</v>
      </c>
      <c r="I9" s="718">
        <v>0</v>
      </c>
      <c r="J9" s="718">
        <v>0</v>
      </c>
      <c r="K9" s="718">
        <v>0</v>
      </c>
      <c r="L9" s="718">
        <v>0</v>
      </c>
      <c r="N9" s="700"/>
      <c r="O9" s="700"/>
      <c r="P9" s="700"/>
      <c r="Q9" s="700"/>
      <c r="R9" s="700"/>
      <c r="S9" s="700"/>
      <c r="T9" s="700"/>
      <c r="U9" s="700"/>
      <c r="V9" s="700"/>
      <c r="W9" s="700"/>
    </row>
    <row r="10" spans="1:23">
      <c r="A10" s="384">
        <v>4</v>
      </c>
      <c r="B10" s="397" t="s">
        <v>489</v>
      </c>
      <c r="C10" s="716">
        <v>101556829.21489653</v>
      </c>
      <c r="D10" s="695">
        <v>83539122.570777819</v>
      </c>
      <c r="E10" s="695">
        <v>3435515.1859538928</v>
      </c>
      <c r="F10" s="718">
        <v>14582191.458164824</v>
      </c>
      <c r="G10" s="718">
        <v>0</v>
      </c>
      <c r="H10" s="695">
        <v>504270.2297418582</v>
      </c>
      <c r="I10" s="718">
        <v>374405.36264894687</v>
      </c>
      <c r="J10" s="718">
        <v>17177.575929999999</v>
      </c>
      <c r="K10" s="718">
        <v>112687.29116291135</v>
      </c>
      <c r="L10" s="718">
        <v>0</v>
      </c>
      <c r="N10" s="700"/>
      <c r="O10" s="700"/>
      <c r="P10" s="700"/>
      <c r="Q10" s="700"/>
      <c r="R10" s="700"/>
      <c r="S10" s="700"/>
      <c r="T10" s="700"/>
      <c r="U10" s="700"/>
      <c r="V10" s="700"/>
      <c r="W10" s="700"/>
    </row>
    <row r="11" spans="1:23">
      <c r="A11" s="384">
        <v>5</v>
      </c>
      <c r="B11" s="397" t="s">
        <v>490</v>
      </c>
      <c r="C11" s="716">
        <v>92419329.655643374</v>
      </c>
      <c r="D11" s="695">
        <v>85694399.31499368</v>
      </c>
      <c r="E11" s="695">
        <v>5756306.8023106931</v>
      </c>
      <c r="F11" s="718">
        <v>968623.53833899996</v>
      </c>
      <c r="G11" s="718">
        <v>0</v>
      </c>
      <c r="H11" s="695">
        <v>403679.41288461443</v>
      </c>
      <c r="I11" s="718">
        <v>240561.23112100235</v>
      </c>
      <c r="J11" s="718">
        <v>142789.7849486015</v>
      </c>
      <c r="K11" s="718">
        <v>20328.396815010608</v>
      </c>
      <c r="L11" s="718">
        <v>0</v>
      </c>
      <c r="N11" s="700"/>
      <c r="O11" s="700"/>
      <c r="P11" s="700"/>
      <c r="Q11" s="700"/>
      <c r="R11" s="700"/>
      <c r="S11" s="700"/>
      <c r="T11" s="700"/>
      <c r="U11" s="700"/>
      <c r="V11" s="700"/>
      <c r="W11" s="700"/>
    </row>
    <row r="12" spans="1:23">
      <c r="A12" s="384">
        <v>6</v>
      </c>
      <c r="B12" s="397" t="s">
        <v>491</v>
      </c>
      <c r="C12" s="716">
        <v>28545149.058125388</v>
      </c>
      <c r="D12" s="695">
        <v>27666108.138082463</v>
      </c>
      <c r="E12" s="695">
        <v>879040.92004292714</v>
      </c>
      <c r="F12" s="718">
        <v>0</v>
      </c>
      <c r="G12" s="718">
        <v>0</v>
      </c>
      <c r="H12" s="695">
        <v>102652.54966987473</v>
      </c>
      <c r="I12" s="718">
        <v>98257.345069874733</v>
      </c>
      <c r="J12" s="718">
        <v>4395.2046</v>
      </c>
      <c r="K12" s="718">
        <v>0</v>
      </c>
      <c r="L12" s="718">
        <v>0</v>
      </c>
      <c r="N12" s="700"/>
      <c r="O12" s="700"/>
      <c r="P12" s="700"/>
      <c r="Q12" s="700"/>
      <c r="R12" s="700"/>
      <c r="S12" s="700"/>
      <c r="T12" s="700"/>
      <c r="U12" s="700"/>
      <c r="V12" s="700"/>
      <c r="W12" s="700"/>
    </row>
    <row r="13" spans="1:23">
      <c r="A13" s="384">
        <v>7</v>
      </c>
      <c r="B13" s="397" t="s">
        <v>492</v>
      </c>
      <c r="C13" s="716">
        <v>34145837.577074595</v>
      </c>
      <c r="D13" s="695">
        <v>25288339.19730375</v>
      </c>
      <c r="E13" s="695">
        <v>6963098.2594060004</v>
      </c>
      <c r="F13" s="718">
        <v>1894400.1203648492</v>
      </c>
      <c r="G13" s="718">
        <v>0</v>
      </c>
      <c r="H13" s="695">
        <v>222238.59544123686</v>
      </c>
      <c r="I13" s="718">
        <v>132851.54015470046</v>
      </c>
      <c r="J13" s="718">
        <v>60978.206323614097</v>
      </c>
      <c r="K13" s="718">
        <v>28408.84896292233</v>
      </c>
      <c r="L13" s="718">
        <v>0</v>
      </c>
      <c r="N13" s="700"/>
      <c r="O13" s="700"/>
      <c r="P13" s="700"/>
      <c r="Q13" s="700"/>
      <c r="R13" s="700"/>
      <c r="S13" s="700"/>
      <c r="T13" s="700"/>
      <c r="U13" s="700"/>
      <c r="V13" s="700"/>
      <c r="W13" s="700"/>
    </row>
    <row r="14" spans="1:23">
      <c r="A14" s="384">
        <v>8</v>
      </c>
      <c r="B14" s="397" t="s">
        <v>493</v>
      </c>
      <c r="C14" s="716">
        <v>6626445.6082216902</v>
      </c>
      <c r="D14" s="695">
        <v>5788414.7401624201</v>
      </c>
      <c r="E14" s="695">
        <v>0</v>
      </c>
      <c r="F14" s="718">
        <v>838030.86805927078</v>
      </c>
      <c r="G14" s="718">
        <v>0</v>
      </c>
      <c r="H14" s="695">
        <v>139970.7924487952</v>
      </c>
      <c r="I14" s="718">
        <v>13193.024203871671</v>
      </c>
      <c r="J14" s="718">
        <v>0</v>
      </c>
      <c r="K14" s="718">
        <v>126777.76824492353</v>
      </c>
      <c r="L14" s="718">
        <v>0</v>
      </c>
      <c r="N14" s="700"/>
      <c r="O14" s="700"/>
      <c r="P14" s="700"/>
      <c r="Q14" s="700"/>
      <c r="R14" s="700"/>
      <c r="S14" s="700"/>
      <c r="T14" s="700"/>
      <c r="U14" s="700"/>
      <c r="V14" s="700"/>
      <c r="W14" s="700"/>
    </row>
    <row r="15" spans="1:23">
      <c r="A15" s="384">
        <v>9</v>
      </c>
      <c r="B15" s="397" t="s">
        <v>494</v>
      </c>
      <c r="C15" s="716">
        <v>233413334.99463764</v>
      </c>
      <c r="D15" s="695">
        <v>205776317.39834327</v>
      </c>
      <c r="E15" s="695">
        <v>24614073.034755845</v>
      </c>
      <c r="F15" s="718">
        <v>3022944.5615385678</v>
      </c>
      <c r="G15" s="718">
        <v>0</v>
      </c>
      <c r="H15" s="695">
        <v>2439952.9243705254</v>
      </c>
      <c r="I15" s="718">
        <v>1621776.4145110436</v>
      </c>
      <c r="J15" s="718">
        <v>86160.048450000017</v>
      </c>
      <c r="K15" s="718">
        <v>732016.46140948171</v>
      </c>
      <c r="L15" s="718">
        <v>0</v>
      </c>
      <c r="N15" s="700"/>
      <c r="O15" s="700"/>
      <c r="P15" s="700"/>
      <c r="Q15" s="700"/>
      <c r="R15" s="700"/>
      <c r="S15" s="700"/>
      <c r="T15" s="700"/>
      <c r="U15" s="700"/>
      <c r="V15" s="700"/>
      <c r="W15" s="700"/>
    </row>
    <row r="16" spans="1:23">
      <c r="A16" s="384">
        <v>10</v>
      </c>
      <c r="B16" s="397" t="s">
        <v>495</v>
      </c>
      <c r="C16" s="716">
        <v>5757599.0050245943</v>
      </c>
      <c r="D16" s="695">
        <v>5757599.0050245943</v>
      </c>
      <c r="E16" s="695">
        <v>0</v>
      </c>
      <c r="F16" s="718">
        <v>0</v>
      </c>
      <c r="G16" s="718">
        <v>0</v>
      </c>
      <c r="H16" s="695">
        <v>17006.653793228685</v>
      </c>
      <c r="I16" s="718">
        <v>17006.653793228685</v>
      </c>
      <c r="J16" s="718">
        <v>0</v>
      </c>
      <c r="K16" s="718">
        <v>0</v>
      </c>
      <c r="L16" s="718">
        <v>0</v>
      </c>
      <c r="N16" s="700"/>
      <c r="O16" s="700"/>
      <c r="P16" s="700"/>
      <c r="Q16" s="700"/>
      <c r="R16" s="700"/>
      <c r="S16" s="700"/>
      <c r="T16" s="700"/>
      <c r="U16" s="700"/>
      <c r="V16" s="700"/>
      <c r="W16" s="700"/>
    </row>
    <row r="17" spans="1:23">
      <c r="A17" s="384">
        <v>11</v>
      </c>
      <c r="B17" s="397" t="s">
        <v>496</v>
      </c>
      <c r="C17" s="716">
        <v>510642.93999999994</v>
      </c>
      <c r="D17" s="695">
        <v>510642.93999999994</v>
      </c>
      <c r="E17" s="695">
        <v>0</v>
      </c>
      <c r="F17" s="718">
        <v>0</v>
      </c>
      <c r="G17" s="718">
        <v>0</v>
      </c>
      <c r="H17" s="695">
        <v>62.223690487935279</v>
      </c>
      <c r="I17" s="718">
        <v>62.223690487935279</v>
      </c>
      <c r="J17" s="718">
        <v>0</v>
      </c>
      <c r="K17" s="718">
        <v>0</v>
      </c>
      <c r="L17" s="718">
        <v>0</v>
      </c>
      <c r="N17" s="700"/>
      <c r="O17" s="700"/>
      <c r="P17" s="700"/>
      <c r="Q17" s="700"/>
      <c r="R17" s="700"/>
      <c r="S17" s="700"/>
      <c r="T17" s="700"/>
      <c r="U17" s="700"/>
      <c r="V17" s="700"/>
      <c r="W17" s="700"/>
    </row>
    <row r="18" spans="1:23">
      <c r="A18" s="384">
        <v>12</v>
      </c>
      <c r="B18" s="397" t="s">
        <v>497</v>
      </c>
      <c r="C18" s="716">
        <v>51080960.531453073</v>
      </c>
      <c r="D18" s="695">
        <v>24649471.812405344</v>
      </c>
      <c r="E18" s="695">
        <v>259370.6</v>
      </c>
      <c r="F18" s="718">
        <v>26172118.119047739</v>
      </c>
      <c r="G18" s="718">
        <v>0</v>
      </c>
      <c r="H18" s="695">
        <v>11441297.55292869</v>
      </c>
      <c r="I18" s="718">
        <v>227738.57008677814</v>
      </c>
      <c r="J18" s="718">
        <v>1083.9909737683463</v>
      </c>
      <c r="K18" s="718">
        <v>11212474.991868146</v>
      </c>
      <c r="L18" s="718">
        <v>0</v>
      </c>
      <c r="N18" s="700"/>
      <c r="O18" s="700"/>
      <c r="P18" s="700"/>
      <c r="Q18" s="700"/>
      <c r="R18" s="700"/>
      <c r="S18" s="700"/>
      <c r="T18" s="700"/>
      <c r="U18" s="700"/>
      <c r="V18" s="700"/>
      <c r="W18" s="700"/>
    </row>
    <row r="19" spans="1:23">
      <c r="A19" s="384">
        <v>13</v>
      </c>
      <c r="B19" s="397" t="s">
        <v>498</v>
      </c>
      <c r="C19" s="716">
        <v>14752134.580407009</v>
      </c>
      <c r="D19" s="695">
        <v>9681822.8556547016</v>
      </c>
      <c r="E19" s="695">
        <v>1925944.5089717475</v>
      </c>
      <c r="F19" s="718">
        <v>3144367.2157805613</v>
      </c>
      <c r="G19" s="718">
        <v>0</v>
      </c>
      <c r="H19" s="695">
        <v>1679590.6375970566</v>
      </c>
      <c r="I19" s="718">
        <v>38925.387248044841</v>
      </c>
      <c r="J19" s="718">
        <v>9629.7225479976369</v>
      </c>
      <c r="K19" s="718">
        <v>1631035.5278010145</v>
      </c>
      <c r="L19" s="718">
        <v>0</v>
      </c>
      <c r="N19" s="700"/>
      <c r="O19" s="700"/>
      <c r="P19" s="700"/>
      <c r="Q19" s="700"/>
      <c r="R19" s="700"/>
      <c r="S19" s="700"/>
      <c r="T19" s="700"/>
      <c r="U19" s="700"/>
      <c r="V19" s="700"/>
      <c r="W19" s="700"/>
    </row>
    <row r="20" spans="1:23">
      <c r="A20" s="384">
        <v>14</v>
      </c>
      <c r="B20" s="397" t="s">
        <v>499</v>
      </c>
      <c r="C20" s="716">
        <v>53864139.862405278</v>
      </c>
      <c r="D20" s="695">
        <v>34050723.294422284</v>
      </c>
      <c r="E20" s="695">
        <v>3547571.4884599764</v>
      </c>
      <c r="F20" s="718">
        <v>15829308.891097022</v>
      </c>
      <c r="G20" s="718">
        <v>436536.18842600001</v>
      </c>
      <c r="H20" s="695">
        <v>345068.86502992309</v>
      </c>
      <c r="I20" s="718">
        <v>111152.95160107814</v>
      </c>
      <c r="J20" s="718">
        <v>17737.85744</v>
      </c>
      <c r="K20" s="718">
        <v>213995.37504671499</v>
      </c>
      <c r="L20" s="718">
        <v>2182.6809421299999</v>
      </c>
      <c r="N20" s="700"/>
      <c r="O20" s="700"/>
      <c r="P20" s="700"/>
      <c r="Q20" s="700"/>
      <c r="R20" s="700"/>
      <c r="S20" s="700"/>
      <c r="T20" s="700"/>
      <c r="U20" s="700"/>
      <c r="V20" s="700"/>
      <c r="W20" s="700"/>
    </row>
    <row r="21" spans="1:23">
      <c r="A21" s="384">
        <v>15</v>
      </c>
      <c r="B21" s="397" t="s">
        <v>500</v>
      </c>
      <c r="C21" s="716">
        <v>2577343.9815529999</v>
      </c>
      <c r="D21" s="695">
        <v>2149673.86</v>
      </c>
      <c r="E21" s="695">
        <v>0</v>
      </c>
      <c r="F21" s="718">
        <v>427670.121553</v>
      </c>
      <c r="G21" s="718">
        <v>0</v>
      </c>
      <c r="H21" s="695">
        <v>70794.59871113344</v>
      </c>
      <c r="I21" s="718">
        <v>1815.0641700000001</v>
      </c>
      <c r="J21" s="718">
        <v>0</v>
      </c>
      <c r="K21" s="718">
        <v>68979.534541133442</v>
      </c>
      <c r="L21" s="718">
        <v>0</v>
      </c>
      <c r="N21" s="700"/>
      <c r="O21" s="700"/>
      <c r="P21" s="700"/>
      <c r="Q21" s="700"/>
      <c r="R21" s="700"/>
      <c r="S21" s="700"/>
      <c r="T21" s="700"/>
      <c r="U21" s="700"/>
      <c r="V21" s="700"/>
      <c r="W21" s="700"/>
    </row>
    <row r="22" spans="1:23">
      <c r="A22" s="384">
        <v>16</v>
      </c>
      <c r="B22" s="397" t="s">
        <v>501</v>
      </c>
      <c r="C22" s="716">
        <v>74744737.444756031</v>
      </c>
      <c r="D22" s="695">
        <v>0</v>
      </c>
      <c r="E22" s="695">
        <v>74744737.444756031</v>
      </c>
      <c r="F22" s="718">
        <v>0</v>
      </c>
      <c r="G22" s="718">
        <v>0</v>
      </c>
      <c r="H22" s="695">
        <v>7461322.6240300015</v>
      </c>
      <c r="I22" s="718">
        <v>0</v>
      </c>
      <c r="J22" s="718">
        <v>7461322.6240300015</v>
      </c>
      <c r="K22" s="718">
        <v>0</v>
      </c>
      <c r="L22" s="718">
        <v>0</v>
      </c>
      <c r="N22" s="700"/>
      <c r="O22" s="700"/>
      <c r="P22" s="700"/>
      <c r="Q22" s="700"/>
      <c r="R22" s="700"/>
      <c r="S22" s="700"/>
      <c r="T22" s="700"/>
      <c r="U22" s="700"/>
      <c r="V22" s="700"/>
      <c r="W22" s="700"/>
    </row>
    <row r="23" spans="1:23">
      <c r="A23" s="384">
        <v>17</v>
      </c>
      <c r="B23" s="397" t="s">
        <v>502</v>
      </c>
      <c r="C23" s="716">
        <v>92188031.800606176</v>
      </c>
      <c r="D23" s="695">
        <v>92188031.800606176</v>
      </c>
      <c r="E23" s="695">
        <v>0</v>
      </c>
      <c r="F23" s="718">
        <v>0</v>
      </c>
      <c r="G23" s="718">
        <v>0</v>
      </c>
      <c r="H23" s="695">
        <v>649737.06949296733</v>
      </c>
      <c r="I23" s="718">
        <v>649737.06949296733</v>
      </c>
      <c r="J23" s="718">
        <v>0</v>
      </c>
      <c r="K23" s="718">
        <v>0</v>
      </c>
      <c r="L23" s="718">
        <v>0</v>
      </c>
      <c r="N23" s="700"/>
      <c r="O23" s="700"/>
      <c r="P23" s="700"/>
      <c r="Q23" s="700"/>
      <c r="R23" s="700"/>
      <c r="S23" s="700"/>
      <c r="T23" s="700"/>
      <c r="U23" s="700"/>
      <c r="V23" s="700"/>
      <c r="W23" s="700"/>
    </row>
    <row r="24" spans="1:23">
      <c r="A24" s="384">
        <v>18</v>
      </c>
      <c r="B24" s="397" t="s">
        <v>503</v>
      </c>
      <c r="C24" s="716">
        <v>20225672.221287627</v>
      </c>
      <c r="D24" s="695">
        <v>20225672.221287627</v>
      </c>
      <c r="E24" s="695">
        <v>0</v>
      </c>
      <c r="F24" s="718">
        <v>0</v>
      </c>
      <c r="G24" s="718">
        <v>0</v>
      </c>
      <c r="H24" s="695">
        <v>465697.0032366332</v>
      </c>
      <c r="I24" s="718">
        <v>465697.0032366332</v>
      </c>
      <c r="J24" s="718">
        <v>0</v>
      </c>
      <c r="K24" s="718">
        <v>0</v>
      </c>
      <c r="L24" s="718">
        <v>0</v>
      </c>
      <c r="N24" s="700"/>
      <c r="O24" s="700"/>
      <c r="P24" s="700"/>
      <c r="Q24" s="700"/>
      <c r="R24" s="700"/>
      <c r="S24" s="700"/>
      <c r="T24" s="700"/>
      <c r="U24" s="700"/>
      <c r="V24" s="700"/>
      <c r="W24" s="700"/>
    </row>
    <row r="25" spans="1:23">
      <c r="A25" s="384">
        <v>19</v>
      </c>
      <c r="B25" s="397" t="s">
        <v>504</v>
      </c>
      <c r="C25" s="716">
        <v>19402480.485463995</v>
      </c>
      <c r="D25" s="695">
        <v>19402480.485463995</v>
      </c>
      <c r="E25" s="695">
        <v>0</v>
      </c>
      <c r="F25" s="718">
        <v>0</v>
      </c>
      <c r="G25" s="718">
        <v>0</v>
      </c>
      <c r="H25" s="695">
        <v>271254.0149825784</v>
      </c>
      <c r="I25" s="718">
        <v>271254.0149825784</v>
      </c>
      <c r="J25" s="718">
        <v>0</v>
      </c>
      <c r="K25" s="718">
        <v>0</v>
      </c>
      <c r="L25" s="718">
        <v>0</v>
      </c>
      <c r="N25" s="700"/>
      <c r="O25" s="700"/>
      <c r="P25" s="700"/>
      <c r="Q25" s="700"/>
      <c r="R25" s="700"/>
      <c r="S25" s="700"/>
      <c r="T25" s="700"/>
      <c r="U25" s="700"/>
      <c r="V25" s="700"/>
      <c r="W25" s="700"/>
    </row>
    <row r="26" spans="1:23">
      <c r="A26" s="384">
        <v>20</v>
      </c>
      <c r="B26" s="397" t="s">
        <v>505</v>
      </c>
      <c r="C26" s="716">
        <v>62969509.3674317</v>
      </c>
      <c r="D26" s="695">
        <v>51814205.088082299</v>
      </c>
      <c r="E26" s="695">
        <v>11155304.279349402</v>
      </c>
      <c r="F26" s="718">
        <v>0</v>
      </c>
      <c r="G26" s="718">
        <v>0</v>
      </c>
      <c r="H26" s="695">
        <v>2000380.107931348</v>
      </c>
      <c r="I26" s="718">
        <v>164544.30091876039</v>
      </c>
      <c r="J26" s="718">
        <v>1835835.8070125871</v>
      </c>
      <c r="K26" s="718">
        <v>0</v>
      </c>
      <c r="L26" s="718">
        <v>0</v>
      </c>
      <c r="N26" s="700"/>
      <c r="O26" s="700"/>
      <c r="P26" s="700"/>
      <c r="Q26" s="700"/>
      <c r="R26" s="700"/>
      <c r="S26" s="700"/>
      <c r="T26" s="700"/>
      <c r="U26" s="700"/>
      <c r="V26" s="700"/>
      <c r="W26" s="700"/>
    </row>
    <row r="27" spans="1:23">
      <c r="A27" s="384">
        <v>21</v>
      </c>
      <c r="B27" s="397" t="s">
        <v>506</v>
      </c>
      <c r="C27" s="716">
        <v>6944470.489417444</v>
      </c>
      <c r="D27" s="695">
        <v>6944466.1994174439</v>
      </c>
      <c r="E27" s="695">
        <v>0</v>
      </c>
      <c r="F27" s="718">
        <v>4.29</v>
      </c>
      <c r="G27" s="718">
        <v>0</v>
      </c>
      <c r="H27" s="695">
        <v>18472.398321665594</v>
      </c>
      <c r="I27" s="718">
        <v>18468.108321665593</v>
      </c>
      <c r="J27" s="718">
        <v>0</v>
      </c>
      <c r="K27" s="718">
        <v>4.29</v>
      </c>
      <c r="L27" s="718">
        <v>0</v>
      </c>
      <c r="N27" s="700"/>
      <c r="O27" s="700"/>
      <c r="P27" s="700"/>
      <c r="Q27" s="700"/>
      <c r="R27" s="700"/>
      <c r="S27" s="700"/>
      <c r="T27" s="700"/>
      <c r="U27" s="700"/>
      <c r="V27" s="700"/>
      <c r="W27" s="700"/>
    </row>
    <row r="28" spans="1:23">
      <c r="A28" s="384">
        <v>22</v>
      </c>
      <c r="B28" s="397" t="s">
        <v>507</v>
      </c>
      <c r="C28" s="716">
        <v>38602090.67788253</v>
      </c>
      <c r="D28" s="695">
        <v>35855480.375358731</v>
      </c>
      <c r="E28" s="695">
        <v>0</v>
      </c>
      <c r="F28" s="718">
        <v>2746610.3025237969</v>
      </c>
      <c r="G28" s="718">
        <v>0</v>
      </c>
      <c r="H28" s="695">
        <v>63880.362289827361</v>
      </c>
      <c r="I28" s="718">
        <v>4569.7813000000006</v>
      </c>
      <c r="J28" s="718">
        <v>0</v>
      </c>
      <c r="K28" s="718">
        <v>59310.580989827358</v>
      </c>
      <c r="L28" s="718">
        <v>0</v>
      </c>
      <c r="N28" s="700"/>
      <c r="O28" s="700"/>
      <c r="P28" s="700"/>
      <c r="Q28" s="700"/>
      <c r="R28" s="700"/>
      <c r="S28" s="700"/>
      <c r="T28" s="700"/>
      <c r="U28" s="700"/>
      <c r="V28" s="700"/>
      <c r="W28" s="700"/>
    </row>
    <row r="29" spans="1:23">
      <c r="A29" s="384">
        <v>23</v>
      </c>
      <c r="B29" s="397" t="s">
        <v>508</v>
      </c>
      <c r="C29" s="716">
        <v>90217542.201972172</v>
      </c>
      <c r="D29" s="695">
        <v>86898816.391980201</v>
      </c>
      <c r="E29" s="695">
        <v>21410.353561149481</v>
      </c>
      <c r="F29" s="718">
        <v>3297315.4564308138</v>
      </c>
      <c r="G29" s="718">
        <v>0</v>
      </c>
      <c r="H29" s="695">
        <v>440742.97062933957</v>
      </c>
      <c r="I29" s="718">
        <v>387463.54389130557</v>
      </c>
      <c r="J29" s="718">
        <v>624.50620523217424</v>
      </c>
      <c r="K29" s="718">
        <v>52654.920532801843</v>
      </c>
      <c r="L29" s="718">
        <v>0</v>
      </c>
      <c r="N29" s="700"/>
      <c r="O29" s="700"/>
      <c r="P29" s="700"/>
      <c r="Q29" s="700"/>
      <c r="R29" s="700"/>
      <c r="S29" s="700"/>
      <c r="T29" s="700"/>
      <c r="U29" s="700"/>
      <c r="V29" s="700"/>
      <c r="W29" s="700"/>
    </row>
    <row r="30" spans="1:23">
      <c r="A30" s="384">
        <v>24</v>
      </c>
      <c r="B30" s="397" t="s">
        <v>509</v>
      </c>
      <c r="C30" s="716">
        <v>40922029.551016264</v>
      </c>
      <c r="D30" s="695">
        <v>34558976.976467751</v>
      </c>
      <c r="E30" s="695">
        <v>1472896.9142835275</v>
      </c>
      <c r="F30" s="718">
        <v>4890155.6602649977</v>
      </c>
      <c r="G30" s="718">
        <v>0</v>
      </c>
      <c r="H30" s="695">
        <v>984097.52245662478</v>
      </c>
      <c r="I30" s="718">
        <v>113788.42251479519</v>
      </c>
      <c r="J30" s="718">
        <v>3968.7427914060177</v>
      </c>
      <c r="K30" s="718">
        <v>866340.35715042357</v>
      </c>
      <c r="L30" s="718">
        <v>0</v>
      </c>
      <c r="N30" s="700"/>
      <c r="O30" s="700"/>
      <c r="P30" s="700"/>
      <c r="Q30" s="700"/>
      <c r="R30" s="700"/>
      <c r="S30" s="700"/>
      <c r="T30" s="700"/>
      <c r="U30" s="700"/>
      <c r="V30" s="700"/>
      <c r="W30" s="700"/>
    </row>
    <row r="31" spans="1:23">
      <c r="A31" s="384">
        <v>25</v>
      </c>
      <c r="B31" s="397" t="s">
        <v>510</v>
      </c>
      <c r="C31" s="716">
        <v>103639657.78321528</v>
      </c>
      <c r="D31" s="695">
        <v>96049251.74795872</v>
      </c>
      <c r="E31" s="695">
        <v>919741.04073551483</v>
      </c>
      <c r="F31" s="718">
        <v>6203197.2867979985</v>
      </c>
      <c r="G31" s="718">
        <v>467467.70772299997</v>
      </c>
      <c r="H31" s="695">
        <v>3319281.3748001261</v>
      </c>
      <c r="I31" s="718">
        <v>1400679.9573298483</v>
      </c>
      <c r="J31" s="718">
        <v>1768.9890848144064</v>
      </c>
      <c r="K31" s="718">
        <v>1915944.0241549048</v>
      </c>
      <c r="L31" s="718">
        <v>888.40423055861595</v>
      </c>
      <c r="N31" s="700"/>
      <c r="O31" s="700"/>
      <c r="P31" s="700"/>
      <c r="Q31" s="700"/>
      <c r="R31" s="700"/>
      <c r="S31" s="700"/>
      <c r="T31" s="700"/>
      <c r="U31" s="700"/>
      <c r="V31" s="700"/>
      <c r="W31" s="700"/>
    </row>
    <row r="32" spans="1:23">
      <c r="A32" s="384">
        <v>26</v>
      </c>
      <c r="B32" s="397" t="s">
        <v>566</v>
      </c>
      <c r="C32" s="716">
        <v>153147.90130000023</v>
      </c>
      <c r="D32" s="695">
        <v>0</v>
      </c>
      <c r="E32" s="695">
        <v>0</v>
      </c>
      <c r="F32" s="718">
        <v>153147.90130000023</v>
      </c>
      <c r="G32" s="718">
        <v>0</v>
      </c>
      <c r="H32" s="695">
        <v>153147.90130000023</v>
      </c>
      <c r="I32" s="718">
        <v>0</v>
      </c>
      <c r="J32" s="718">
        <v>0</v>
      </c>
      <c r="K32" s="718">
        <v>153147.90130000023</v>
      </c>
      <c r="L32" s="718">
        <v>0</v>
      </c>
      <c r="N32" s="700"/>
      <c r="O32" s="700"/>
      <c r="P32" s="700"/>
      <c r="Q32" s="700"/>
      <c r="R32" s="700"/>
      <c r="S32" s="700"/>
      <c r="T32" s="700"/>
      <c r="U32" s="700"/>
      <c r="V32" s="700"/>
      <c r="W32" s="700"/>
    </row>
    <row r="33" spans="1:23">
      <c r="A33" s="384">
        <v>27</v>
      </c>
      <c r="B33" s="442" t="s">
        <v>66</v>
      </c>
      <c r="C33" s="719">
        <v>1199628047.2986104</v>
      </c>
      <c r="D33" s="697">
        <v>978060208.14910173</v>
      </c>
      <c r="E33" s="697">
        <v>135895965.9702827</v>
      </c>
      <c r="F33" s="720">
        <v>84767869.283077165</v>
      </c>
      <c r="G33" s="720">
        <v>904003.89614899992</v>
      </c>
      <c r="H33" s="697">
        <v>33601867.285937116</v>
      </c>
      <c r="I33" s="720">
        <v>6698345.4398718476</v>
      </c>
      <c r="J33" s="720">
        <v>9646525.1157296654</v>
      </c>
      <c r="K33" s="720">
        <v>17253925.645162921</v>
      </c>
      <c r="L33" s="720">
        <v>3071.0851726886158</v>
      </c>
      <c r="N33" s="700"/>
      <c r="O33" s="700"/>
      <c r="P33" s="700"/>
      <c r="Q33" s="700"/>
      <c r="R33" s="700"/>
      <c r="S33" s="700"/>
      <c r="T33" s="700"/>
      <c r="U33" s="700"/>
      <c r="V33" s="700"/>
      <c r="W33" s="700"/>
    </row>
    <row r="35" spans="1:23">
      <c r="B35" s="441"/>
      <c r="C35" s="441"/>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9"/>
  <sheetViews>
    <sheetView showGridLines="0" zoomScale="80" zoomScaleNormal="80" workbookViewId="0"/>
  </sheetViews>
  <sheetFormatPr defaultColWidth="8.7109375" defaultRowHeight="12"/>
  <cols>
    <col min="1" max="1" width="11.7109375" style="306" bestFit="1" customWidth="1"/>
    <col min="2" max="2" width="165.140625" style="306" customWidth="1"/>
    <col min="3" max="11" width="28.28515625" style="306" customWidth="1"/>
    <col min="12" max="16384" width="8.7109375" style="306"/>
  </cols>
  <sheetData>
    <row r="1" spans="1:11" s="300" customFormat="1" ht="13.5">
      <c r="A1" s="299" t="s">
        <v>97</v>
      </c>
      <c r="B1" s="221" t="str">
        <f>Info!C2</f>
        <v>სს "ბანკი ქართუ"</v>
      </c>
      <c r="C1" s="394"/>
      <c r="D1" s="394"/>
      <c r="E1" s="394"/>
      <c r="F1" s="394"/>
      <c r="G1" s="394"/>
      <c r="H1" s="394"/>
      <c r="I1" s="394"/>
      <c r="J1" s="394"/>
      <c r="K1" s="394"/>
    </row>
    <row r="2" spans="1:11" s="300" customFormat="1" ht="12.75">
      <c r="A2" s="299" t="s">
        <v>98</v>
      </c>
      <c r="B2" s="634">
        <f>'1. key ratios'!B2</f>
        <v>46203</v>
      </c>
      <c r="C2" s="394"/>
      <c r="D2" s="394"/>
      <c r="E2" s="394"/>
      <c r="F2" s="394"/>
      <c r="G2" s="394"/>
      <c r="H2" s="394"/>
      <c r="I2" s="394"/>
      <c r="J2" s="394"/>
      <c r="K2" s="394"/>
    </row>
    <row r="3" spans="1:11" s="300" customFormat="1" ht="12.75">
      <c r="A3" s="301" t="s">
        <v>567</v>
      </c>
      <c r="B3" s="394"/>
      <c r="C3" s="394"/>
      <c r="D3" s="394"/>
      <c r="E3" s="394"/>
      <c r="F3" s="394"/>
      <c r="G3" s="394"/>
      <c r="H3" s="394"/>
      <c r="I3" s="394"/>
      <c r="J3" s="394"/>
      <c r="K3" s="394"/>
    </row>
    <row r="4" spans="1:11">
      <c r="A4" s="446"/>
      <c r="B4" s="446"/>
      <c r="C4" s="445" t="s">
        <v>471</v>
      </c>
      <c r="D4" s="445" t="s">
        <v>472</v>
      </c>
      <c r="E4" s="445" t="s">
        <v>473</v>
      </c>
      <c r="F4" s="445" t="s">
        <v>474</v>
      </c>
      <c r="G4" s="445" t="s">
        <v>475</v>
      </c>
      <c r="H4" s="445" t="s">
        <v>476</v>
      </c>
      <c r="I4" s="445" t="s">
        <v>477</v>
      </c>
      <c r="J4" s="445" t="s">
        <v>478</v>
      </c>
      <c r="K4" s="445" t="s">
        <v>479</v>
      </c>
    </row>
    <row r="5" spans="1:11" ht="103.9" customHeight="1">
      <c r="A5" s="842" t="s">
        <v>874</v>
      </c>
      <c r="B5" s="843"/>
      <c r="C5" s="444" t="s">
        <v>568</v>
      </c>
      <c r="D5" s="444" t="s">
        <v>561</v>
      </c>
      <c r="E5" s="444" t="s">
        <v>562</v>
      </c>
      <c r="F5" s="444" t="s">
        <v>873</v>
      </c>
      <c r="G5" s="444" t="s">
        <v>569</v>
      </c>
      <c r="H5" s="444" t="s">
        <v>570</v>
      </c>
      <c r="I5" s="444" t="s">
        <v>571</v>
      </c>
      <c r="J5" s="444" t="s">
        <v>572</v>
      </c>
      <c r="K5" s="444" t="s">
        <v>573</v>
      </c>
    </row>
    <row r="6" spans="1:11" ht="12.75">
      <c r="A6" s="384">
        <v>1</v>
      </c>
      <c r="B6" s="384" t="s">
        <v>574</v>
      </c>
      <c r="C6" s="695">
        <v>88910447.609081075</v>
      </c>
      <c r="D6" s="695">
        <v>3920498.2795000002</v>
      </c>
      <c r="E6" s="695">
        <v>0</v>
      </c>
      <c r="F6" s="695">
        <v>0</v>
      </c>
      <c r="G6" s="695">
        <v>864087024.50995994</v>
      </c>
      <c r="H6" s="695">
        <v>7615647.6577268196</v>
      </c>
      <c r="I6" s="695">
        <v>165509334.2113134</v>
      </c>
      <c r="J6" s="695">
        <v>8659698.37820917</v>
      </c>
      <c r="K6" s="695">
        <v>60925396.652820125</v>
      </c>
    </row>
    <row r="7" spans="1:11" ht="12.75">
      <c r="A7" s="384">
        <v>2</v>
      </c>
      <c r="B7" s="384" t="s">
        <v>575</v>
      </c>
      <c r="C7" s="695">
        <v>0</v>
      </c>
      <c r="D7" s="695">
        <v>0</v>
      </c>
      <c r="E7" s="695">
        <v>0</v>
      </c>
      <c r="F7" s="695">
        <v>0</v>
      </c>
      <c r="G7" s="695">
        <v>8111226.0600000005</v>
      </c>
      <c r="H7" s="695">
        <v>0</v>
      </c>
      <c r="I7" s="695">
        <v>0</v>
      </c>
      <c r="J7" s="695">
        <v>8034340.0300000003</v>
      </c>
      <c r="K7" s="695">
        <v>38796912.039999999</v>
      </c>
    </row>
    <row r="8" spans="1:11" ht="12.75">
      <c r="A8" s="384">
        <v>3</v>
      </c>
      <c r="B8" s="384" t="s">
        <v>539</v>
      </c>
      <c r="C8" s="695">
        <v>17182588.508310996</v>
      </c>
      <c r="D8" s="695">
        <v>0</v>
      </c>
      <c r="E8" s="695">
        <v>0</v>
      </c>
      <c r="F8" s="695">
        <v>0</v>
      </c>
      <c r="G8" s="695">
        <v>154258718.86894923</v>
      </c>
      <c r="H8" s="695">
        <v>296969.31089918141</v>
      </c>
      <c r="I8" s="695">
        <v>24537491.051149026</v>
      </c>
      <c r="J8" s="695">
        <v>8642624.559969658</v>
      </c>
      <c r="K8" s="695">
        <v>15572707.1791219</v>
      </c>
    </row>
    <row r="9" spans="1:11" ht="12.75">
      <c r="A9" s="384">
        <v>4</v>
      </c>
      <c r="B9" s="401" t="s">
        <v>872</v>
      </c>
      <c r="C9" s="722">
        <v>2451025.3498345134</v>
      </c>
      <c r="D9" s="722">
        <v>300006.01250000001</v>
      </c>
      <c r="E9" s="722">
        <v>0</v>
      </c>
      <c r="F9" s="722">
        <v>0</v>
      </c>
      <c r="G9" s="722">
        <v>64149110.952734888</v>
      </c>
      <c r="H9" s="722">
        <v>3944666.9685259992</v>
      </c>
      <c r="I9" s="722">
        <v>2957085.9266109173</v>
      </c>
      <c r="J9" s="722">
        <v>2864291.6841793582</v>
      </c>
      <c r="K9" s="722">
        <v>9005686.2848404851</v>
      </c>
    </row>
    <row r="10" spans="1:11" ht="12.75">
      <c r="A10" s="384">
        <v>5</v>
      </c>
      <c r="B10" s="401" t="s">
        <v>871</v>
      </c>
      <c r="C10" s="722">
        <v>0</v>
      </c>
      <c r="D10" s="722">
        <v>0</v>
      </c>
      <c r="E10" s="722">
        <v>0</v>
      </c>
      <c r="F10" s="722">
        <v>0</v>
      </c>
      <c r="G10" s="722">
        <v>0</v>
      </c>
      <c r="H10" s="722">
        <v>0</v>
      </c>
      <c r="I10" s="722">
        <v>0</v>
      </c>
      <c r="J10" s="722">
        <v>0</v>
      </c>
      <c r="K10" s="722">
        <v>0</v>
      </c>
    </row>
    <row r="11" spans="1:11" ht="12.75">
      <c r="A11" s="384">
        <v>6</v>
      </c>
      <c r="B11" s="401" t="s">
        <v>870</v>
      </c>
      <c r="C11" s="722">
        <v>0</v>
      </c>
      <c r="D11" s="722">
        <v>0</v>
      </c>
      <c r="E11" s="722">
        <v>0</v>
      </c>
      <c r="F11" s="722">
        <v>0</v>
      </c>
      <c r="G11" s="722">
        <v>4.0800000247145363E-2</v>
      </c>
      <c r="H11" s="722">
        <v>1.0000000474974513E-4</v>
      </c>
      <c r="I11" s="722">
        <v>3.0000000260770321E-3</v>
      </c>
      <c r="J11" s="722">
        <v>5.0000000046566129E-3</v>
      </c>
      <c r="K11" s="722">
        <v>1066.1644999999999</v>
      </c>
    </row>
    <row r="13" spans="1:11" ht="15">
      <c r="B13" s="443"/>
    </row>
    <row r="15" spans="1:11">
      <c r="C15" s="721"/>
      <c r="D15" s="721"/>
      <c r="E15" s="721"/>
      <c r="F15" s="721"/>
      <c r="G15" s="721"/>
      <c r="H15" s="721"/>
      <c r="I15" s="721"/>
      <c r="J15" s="721"/>
      <c r="K15" s="721"/>
    </row>
    <row r="16" spans="1:11">
      <c r="C16" s="721"/>
      <c r="D16" s="721"/>
      <c r="E16" s="721"/>
      <c r="F16" s="721"/>
      <c r="G16" s="721"/>
      <c r="H16" s="721"/>
      <c r="I16" s="721"/>
      <c r="J16" s="721"/>
      <c r="K16" s="721"/>
    </row>
    <row r="17" spans="3:11">
      <c r="C17" s="721"/>
      <c r="D17" s="721"/>
      <c r="E17" s="721"/>
      <c r="F17" s="721"/>
      <c r="G17" s="721"/>
      <c r="H17" s="721"/>
      <c r="I17" s="721"/>
      <c r="J17" s="721"/>
      <c r="K17" s="721"/>
    </row>
    <row r="18" spans="3:11">
      <c r="C18" s="721"/>
      <c r="D18" s="721"/>
      <c r="E18" s="721"/>
      <c r="F18" s="721"/>
      <c r="G18" s="721"/>
      <c r="H18" s="721"/>
      <c r="I18" s="721"/>
      <c r="J18" s="721"/>
      <c r="K18" s="721"/>
    </row>
    <row r="19" spans="3:11">
      <c r="C19" s="721"/>
      <c r="D19" s="721"/>
      <c r="E19" s="721"/>
      <c r="F19" s="721"/>
      <c r="G19" s="721"/>
      <c r="H19" s="721"/>
      <c r="I19" s="721"/>
      <c r="J19" s="721"/>
      <c r="K19" s="721"/>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36"/>
  <sheetViews>
    <sheetView showGridLines="0" zoomScale="80" zoomScaleNormal="80" workbookViewId="0"/>
  </sheetViews>
  <sheetFormatPr defaultColWidth="8.7109375" defaultRowHeight="15"/>
  <cols>
    <col min="1" max="1" width="10" style="447" bestFit="1" customWidth="1"/>
    <col min="2" max="2" width="71.7109375" style="447" customWidth="1"/>
    <col min="3" max="4" width="15.85546875" style="447" bestFit="1" customWidth="1"/>
    <col min="5" max="5" width="15.42578125" style="447" bestFit="1" customWidth="1"/>
    <col min="6" max="6" width="20.140625" style="447" bestFit="1" customWidth="1"/>
    <col min="7" max="7" width="37.85546875" style="447" bestFit="1" customWidth="1"/>
    <col min="8" max="9" width="15.85546875" style="447" bestFit="1" customWidth="1"/>
    <col min="10" max="10" width="15.42578125" style="447" bestFit="1" customWidth="1"/>
    <col min="11" max="11" width="20.140625" style="447" bestFit="1" customWidth="1"/>
    <col min="12" max="12" width="37.85546875" style="447" bestFit="1" customWidth="1"/>
    <col min="13" max="13" width="13" style="447" bestFit="1" customWidth="1"/>
    <col min="14" max="15" width="15.42578125" style="447" bestFit="1" customWidth="1"/>
    <col min="16" max="16" width="20.140625" style="447" bestFit="1" customWidth="1"/>
    <col min="17" max="17" width="37.85546875" style="447" bestFit="1" customWidth="1"/>
    <col min="18" max="18" width="18.140625" style="447" bestFit="1" customWidth="1"/>
    <col min="19" max="19" width="48.140625" style="447" bestFit="1" customWidth="1"/>
    <col min="20" max="20" width="45.85546875" style="447" bestFit="1" customWidth="1"/>
    <col min="21" max="21" width="48.140625" style="447" bestFit="1" customWidth="1"/>
    <col min="22" max="22" width="44.42578125" style="447" bestFit="1" customWidth="1"/>
    <col min="23" max="16384" width="8.7109375" style="447"/>
  </cols>
  <sheetData>
    <row r="1" spans="1:22">
      <c r="A1" s="299" t="s">
        <v>97</v>
      </c>
      <c r="B1" s="221" t="str">
        <f>Info!C2</f>
        <v>სს "ბანკი ქართუ"</v>
      </c>
    </row>
    <row r="2" spans="1:22">
      <c r="A2" s="299" t="s">
        <v>98</v>
      </c>
      <c r="B2" s="634">
        <f>'1. key ratios'!B2</f>
        <v>46203</v>
      </c>
    </row>
    <row r="3" spans="1:22">
      <c r="A3" s="301" t="s">
        <v>657</v>
      </c>
      <c r="B3" s="394"/>
    </row>
    <row r="4" spans="1:22">
      <c r="A4" s="301"/>
      <c r="B4" s="394"/>
    </row>
    <row r="5" spans="1:22" ht="24" customHeight="1">
      <c r="A5" s="844" t="s">
        <v>684</v>
      </c>
      <c r="B5" s="844"/>
      <c r="C5" s="846" t="s">
        <v>876</v>
      </c>
      <c r="D5" s="846"/>
      <c r="E5" s="846"/>
      <c r="F5" s="846"/>
      <c r="G5" s="846"/>
      <c r="H5" s="846" t="s">
        <v>565</v>
      </c>
      <c r="I5" s="846"/>
      <c r="J5" s="846"/>
      <c r="K5" s="846"/>
      <c r="L5" s="846"/>
      <c r="M5" s="846" t="s">
        <v>875</v>
      </c>
      <c r="N5" s="846"/>
      <c r="O5" s="846"/>
      <c r="P5" s="846"/>
      <c r="Q5" s="846"/>
      <c r="R5" s="845" t="s">
        <v>683</v>
      </c>
      <c r="S5" s="845" t="s">
        <v>687</v>
      </c>
      <c r="T5" s="845" t="s">
        <v>686</v>
      </c>
      <c r="U5" s="845" t="s">
        <v>915</v>
      </c>
      <c r="V5" s="845" t="s">
        <v>916</v>
      </c>
    </row>
    <row r="6" spans="1:22" ht="36" customHeight="1">
      <c r="A6" s="844"/>
      <c r="B6" s="844"/>
      <c r="C6" s="456"/>
      <c r="D6" s="392" t="s">
        <v>860</v>
      </c>
      <c r="E6" s="392" t="s">
        <v>859</v>
      </c>
      <c r="F6" s="392" t="s">
        <v>858</v>
      </c>
      <c r="G6" s="392" t="s">
        <v>857</v>
      </c>
      <c r="H6" s="456"/>
      <c r="I6" s="392" t="s">
        <v>860</v>
      </c>
      <c r="J6" s="392" t="s">
        <v>859</v>
      </c>
      <c r="K6" s="392" t="s">
        <v>858</v>
      </c>
      <c r="L6" s="392" t="s">
        <v>857</v>
      </c>
      <c r="M6" s="456"/>
      <c r="N6" s="392" t="s">
        <v>860</v>
      </c>
      <c r="O6" s="392" t="s">
        <v>859</v>
      </c>
      <c r="P6" s="392" t="s">
        <v>858</v>
      </c>
      <c r="Q6" s="392" t="s">
        <v>857</v>
      </c>
      <c r="R6" s="845"/>
      <c r="S6" s="845"/>
      <c r="T6" s="845"/>
      <c r="U6" s="845"/>
      <c r="V6" s="845"/>
    </row>
    <row r="7" spans="1:22">
      <c r="A7" s="451">
        <v>1</v>
      </c>
      <c r="B7" s="455" t="s">
        <v>658</v>
      </c>
      <c r="C7" s="722">
        <v>135353.04</v>
      </c>
      <c r="D7" s="722">
        <v>34047.550000000003</v>
      </c>
      <c r="E7" s="722">
        <v>0</v>
      </c>
      <c r="F7" s="722">
        <v>101305.49</v>
      </c>
      <c r="G7" s="722">
        <v>0</v>
      </c>
      <c r="H7" s="722">
        <v>146453.88703673065</v>
      </c>
      <c r="I7" s="722">
        <v>34212.080000000002</v>
      </c>
      <c r="J7" s="722">
        <v>0</v>
      </c>
      <c r="K7" s="722">
        <v>112241.80703673068</v>
      </c>
      <c r="L7" s="722">
        <v>0</v>
      </c>
      <c r="M7" s="722">
        <v>564.76809526873876</v>
      </c>
      <c r="N7" s="722">
        <v>3.5590600850852261</v>
      </c>
      <c r="O7" s="722">
        <v>0</v>
      </c>
      <c r="P7" s="722">
        <v>561.20903518365344</v>
      </c>
      <c r="Q7" s="722">
        <v>0</v>
      </c>
      <c r="R7" s="722">
        <v>4</v>
      </c>
      <c r="S7" s="722">
        <v>0</v>
      </c>
      <c r="T7" s="722">
        <v>0</v>
      </c>
      <c r="U7" s="722">
        <v>0.12832359860554296</v>
      </c>
      <c r="V7" s="722">
        <v>15.280647965407139</v>
      </c>
    </row>
    <row r="8" spans="1:22">
      <c r="A8" s="451">
        <v>2</v>
      </c>
      <c r="B8" s="454" t="s">
        <v>659</v>
      </c>
      <c r="C8" s="722">
        <v>10965307.940900004</v>
      </c>
      <c r="D8" s="722">
        <v>9102788.6000000015</v>
      </c>
      <c r="E8" s="722">
        <v>260114.04450000002</v>
      </c>
      <c r="F8" s="722">
        <v>1602405.2964000001</v>
      </c>
      <c r="G8" s="722">
        <v>0</v>
      </c>
      <c r="H8" s="722">
        <v>11208307.045591347</v>
      </c>
      <c r="I8" s="722">
        <v>9328076.1487858854</v>
      </c>
      <c r="J8" s="722">
        <v>264270.46310841985</v>
      </c>
      <c r="K8" s="722">
        <v>1615960.4336970448</v>
      </c>
      <c r="L8" s="722">
        <v>0</v>
      </c>
      <c r="M8" s="722">
        <v>240583.29706421297</v>
      </c>
      <c r="N8" s="722">
        <v>153639.96401993497</v>
      </c>
      <c r="O8" s="722">
        <v>1893.7499734700336</v>
      </c>
      <c r="P8" s="722">
        <v>85049.583070807974</v>
      </c>
      <c r="Q8" s="722">
        <v>0</v>
      </c>
      <c r="R8" s="722">
        <v>108</v>
      </c>
      <c r="S8" s="722">
        <v>0.10966014927332299</v>
      </c>
      <c r="T8" s="722">
        <v>0.11574772366670054</v>
      </c>
      <c r="U8" s="722">
        <v>8.1978876725026906E-2</v>
      </c>
      <c r="V8" s="722">
        <v>44.946770889555943</v>
      </c>
    </row>
    <row r="9" spans="1:22">
      <c r="A9" s="451">
        <v>3</v>
      </c>
      <c r="B9" s="454" t="s">
        <v>660</v>
      </c>
      <c r="C9" s="722">
        <v>0</v>
      </c>
      <c r="D9" s="722">
        <v>0</v>
      </c>
      <c r="E9" s="722">
        <v>0</v>
      </c>
      <c r="F9" s="722">
        <v>0</v>
      </c>
      <c r="G9" s="722">
        <v>0</v>
      </c>
      <c r="H9" s="722">
        <v>0</v>
      </c>
      <c r="I9" s="722">
        <v>0</v>
      </c>
      <c r="J9" s="722">
        <v>0</v>
      </c>
      <c r="K9" s="722">
        <v>0</v>
      </c>
      <c r="L9" s="722">
        <v>0</v>
      </c>
      <c r="M9" s="722">
        <v>0</v>
      </c>
      <c r="N9" s="722">
        <v>0</v>
      </c>
      <c r="O9" s="722">
        <v>0</v>
      </c>
      <c r="P9" s="722">
        <v>0</v>
      </c>
      <c r="Q9" s="722">
        <v>0</v>
      </c>
      <c r="R9" s="722">
        <v>0</v>
      </c>
      <c r="S9" s="722">
        <v>0</v>
      </c>
      <c r="T9" s="722">
        <v>0</v>
      </c>
      <c r="U9" s="722">
        <v>0</v>
      </c>
      <c r="V9" s="722">
        <v>0</v>
      </c>
    </row>
    <row r="10" spans="1:22">
      <c r="A10" s="451">
        <v>4</v>
      </c>
      <c r="B10" s="454" t="s">
        <v>661</v>
      </c>
      <c r="C10" s="722">
        <v>0</v>
      </c>
      <c r="D10" s="722">
        <v>0</v>
      </c>
      <c r="E10" s="722">
        <v>0</v>
      </c>
      <c r="F10" s="722">
        <v>0</v>
      </c>
      <c r="G10" s="722">
        <v>0</v>
      </c>
      <c r="H10" s="722">
        <v>0</v>
      </c>
      <c r="I10" s="722">
        <v>0</v>
      </c>
      <c r="J10" s="722">
        <v>0</v>
      </c>
      <c r="K10" s="722">
        <v>0</v>
      </c>
      <c r="L10" s="722">
        <v>0</v>
      </c>
      <c r="M10" s="722">
        <v>0</v>
      </c>
      <c r="N10" s="722">
        <v>0</v>
      </c>
      <c r="O10" s="722">
        <v>0</v>
      </c>
      <c r="P10" s="722">
        <v>0</v>
      </c>
      <c r="Q10" s="722">
        <v>0</v>
      </c>
      <c r="R10" s="722">
        <v>0</v>
      </c>
      <c r="S10" s="722">
        <v>0</v>
      </c>
      <c r="T10" s="722">
        <v>0</v>
      </c>
      <c r="U10" s="722">
        <v>0</v>
      </c>
      <c r="V10" s="722">
        <v>0</v>
      </c>
    </row>
    <row r="11" spans="1:22">
      <c r="A11" s="451">
        <v>5</v>
      </c>
      <c r="B11" s="454" t="s">
        <v>662</v>
      </c>
      <c r="C11" s="722">
        <v>686403.71010000014</v>
      </c>
      <c r="D11" s="722">
        <v>665261.75010000018</v>
      </c>
      <c r="E11" s="722">
        <v>6113.31</v>
      </c>
      <c r="F11" s="722">
        <v>15028.65</v>
      </c>
      <c r="G11" s="722">
        <v>0</v>
      </c>
      <c r="H11" s="722">
        <v>739841.73319000017</v>
      </c>
      <c r="I11" s="722">
        <v>684286.40319000022</v>
      </c>
      <c r="J11" s="722">
        <v>33141.99</v>
      </c>
      <c r="K11" s="722">
        <v>22413.34</v>
      </c>
      <c r="L11" s="722">
        <v>0</v>
      </c>
      <c r="M11" s="722">
        <v>36305.463663799987</v>
      </c>
      <c r="N11" s="722">
        <v>13683.838663800001</v>
      </c>
      <c r="O11" s="722">
        <v>3314.1990000000001</v>
      </c>
      <c r="P11" s="722">
        <v>19307.425999999999</v>
      </c>
      <c r="Q11" s="722">
        <v>0</v>
      </c>
      <c r="R11" s="722">
        <v>144</v>
      </c>
      <c r="S11" s="722">
        <v>0.11399967738065656</v>
      </c>
      <c r="T11" s="722">
        <v>0.12057593036567864</v>
      </c>
      <c r="U11" s="722">
        <v>0.12285327363646477</v>
      </c>
      <c r="V11" s="722">
        <v>9.0765043093322486</v>
      </c>
    </row>
    <row r="12" spans="1:22">
      <c r="A12" s="451">
        <v>6</v>
      </c>
      <c r="B12" s="454" t="s">
        <v>663</v>
      </c>
      <c r="C12" s="722">
        <v>139807.69230000011</v>
      </c>
      <c r="D12" s="722">
        <v>0</v>
      </c>
      <c r="E12" s="722">
        <v>0</v>
      </c>
      <c r="F12" s="722">
        <v>139807.69230000011</v>
      </c>
      <c r="G12" s="722">
        <v>0</v>
      </c>
      <c r="H12" s="722">
        <v>139807.69230000011</v>
      </c>
      <c r="I12" s="722">
        <v>0</v>
      </c>
      <c r="J12" s="722">
        <v>0</v>
      </c>
      <c r="K12" s="722">
        <v>139807.69230000011</v>
      </c>
      <c r="L12" s="722">
        <v>0</v>
      </c>
      <c r="M12" s="722">
        <v>139807.69230000011</v>
      </c>
      <c r="N12" s="722">
        <v>0</v>
      </c>
      <c r="O12" s="722">
        <v>0</v>
      </c>
      <c r="P12" s="722">
        <v>139807.69230000011</v>
      </c>
      <c r="Q12" s="722">
        <v>0</v>
      </c>
      <c r="R12" s="722">
        <v>1656</v>
      </c>
      <c r="S12" s="722">
        <v>0</v>
      </c>
      <c r="T12" s="722">
        <v>0</v>
      </c>
      <c r="U12" s="722">
        <v>0</v>
      </c>
      <c r="V12" s="722">
        <v>0</v>
      </c>
    </row>
    <row r="13" spans="1:22">
      <c r="A13" s="451">
        <v>7</v>
      </c>
      <c r="B13" s="454" t="s">
        <v>664</v>
      </c>
      <c r="C13" s="722">
        <v>26972760.842299994</v>
      </c>
      <c r="D13" s="722">
        <v>26150301.051699996</v>
      </c>
      <c r="E13" s="722">
        <v>625385.78720000014</v>
      </c>
      <c r="F13" s="722">
        <v>197074.00340000002</v>
      </c>
      <c r="G13" s="722">
        <v>0</v>
      </c>
      <c r="H13" s="722">
        <v>27162336.710094184</v>
      </c>
      <c r="I13" s="722">
        <v>26299633.189188797</v>
      </c>
      <c r="J13" s="722">
        <v>632256.17462839116</v>
      </c>
      <c r="K13" s="722">
        <v>230447.346277</v>
      </c>
      <c r="L13" s="722">
        <v>0</v>
      </c>
      <c r="M13" s="722">
        <v>102974.20602299989</v>
      </c>
      <c r="N13" s="722">
        <v>62059.849811530687</v>
      </c>
      <c r="O13" s="722">
        <v>1096.7940405937825</v>
      </c>
      <c r="P13" s="722">
        <v>39817.562170875361</v>
      </c>
      <c r="Q13" s="722">
        <v>0</v>
      </c>
      <c r="R13" s="722">
        <v>161</v>
      </c>
      <c r="S13" s="722">
        <v>9.7341867948664437E-2</v>
      </c>
      <c r="T13" s="722">
        <v>0.10204718711238717</v>
      </c>
      <c r="U13" s="722">
        <v>8.9560781407249976E-2</v>
      </c>
      <c r="V13" s="722">
        <v>109.70915661993807</v>
      </c>
    </row>
    <row r="14" spans="1:22">
      <c r="A14" s="449">
        <v>7.1</v>
      </c>
      <c r="B14" s="448" t="s">
        <v>665</v>
      </c>
      <c r="C14" s="722">
        <v>14932668.575500006</v>
      </c>
      <c r="D14" s="722">
        <v>14371804.292400004</v>
      </c>
      <c r="E14" s="722">
        <v>431959.52840000001</v>
      </c>
      <c r="F14" s="722">
        <v>128904.7547</v>
      </c>
      <c r="G14" s="722">
        <v>0</v>
      </c>
      <c r="H14" s="722">
        <v>15072669.700774645</v>
      </c>
      <c r="I14" s="722">
        <v>14472516.19798198</v>
      </c>
      <c r="J14" s="722">
        <v>438362.85464666522</v>
      </c>
      <c r="K14" s="722">
        <v>161790.64814600002</v>
      </c>
      <c r="L14" s="722">
        <v>0</v>
      </c>
      <c r="M14" s="722">
        <v>65186.59811935074</v>
      </c>
      <c r="N14" s="722">
        <v>35063.84534790623</v>
      </c>
      <c r="O14" s="722">
        <v>797.15312535407168</v>
      </c>
      <c r="P14" s="722">
        <v>29325.599646090435</v>
      </c>
      <c r="Q14" s="722">
        <v>0</v>
      </c>
      <c r="R14" s="722">
        <v>72</v>
      </c>
      <c r="S14" s="722">
        <v>8.9006569245032391E-2</v>
      </c>
      <c r="T14" s="722">
        <v>9.2902080479161667E-2</v>
      </c>
      <c r="U14" s="722">
        <v>8.1382953182282669E-2</v>
      </c>
      <c r="V14" s="722">
        <v>98.32490819261325</v>
      </c>
    </row>
    <row r="15" spans="1:22" ht="25.5">
      <c r="A15" s="449">
        <v>7.2</v>
      </c>
      <c r="B15" s="448" t="s">
        <v>666</v>
      </c>
      <c r="C15" s="722">
        <v>7870565.2617000006</v>
      </c>
      <c r="D15" s="722">
        <v>7622457.2841999996</v>
      </c>
      <c r="E15" s="722">
        <v>179938.72879999998</v>
      </c>
      <c r="F15" s="722">
        <v>68169.248699999996</v>
      </c>
      <c r="G15" s="722">
        <v>0</v>
      </c>
      <c r="H15" s="722">
        <v>7908814.2818415761</v>
      </c>
      <c r="I15" s="722">
        <v>7659788.7731970008</v>
      </c>
      <c r="J15" s="722">
        <v>180368.81051357638</v>
      </c>
      <c r="K15" s="722">
        <v>68656.698130999997</v>
      </c>
      <c r="L15" s="722">
        <v>0</v>
      </c>
      <c r="M15" s="722">
        <v>18702.265864703961</v>
      </c>
      <c r="N15" s="722">
        <v>7930.1851569217451</v>
      </c>
      <c r="O15" s="722">
        <v>280.11818299729515</v>
      </c>
      <c r="P15" s="722">
        <v>10491.96252478492</v>
      </c>
      <c r="Q15" s="722">
        <v>0</v>
      </c>
      <c r="R15" s="722">
        <v>64</v>
      </c>
      <c r="S15" s="722">
        <v>0.10962296123360235</v>
      </c>
      <c r="T15" s="722">
        <v>0.11549249673277769</v>
      </c>
      <c r="U15" s="722">
        <v>0.10008915691386421</v>
      </c>
      <c r="V15" s="722">
        <v>122.48726639094643</v>
      </c>
    </row>
    <row r="16" spans="1:22">
      <c r="A16" s="449">
        <v>7.3</v>
      </c>
      <c r="B16" s="448" t="s">
        <v>667</v>
      </c>
      <c r="C16" s="722">
        <v>4169527.0051000002</v>
      </c>
      <c r="D16" s="722">
        <v>4156039.4751000004</v>
      </c>
      <c r="E16" s="722">
        <v>13487.53</v>
      </c>
      <c r="F16" s="722">
        <v>0</v>
      </c>
      <c r="G16" s="722">
        <v>0</v>
      </c>
      <c r="H16" s="722">
        <v>4180852.7274779575</v>
      </c>
      <c r="I16" s="722">
        <v>4167328.2180098081</v>
      </c>
      <c r="J16" s="722">
        <v>13524.509468149481</v>
      </c>
      <c r="K16" s="722">
        <v>0</v>
      </c>
      <c r="L16" s="722">
        <v>0</v>
      </c>
      <c r="M16" s="722">
        <v>19085.342038945135</v>
      </c>
      <c r="N16" s="722">
        <v>19065.81930670272</v>
      </c>
      <c r="O16" s="722">
        <v>19.522732242415692</v>
      </c>
      <c r="P16" s="722">
        <v>0</v>
      </c>
      <c r="Q16" s="722">
        <v>0</v>
      </c>
      <c r="R16" s="722">
        <v>25</v>
      </c>
      <c r="S16" s="722">
        <v>9.904242114377311E-2</v>
      </c>
      <c r="T16" s="722">
        <v>0.10402549770349617</v>
      </c>
      <c r="U16" s="722">
        <v>9.8974926459746579E-2</v>
      </c>
      <c r="V16" s="722">
        <v>126.11790603943925</v>
      </c>
    </row>
    <row r="17" spans="1:22">
      <c r="A17" s="451">
        <v>8</v>
      </c>
      <c r="B17" s="454" t="s">
        <v>668</v>
      </c>
      <c r="C17" s="722">
        <v>0</v>
      </c>
      <c r="D17" s="722">
        <v>0</v>
      </c>
      <c r="E17" s="722">
        <v>0</v>
      </c>
      <c r="F17" s="722">
        <v>0</v>
      </c>
      <c r="G17" s="722">
        <v>0</v>
      </c>
      <c r="H17" s="722">
        <v>0</v>
      </c>
      <c r="I17" s="722">
        <v>0</v>
      </c>
      <c r="J17" s="722">
        <v>0</v>
      </c>
      <c r="K17" s="722">
        <v>0</v>
      </c>
      <c r="L17" s="722">
        <v>0</v>
      </c>
      <c r="M17" s="722">
        <v>0</v>
      </c>
      <c r="N17" s="722">
        <v>0</v>
      </c>
      <c r="O17" s="722">
        <v>0</v>
      </c>
      <c r="P17" s="722">
        <v>0</v>
      </c>
      <c r="Q17" s="722">
        <v>0</v>
      </c>
      <c r="R17" s="722">
        <v>0</v>
      </c>
      <c r="S17" s="722">
        <v>0</v>
      </c>
      <c r="T17" s="722">
        <v>0</v>
      </c>
      <c r="U17" s="722">
        <v>0</v>
      </c>
      <c r="V17" s="722">
        <v>0</v>
      </c>
    </row>
    <row r="18" spans="1:22">
      <c r="A18" s="453">
        <v>9</v>
      </c>
      <c r="B18" s="452" t="s">
        <v>669</v>
      </c>
      <c r="C18" s="724">
        <v>0</v>
      </c>
      <c r="D18" s="724">
        <v>0</v>
      </c>
      <c r="E18" s="724">
        <v>0</v>
      </c>
      <c r="F18" s="724">
        <v>0</v>
      </c>
      <c r="G18" s="724">
        <v>0</v>
      </c>
      <c r="H18" s="724">
        <v>0</v>
      </c>
      <c r="I18" s="724">
        <v>0</v>
      </c>
      <c r="J18" s="724">
        <v>0</v>
      </c>
      <c r="K18" s="724">
        <v>0</v>
      </c>
      <c r="L18" s="724">
        <v>0</v>
      </c>
      <c r="M18" s="724">
        <v>0</v>
      </c>
      <c r="N18" s="724">
        <v>0</v>
      </c>
      <c r="O18" s="724">
        <v>0</v>
      </c>
      <c r="P18" s="724">
        <v>0</v>
      </c>
      <c r="Q18" s="724">
        <v>0</v>
      </c>
      <c r="R18" s="724">
        <v>0</v>
      </c>
      <c r="S18" s="724">
        <v>0</v>
      </c>
      <c r="T18" s="724">
        <v>0</v>
      </c>
      <c r="U18" s="724">
        <v>0</v>
      </c>
      <c r="V18" s="724">
        <v>0</v>
      </c>
    </row>
    <row r="19" spans="1:22">
      <c r="A19" s="451">
        <v>10</v>
      </c>
      <c r="B19" s="450" t="s">
        <v>685</v>
      </c>
      <c r="C19" s="722">
        <v>38899633.225599997</v>
      </c>
      <c r="D19" s="722">
        <v>35952398.951799996</v>
      </c>
      <c r="E19" s="722">
        <v>891613.14170000015</v>
      </c>
      <c r="F19" s="722">
        <v>2055621.1321000003</v>
      </c>
      <c r="G19" s="722">
        <v>0</v>
      </c>
      <c r="H19" s="722">
        <v>39396747.068212263</v>
      </c>
      <c r="I19" s="722">
        <v>36346207.821164683</v>
      </c>
      <c r="J19" s="722">
        <v>929668.62773681106</v>
      </c>
      <c r="K19" s="722">
        <v>2120870.6193107758</v>
      </c>
      <c r="L19" s="722">
        <v>0</v>
      </c>
      <c r="M19" s="722">
        <v>520235.4271462817</v>
      </c>
      <c r="N19" s="722">
        <v>229387.21155535075</v>
      </c>
      <c r="O19" s="722">
        <v>6304.7430140638162</v>
      </c>
      <c r="P19" s="722">
        <v>284543.47257686709</v>
      </c>
      <c r="Q19" s="722">
        <v>0</v>
      </c>
      <c r="R19" s="722">
        <v>2073</v>
      </c>
      <c r="S19" s="722">
        <v>0.1008409893548025</v>
      </c>
      <c r="T19" s="722">
        <v>0.10593901185143548</v>
      </c>
      <c r="U19" s="722">
        <v>8.814077593688284E-2</v>
      </c>
      <c r="V19" s="722">
        <v>89.250857791539929</v>
      </c>
    </row>
    <row r="20" spans="1:22" ht="25.5">
      <c r="A20" s="449">
        <v>10.1</v>
      </c>
      <c r="B20" s="448" t="s">
        <v>688</v>
      </c>
      <c r="C20" s="722">
        <v>0</v>
      </c>
      <c r="D20" s="722">
        <v>0</v>
      </c>
      <c r="E20" s="722">
        <v>0</v>
      </c>
      <c r="F20" s="722">
        <v>0</v>
      </c>
      <c r="G20" s="722">
        <v>0</v>
      </c>
      <c r="H20" s="722">
        <v>0</v>
      </c>
      <c r="I20" s="722">
        <v>0</v>
      </c>
      <c r="J20" s="722">
        <v>0</v>
      </c>
      <c r="K20" s="722">
        <v>0</v>
      </c>
      <c r="L20" s="722">
        <v>0</v>
      </c>
      <c r="M20" s="722">
        <v>0</v>
      </c>
      <c r="N20" s="722">
        <v>0</v>
      </c>
      <c r="O20" s="722">
        <v>0</v>
      </c>
      <c r="P20" s="722">
        <v>0</v>
      </c>
      <c r="Q20" s="722">
        <v>0</v>
      </c>
      <c r="R20" s="722">
        <v>0</v>
      </c>
      <c r="S20" s="722">
        <v>0</v>
      </c>
      <c r="T20" s="722">
        <v>0</v>
      </c>
      <c r="U20" s="722">
        <v>0</v>
      </c>
      <c r="V20" s="722">
        <v>0</v>
      </c>
    </row>
    <row r="23" spans="1:22">
      <c r="C23" s="723"/>
      <c r="D23" s="723"/>
      <c r="E23" s="723"/>
      <c r="F23" s="723"/>
      <c r="G23" s="723"/>
      <c r="H23" s="723"/>
      <c r="I23" s="723"/>
      <c r="J23" s="723"/>
      <c r="K23" s="723"/>
      <c r="L23" s="723"/>
      <c r="M23" s="723"/>
      <c r="N23" s="723"/>
      <c r="O23" s="723"/>
      <c r="P23" s="723"/>
      <c r="Q23" s="723"/>
      <c r="R23" s="723"/>
      <c r="S23" s="723"/>
      <c r="T23" s="723"/>
      <c r="U23" s="723"/>
      <c r="V23" s="723"/>
    </row>
    <row r="24" spans="1:22">
      <c r="C24" s="723"/>
      <c r="D24" s="723"/>
      <c r="E24" s="723"/>
      <c r="F24" s="723"/>
      <c r="G24" s="723"/>
      <c r="H24" s="723"/>
      <c r="I24" s="723"/>
      <c r="J24" s="723"/>
      <c r="K24" s="723"/>
      <c r="L24" s="723"/>
      <c r="M24" s="723"/>
      <c r="N24" s="723"/>
      <c r="O24" s="723"/>
      <c r="P24" s="723"/>
      <c r="Q24" s="723"/>
      <c r="R24" s="723"/>
      <c r="S24" s="723"/>
      <c r="T24" s="723"/>
      <c r="U24" s="723"/>
      <c r="V24" s="723"/>
    </row>
    <row r="25" spans="1:22">
      <c r="C25" s="723"/>
      <c r="D25" s="723"/>
      <c r="E25" s="723"/>
      <c r="F25" s="723"/>
      <c r="G25" s="723"/>
      <c r="H25" s="723"/>
      <c r="I25" s="723"/>
      <c r="J25" s="723"/>
      <c r="K25" s="723"/>
      <c r="L25" s="723"/>
      <c r="M25" s="723"/>
      <c r="N25" s="723"/>
      <c r="O25" s="723"/>
      <c r="P25" s="723"/>
      <c r="Q25" s="723"/>
      <c r="R25" s="723"/>
      <c r="S25" s="723"/>
      <c r="T25" s="723"/>
      <c r="U25" s="723"/>
      <c r="V25" s="723"/>
    </row>
    <row r="26" spans="1:22">
      <c r="C26" s="723"/>
      <c r="D26" s="723"/>
      <c r="E26" s="723"/>
      <c r="F26" s="723"/>
      <c r="G26" s="723"/>
      <c r="H26" s="723"/>
      <c r="I26" s="723"/>
      <c r="J26" s="723"/>
      <c r="K26" s="723"/>
      <c r="L26" s="723"/>
      <c r="M26" s="723"/>
      <c r="N26" s="723"/>
      <c r="O26" s="723"/>
      <c r="P26" s="723"/>
      <c r="Q26" s="723"/>
      <c r="R26" s="723"/>
      <c r="S26" s="723"/>
      <c r="T26" s="723"/>
      <c r="U26" s="723"/>
      <c r="V26" s="723"/>
    </row>
    <row r="27" spans="1:22">
      <c r="C27" s="723"/>
      <c r="D27" s="723"/>
      <c r="E27" s="723"/>
      <c r="F27" s="723"/>
      <c r="G27" s="723"/>
      <c r="H27" s="723"/>
      <c r="I27" s="723"/>
      <c r="J27" s="723"/>
      <c r="K27" s="723"/>
      <c r="L27" s="723"/>
      <c r="M27" s="723"/>
      <c r="N27" s="723"/>
      <c r="O27" s="723"/>
      <c r="P27" s="723"/>
      <c r="Q27" s="723"/>
      <c r="R27" s="723"/>
      <c r="S27" s="723"/>
      <c r="T27" s="723"/>
      <c r="U27" s="723"/>
      <c r="V27" s="723"/>
    </row>
    <row r="28" spans="1:22">
      <c r="C28" s="723"/>
      <c r="D28" s="723"/>
      <c r="E28" s="723"/>
      <c r="F28" s="723"/>
      <c r="G28" s="723"/>
      <c r="H28" s="723"/>
      <c r="I28" s="723"/>
      <c r="J28" s="723"/>
      <c r="K28" s="723"/>
      <c r="L28" s="723"/>
      <c r="M28" s="723"/>
      <c r="N28" s="723"/>
      <c r="O28" s="723"/>
      <c r="P28" s="723"/>
      <c r="Q28" s="723"/>
      <c r="R28" s="723"/>
      <c r="S28" s="723"/>
      <c r="T28" s="723"/>
      <c r="U28" s="723"/>
      <c r="V28" s="723"/>
    </row>
    <row r="29" spans="1:22">
      <c r="C29" s="723"/>
      <c r="D29" s="723"/>
      <c r="E29" s="723"/>
      <c r="F29" s="723"/>
      <c r="G29" s="723"/>
      <c r="H29" s="723"/>
      <c r="I29" s="723"/>
      <c r="J29" s="723"/>
      <c r="K29" s="723"/>
      <c r="L29" s="723"/>
      <c r="M29" s="723"/>
      <c r="N29" s="723"/>
      <c r="O29" s="723"/>
      <c r="P29" s="723"/>
      <c r="Q29" s="723"/>
      <c r="R29" s="723"/>
      <c r="S29" s="723"/>
      <c r="T29" s="723"/>
      <c r="U29" s="723"/>
      <c r="V29" s="723"/>
    </row>
    <row r="30" spans="1:22">
      <c r="C30" s="723"/>
      <c r="D30" s="723"/>
      <c r="E30" s="723"/>
      <c r="F30" s="723"/>
      <c r="G30" s="723"/>
      <c r="H30" s="723"/>
      <c r="I30" s="723"/>
      <c r="J30" s="723"/>
      <c r="K30" s="723"/>
      <c r="L30" s="723"/>
      <c r="M30" s="723"/>
      <c r="N30" s="723"/>
      <c r="O30" s="723"/>
      <c r="P30" s="723"/>
      <c r="Q30" s="723"/>
      <c r="R30" s="723"/>
      <c r="S30" s="723"/>
      <c r="T30" s="723"/>
      <c r="U30" s="723"/>
      <c r="V30" s="723"/>
    </row>
    <row r="31" spans="1:22">
      <c r="C31" s="723"/>
      <c r="D31" s="723"/>
      <c r="E31" s="723"/>
      <c r="F31" s="723"/>
      <c r="G31" s="723"/>
      <c r="H31" s="723"/>
      <c r="I31" s="723"/>
      <c r="J31" s="723"/>
      <c r="K31" s="723"/>
      <c r="L31" s="723"/>
      <c r="M31" s="723"/>
      <c r="N31" s="723"/>
      <c r="O31" s="723"/>
      <c r="P31" s="723"/>
      <c r="Q31" s="723"/>
      <c r="R31" s="723"/>
      <c r="S31" s="723"/>
      <c r="T31" s="723"/>
      <c r="U31" s="723"/>
      <c r="V31" s="723"/>
    </row>
    <row r="32" spans="1:22">
      <c r="C32" s="723"/>
      <c r="D32" s="723"/>
      <c r="E32" s="723"/>
      <c r="F32" s="723"/>
      <c r="G32" s="723"/>
      <c r="H32" s="723"/>
      <c r="I32" s="723"/>
      <c r="J32" s="723"/>
      <c r="K32" s="723"/>
      <c r="L32" s="723"/>
      <c r="M32" s="723"/>
      <c r="N32" s="723"/>
      <c r="O32" s="723"/>
      <c r="P32" s="723"/>
      <c r="Q32" s="723"/>
      <c r="R32" s="723"/>
      <c r="S32" s="723"/>
      <c r="T32" s="723"/>
      <c r="U32" s="723"/>
      <c r="V32" s="723"/>
    </row>
    <row r="33" spans="3:22">
      <c r="C33" s="723"/>
      <c r="D33" s="723"/>
      <c r="E33" s="723"/>
      <c r="F33" s="723"/>
      <c r="G33" s="723"/>
      <c r="H33" s="723"/>
      <c r="I33" s="723"/>
      <c r="J33" s="723"/>
      <c r="K33" s="723"/>
      <c r="L33" s="723"/>
      <c r="M33" s="723"/>
      <c r="N33" s="723"/>
      <c r="O33" s="723"/>
      <c r="P33" s="723"/>
      <c r="Q33" s="723"/>
      <c r="R33" s="723"/>
      <c r="S33" s="723"/>
      <c r="T33" s="723"/>
      <c r="U33" s="723"/>
      <c r="V33" s="723"/>
    </row>
    <row r="34" spans="3:22">
      <c r="C34" s="723"/>
      <c r="D34" s="723"/>
      <c r="E34" s="723"/>
      <c r="F34" s="723"/>
      <c r="G34" s="723"/>
      <c r="H34" s="723"/>
      <c r="I34" s="723"/>
      <c r="J34" s="723"/>
      <c r="K34" s="723"/>
      <c r="L34" s="723"/>
      <c r="M34" s="723"/>
      <c r="N34" s="723"/>
      <c r="O34" s="723"/>
      <c r="P34" s="723"/>
      <c r="Q34" s="723"/>
      <c r="R34" s="723"/>
      <c r="S34" s="723"/>
      <c r="T34" s="723"/>
      <c r="U34" s="723"/>
      <c r="V34" s="723"/>
    </row>
    <row r="35" spans="3:22">
      <c r="C35" s="723"/>
      <c r="D35" s="723"/>
      <c r="E35" s="723"/>
      <c r="F35" s="723"/>
      <c r="G35" s="723"/>
      <c r="H35" s="723"/>
      <c r="I35" s="723"/>
      <c r="J35" s="723"/>
      <c r="K35" s="723"/>
      <c r="L35" s="723"/>
      <c r="M35" s="723"/>
      <c r="N35" s="723"/>
      <c r="O35" s="723"/>
      <c r="P35" s="723"/>
      <c r="Q35" s="723"/>
      <c r="R35" s="723"/>
      <c r="S35" s="723"/>
      <c r="T35" s="723"/>
      <c r="U35" s="723"/>
      <c r="V35" s="723"/>
    </row>
    <row r="36" spans="3:22">
      <c r="C36" s="723"/>
      <c r="D36" s="723"/>
      <c r="E36" s="723"/>
      <c r="F36" s="723"/>
      <c r="G36" s="723"/>
      <c r="H36" s="723"/>
      <c r="I36" s="723"/>
      <c r="J36" s="723"/>
      <c r="K36" s="723"/>
      <c r="L36" s="723"/>
      <c r="M36" s="723"/>
      <c r="N36" s="723"/>
      <c r="O36" s="723"/>
      <c r="P36" s="723"/>
      <c r="Q36" s="723"/>
      <c r="R36" s="723"/>
      <c r="S36" s="723"/>
      <c r="T36" s="723"/>
      <c r="U36" s="723"/>
      <c r="V36" s="72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1" zoomScale="110" zoomScaleNormal="110" workbookViewId="0">
      <selection activeCell="B2" sqref="B2:C2"/>
    </sheetView>
  </sheetViews>
  <sheetFormatPr defaultColWidth="43.5703125" defaultRowHeight="11.25"/>
  <cols>
    <col min="1" max="1" width="8" style="128" customWidth="1"/>
    <col min="2" max="2" width="66.28515625" style="129" customWidth="1"/>
    <col min="3" max="3" width="131.42578125" style="130" customWidth="1"/>
    <col min="4" max="5" width="10.28515625" style="121" customWidth="1"/>
    <col min="6" max="6" width="67.7109375" style="121" customWidth="1"/>
    <col min="7" max="16384" width="43.5703125" style="121"/>
  </cols>
  <sheetData>
    <row r="1" spans="1:3" ht="12.75" thickTop="1" thickBot="1">
      <c r="A1" s="898" t="s">
        <v>176</v>
      </c>
      <c r="B1" s="899"/>
      <c r="C1" s="900"/>
    </row>
    <row r="2" spans="1:3" ht="26.25" customHeight="1">
      <c r="A2" s="307"/>
      <c r="B2" s="901" t="s">
        <v>177</v>
      </c>
      <c r="C2" s="901"/>
    </row>
    <row r="3" spans="1:3" s="126" customFormat="1" ht="11.25" customHeight="1">
      <c r="A3" s="125"/>
      <c r="B3" s="901" t="s">
        <v>251</v>
      </c>
      <c r="C3" s="901"/>
    </row>
    <row r="4" spans="1:3" ht="12" customHeight="1" thickBot="1">
      <c r="A4" s="880" t="s">
        <v>255</v>
      </c>
      <c r="B4" s="881"/>
      <c r="C4" s="882"/>
    </row>
    <row r="5" spans="1:3" ht="12" thickTop="1">
      <c r="A5" s="122"/>
      <c r="B5" s="883" t="s">
        <v>178</v>
      </c>
      <c r="C5" s="884"/>
    </row>
    <row r="6" spans="1:3">
      <c r="A6" s="307"/>
      <c r="B6" s="862" t="s">
        <v>252</v>
      </c>
      <c r="C6" s="863"/>
    </row>
    <row r="7" spans="1:3">
      <c r="A7" s="307"/>
      <c r="B7" s="862" t="s">
        <v>179</v>
      </c>
      <c r="C7" s="863"/>
    </row>
    <row r="8" spans="1:3">
      <c r="A8" s="307"/>
      <c r="B8" s="862" t="s">
        <v>253</v>
      </c>
      <c r="C8" s="863"/>
    </row>
    <row r="9" spans="1:3">
      <c r="A9" s="307"/>
      <c r="B9" s="904" t="s">
        <v>254</v>
      </c>
      <c r="C9" s="905"/>
    </row>
    <row r="10" spans="1:3">
      <c r="A10" s="307"/>
      <c r="B10" s="896" t="s">
        <v>180</v>
      </c>
      <c r="C10" s="897" t="s">
        <v>180</v>
      </c>
    </row>
    <row r="11" spans="1:3">
      <c r="A11" s="307"/>
      <c r="B11" s="896" t="s">
        <v>181</v>
      </c>
      <c r="C11" s="897" t="s">
        <v>181</v>
      </c>
    </row>
    <row r="12" spans="1:3">
      <c r="A12" s="307"/>
      <c r="B12" s="896" t="s">
        <v>182</v>
      </c>
      <c r="C12" s="897" t="s">
        <v>182</v>
      </c>
    </row>
    <row r="13" spans="1:3">
      <c r="A13" s="307"/>
      <c r="B13" s="896" t="s">
        <v>183</v>
      </c>
      <c r="C13" s="897" t="s">
        <v>183</v>
      </c>
    </row>
    <row r="14" spans="1:3">
      <c r="A14" s="307"/>
      <c r="B14" s="896" t="s">
        <v>184</v>
      </c>
      <c r="C14" s="897" t="s">
        <v>184</v>
      </c>
    </row>
    <row r="15" spans="1:3" ht="21.75" customHeight="1">
      <c r="A15" s="307"/>
      <c r="B15" s="896" t="s">
        <v>185</v>
      </c>
      <c r="C15" s="897" t="s">
        <v>185</v>
      </c>
    </row>
    <row r="16" spans="1:3">
      <c r="A16" s="307"/>
      <c r="B16" s="896" t="s">
        <v>186</v>
      </c>
      <c r="C16" s="897" t="s">
        <v>187</v>
      </c>
    </row>
    <row r="17" spans="1:6">
      <c r="A17" s="307"/>
      <c r="B17" s="896" t="s">
        <v>188</v>
      </c>
      <c r="C17" s="897" t="s">
        <v>189</v>
      </c>
    </row>
    <row r="18" spans="1:6">
      <c r="A18" s="307"/>
      <c r="B18" s="896" t="s">
        <v>190</v>
      </c>
      <c r="C18" s="897" t="s">
        <v>191</v>
      </c>
    </row>
    <row r="19" spans="1:6">
      <c r="A19" s="537"/>
      <c r="B19" s="902" t="s">
        <v>192</v>
      </c>
      <c r="C19" s="903" t="s">
        <v>192</v>
      </c>
    </row>
    <row r="20" spans="1:6">
      <c r="A20" s="537"/>
      <c r="B20" s="902" t="s">
        <v>918</v>
      </c>
      <c r="C20" s="903" t="s">
        <v>193</v>
      </c>
    </row>
    <row r="21" spans="1:6">
      <c r="A21" s="307"/>
      <c r="B21" s="902" t="s">
        <v>961</v>
      </c>
      <c r="C21" s="903" t="s">
        <v>194</v>
      </c>
    </row>
    <row r="22" spans="1:6" ht="23.25" customHeight="1">
      <c r="A22" s="307"/>
      <c r="B22" s="896" t="s">
        <v>195</v>
      </c>
      <c r="C22" s="897" t="s">
        <v>196</v>
      </c>
      <c r="F22" s="501"/>
    </row>
    <row r="23" spans="1:6">
      <c r="A23" s="307"/>
      <c r="B23" s="896" t="s">
        <v>197</v>
      </c>
      <c r="C23" s="897" t="s">
        <v>197</v>
      </c>
    </row>
    <row r="24" spans="1:6">
      <c r="A24" s="307"/>
      <c r="B24" s="896" t="s">
        <v>198</v>
      </c>
      <c r="C24" s="897" t="s">
        <v>199</v>
      </c>
    </row>
    <row r="25" spans="1:6" ht="12" thickBot="1">
      <c r="A25" s="123"/>
      <c r="B25" s="890" t="s">
        <v>200</v>
      </c>
      <c r="C25" s="891"/>
    </row>
    <row r="26" spans="1:6" ht="12.75" thickTop="1" thickBot="1">
      <c r="A26" s="880" t="s">
        <v>812</v>
      </c>
      <c r="B26" s="881"/>
      <c r="C26" s="882"/>
    </row>
    <row r="27" spans="1:6" ht="12.75" thickTop="1" thickBot="1">
      <c r="A27" s="124"/>
      <c r="B27" s="892" t="s">
        <v>813</v>
      </c>
      <c r="C27" s="893"/>
    </row>
    <row r="28" spans="1:6" ht="12.75" thickTop="1" thickBot="1">
      <c r="A28" s="880" t="s">
        <v>256</v>
      </c>
      <c r="B28" s="881"/>
      <c r="C28" s="882"/>
    </row>
    <row r="29" spans="1:6" ht="12" thickTop="1">
      <c r="A29" s="122"/>
      <c r="B29" s="894" t="s">
        <v>816</v>
      </c>
      <c r="C29" s="895" t="s">
        <v>201</v>
      </c>
    </row>
    <row r="30" spans="1:6">
      <c r="A30" s="307"/>
      <c r="B30" s="871" t="s">
        <v>205</v>
      </c>
      <c r="C30" s="872" t="s">
        <v>202</v>
      </c>
    </row>
    <row r="31" spans="1:6">
      <c r="A31" s="307"/>
      <c r="B31" s="871" t="s">
        <v>814</v>
      </c>
      <c r="C31" s="872" t="s">
        <v>203</v>
      </c>
    </row>
    <row r="32" spans="1:6">
      <c r="A32" s="307"/>
      <c r="B32" s="871" t="s">
        <v>815</v>
      </c>
      <c r="C32" s="872" t="s">
        <v>204</v>
      </c>
    </row>
    <row r="33" spans="1:3">
      <c r="A33" s="307"/>
      <c r="B33" s="871" t="s">
        <v>208</v>
      </c>
      <c r="C33" s="872" t="s">
        <v>209</v>
      </c>
    </row>
    <row r="34" spans="1:3">
      <c r="A34" s="307"/>
      <c r="B34" s="871" t="s">
        <v>817</v>
      </c>
      <c r="C34" s="872" t="s">
        <v>206</v>
      </c>
    </row>
    <row r="35" spans="1:3">
      <c r="A35" s="307"/>
      <c r="B35" s="871" t="s">
        <v>818</v>
      </c>
      <c r="C35" s="872" t="s">
        <v>207</v>
      </c>
    </row>
    <row r="36" spans="1:3">
      <c r="A36" s="307"/>
      <c r="B36" s="887" t="s">
        <v>819</v>
      </c>
      <c r="C36" s="888"/>
    </row>
    <row r="37" spans="1:3" ht="24.75" customHeight="1">
      <c r="A37" s="307"/>
      <c r="B37" s="871" t="s">
        <v>820</v>
      </c>
      <c r="C37" s="872" t="s">
        <v>210</v>
      </c>
    </row>
    <row r="38" spans="1:3" ht="23.25" customHeight="1">
      <c r="A38" s="307"/>
      <c r="B38" s="871" t="s">
        <v>821</v>
      </c>
      <c r="C38" s="872" t="s">
        <v>211</v>
      </c>
    </row>
    <row r="39" spans="1:3" ht="23.25" customHeight="1">
      <c r="A39" s="364"/>
      <c r="B39" s="887" t="s">
        <v>822</v>
      </c>
      <c r="C39" s="889"/>
    </row>
    <row r="40" spans="1:3" ht="12" customHeight="1">
      <c r="A40" s="307"/>
      <c r="B40" s="871" t="s">
        <v>823</v>
      </c>
      <c r="C40" s="872"/>
    </row>
    <row r="41" spans="1:3" ht="12" thickBot="1">
      <c r="A41" s="880" t="s">
        <v>257</v>
      </c>
      <c r="B41" s="881"/>
      <c r="C41" s="882"/>
    </row>
    <row r="42" spans="1:3" ht="12" thickTop="1">
      <c r="A42" s="122"/>
      <c r="B42" s="883" t="s">
        <v>287</v>
      </c>
      <c r="C42" s="884" t="s">
        <v>212</v>
      </c>
    </row>
    <row r="43" spans="1:3">
      <c r="A43" s="307"/>
      <c r="B43" s="862" t="s">
        <v>286</v>
      </c>
      <c r="C43" s="863"/>
    </row>
    <row r="44" spans="1:3" ht="23.25" customHeight="1" thickBot="1">
      <c r="A44" s="123"/>
      <c r="B44" s="878" t="s">
        <v>213</v>
      </c>
      <c r="C44" s="879" t="s">
        <v>214</v>
      </c>
    </row>
    <row r="45" spans="1:3" ht="11.25" customHeight="1" thickTop="1" thickBot="1">
      <c r="A45" s="880" t="s">
        <v>258</v>
      </c>
      <c r="B45" s="881"/>
      <c r="C45" s="882"/>
    </row>
    <row r="46" spans="1:3" ht="26.25" customHeight="1" thickTop="1">
      <c r="A46" s="307"/>
      <c r="B46" s="862" t="s">
        <v>259</v>
      </c>
      <c r="C46" s="863"/>
    </row>
    <row r="47" spans="1:3" ht="12" thickBot="1">
      <c r="A47" s="880" t="s">
        <v>260</v>
      </c>
      <c r="B47" s="881"/>
      <c r="C47" s="882"/>
    </row>
    <row r="48" spans="1:3" ht="12" thickTop="1">
      <c r="A48" s="122"/>
      <c r="B48" s="883" t="s">
        <v>215</v>
      </c>
      <c r="C48" s="884" t="s">
        <v>215</v>
      </c>
    </row>
    <row r="49" spans="1:3" ht="11.25" customHeight="1">
      <c r="A49" s="307"/>
      <c r="B49" s="862" t="s">
        <v>216</v>
      </c>
      <c r="C49" s="863" t="s">
        <v>216</v>
      </c>
    </row>
    <row r="50" spans="1:3">
      <c r="A50" s="307"/>
      <c r="B50" s="862" t="s">
        <v>217</v>
      </c>
      <c r="C50" s="863" t="s">
        <v>217</v>
      </c>
    </row>
    <row r="51" spans="1:3" ht="11.25" customHeight="1">
      <c r="A51" s="307"/>
      <c r="B51" s="862" t="s">
        <v>825</v>
      </c>
      <c r="C51" s="863" t="s">
        <v>218</v>
      </c>
    </row>
    <row r="52" spans="1:3" ht="33.6" customHeight="1">
      <c r="A52" s="307"/>
      <c r="B52" s="862" t="s">
        <v>219</v>
      </c>
      <c r="C52" s="863" t="s">
        <v>219</v>
      </c>
    </row>
    <row r="53" spans="1:3" ht="11.25" customHeight="1">
      <c r="A53" s="307"/>
      <c r="B53" s="862" t="s">
        <v>307</v>
      </c>
      <c r="C53" s="863" t="s">
        <v>220</v>
      </c>
    </row>
    <row r="54" spans="1:3" ht="11.25" customHeight="1" thickBot="1">
      <c r="A54" s="880" t="s">
        <v>261</v>
      </c>
      <c r="B54" s="881"/>
      <c r="C54" s="882"/>
    </row>
    <row r="55" spans="1:3" ht="12" thickTop="1">
      <c r="A55" s="122"/>
      <c r="B55" s="883" t="s">
        <v>215</v>
      </c>
      <c r="C55" s="884" t="s">
        <v>215</v>
      </c>
    </row>
    <row r="56" spans="1:3">
      <c r="A56" s="307"/>
      <c r="B56" s="862" t="s">
        <v>221</v>
      </c>
      <c r="C56" s="863" t="s">
        <v>221</v>
      </c>
    </row>
    <row r="57" spans="1:3">
      <c r="A57" s="307"/>
      <c r="B57" s="862" t="s">
        <v>264</v>
      </c>
      <c r="C57" s="863" t="s">
        <v>222</v>
      </c>
    </row>
    <row r="58" spans="1:3">
      <c r="A58" s="307"/>
      <c r="B58" s="862" t="s">
        <v>223</v>
      </c>
      <c r="C58" s="863" t="s">
        <v>223</v>
      </c>
    </row>
    <row r="59" spans="1:3">
      <c r="A59" s="307"/>
      <c r="B59" s="862" t="s">
        <v>224</v>
      </c>
      <c r="C59" s="863" t="s">
        <v>224</v>
      </c>
    </row>
    <row r="60" spans="1:3">
      <c r="A60" s="307"/>
      <c r="B60" s="862" t="s">
        <v>225</v>
      </c>
      <c r="C60" s="863" t="s">
        <v>225</v>
      </c>
    </row>
    <row r="61" spans="1:3">
      <c r="A61" s="307"/>
      <c r="B61" s="862" t="s">
        <v>265</v>
      </c>
      <c r="C61" s="863" t="s">
        <v>226</v>
      </c>
    </row>
    <row r="62" spans="1:3" ht="12" customHeight="1">
      <c r="A62" s="307"/>
      <c r="B62" s="849" t="s">
        <v>998</v>
      </c>
      <c r="C62" s="850" t="s">
        <v>227</v>
      </c>
    </row>
    <row r="63" spans="1:3" ht="22.5" customHeight="1" thickBot="1">
      <c r="A63" s="123"/>
      <c r="B63" s="878" t="s">
        <v>228</v>
      </c>
      <c r="C63" s="879" t="s">
        <v>228</v>
      </c>
    </row>
    <row r="64" spans="1:3" ht="11.25" customHeight="1" thickTop="1">
      <c r="A64" s="868" t="s">
        <v>262</v>
      </c>
      <c r="B64" s="869"/>
      <c r="C64" s="870"/>
    </row>
    <row r="65" spans="1:3" ht="12" thickBot="1">
      <c r="A65" s="123"/>
      <c r="B65" s="878" t="s">
        <v>229</v>
      </c>
      <c r="C65" s="879" t="s">
        <v>229</v>
      </c>
    </row>
    <row r="66" spans="1:3" ht="11.25" customHeight="1" thickTop="1">
      <c r="A66" s="868" t="s">
        <v>951</v>
      </c>
      <c r="B66" s="869"/>
      <c r="C66" s="870"/>
    </row>
    <row r="67" spans="1:3" ht="12" thickBot="1">
      <c r="A67" s="123"/>
      <c r="B67" s="878" t="s">
        <v>950</v>
      </c>
      <c r="C67" s="879"/>
    </row>
    <row r="68" spans="1:3" ht="11.25" customHeight="1" thickTop="1" thickBot="1">
      <c r="A68" s="880" t="s">
        <v>263</v>
      </c>
      <c r="B68" s="881"/>
      <c r="C68" s="882"/>
    </row>
    <row r="69" spans="1:3" ht="12" thickTop="1">
      <c r="A69" s="122"/>
      <c r="B69" s="883" t="s">
        <v>230</v>
      </c>
      <c r="C69" s="884" t="s">
        <v>230</v>
      </c>
    </row>
    <row r="70" spans="1:3">
      <c r="A70" s="307"/>
      <c r="B70" s="862" t="s">
        <v>827</v>
      </c>
      <c r="C70" s="863" t="s">
        <v>231</v>
      </c>
    </row>
    <row r="71" spans="1:3">
      <c r="A71" s="307"/>
      <c r="B71" s="862" t="s">
        <v>232</v>
      </c>
      <c r="C71" s="863" t="s">
        <v>232</v>
      </c>
    </row>
    <row r="72" spans="1:3" ht="55.15" customHeight="1">
      <c r="A72" s="307"/>
      <c r="B72" s="885" t="s">
        <v>962</v>
      </c>
      <c r="C72" s="886" t="s">
        <v>233</v>
      </c>
    </row>
    <row r="73" spans="1:3" ht="33.75" customHeight="1">
      <c r="A73" s="307"/>
      <c r="B73" s="876" t="s">
        <v>266</v>
      </c>
      <c r="C73" s="877" t="s">
        <v>234</v>
      </c>
    </row>
    <row r="74" spans="1:3" ht="15.75" customHeight="1">
      <c r="A74" s="307"/>
      <c r="B74" s="876" t="s">
        <v>828</v>
      </c>
      <c r="C74" s="877" t="s">
        <v>235</v>
      </c>
    </row>
    <row r="75" spans="1:3">
      <c r="A75" s="307"/>
      <c r="B75" s="862" t="s">
        <v>236</v>
      </c>
      <c r="C75" s="863" t="s">
        <v>236</v>
      </c>
    </row>
    <row r="76" spans="1:3" ht="12" thickBot="1">
      <c r="A76" s="123"/>
      <c r="B76" s="878" t="s">
        <v>237</v>
      </c>
      <c r="C76" s="879" t="s">
        <v>237</v>
      </c>
    </row>
    <row r="77" spans="1:3" ht="12" thickTop="1">
      <c r="A77" s="868" t="s">
        <v>290</v>
      </c>
      <c r="B77" s="869"/>
      <c r="C77" s="870"/>
    </row>
    <row r="78" spans="1:3">
      <c r="A78" s="307"/>
      <c r="B78" s="862" t="s">
        <v>229</v>
      </c>
      <c r="C78" s="863"/>
    </row>
    <row r="79" spans="1:3">
      <c r="A79" s="307"/>
      <c r="B79" s="862" t="s">
        <v>288</v>
      </c>
      <c r="C79" s="863"/>
    </row>
    <row r="80" spans="1:3">
      <c r="A80" s="307"/>
      <c r="B80" s="862" t="s">
        <v>289</v>
      </c>
      <c r="C80" s="863"/>
    </row>
    <row r="81" spans="1:3">
      <c r="A81" s="868" t="s">
        <v>291</v>
      </c>
      <c r="B81" s="869"/>
      <c r="C81" s="870"/>
    </row>
    <row r="82" spans="1:3">
      <c r="A82" s="307"/>
      <c r="B82" s="862" t="s">
        <v>229</v>
      </c>
      <c r="C82" s="863"/>
    </row>
    <row r="83" spans="1:3">
      <c r="A83" s="307"/>
      <c r="B83" s="862" t="s">
        <v>292</v>
      </c>
      <c r="C83" s="863"/>
    </row>
    <row r="84" spans="1:3" ht="79.5" customHeight="1">
      <c r="A84" s="307"/>
      <c r="B84" s="862" t="s">
        <v>306</v>
      </c>
      <c r="C84" s="863"/>
    </row>
    <row r="85" spans="1:3" ht="53.25" customHeight="1">
      <c r="A85" s="307"/>
      <c r="B85" s="862" t="s">
        <v>305</v>
      </c>
      <c r="C85" s="863"/>
    </row>
    <row r="86" spans="1:3">
      <c r="A86" s="307"/>
      <c r="B86" s="862" t="s">
        <v>293</v>
      </c>
      <c r="C86" s="863"/>
    </row>
    <row r="87" spans="1:3">
      <c r="A87" s="307"/>
      <c r="B87" s="862" t="s">
        <v>294</v>
      </c>
      <c r="C87" s="863"/>
    </row>
    <row r="88" spans="1:3">
      <c r="A88" s="307"/>
      <c r="B88" s="862" t="s">
        <v>295</v>
      </c>
      <c r="C88" s="863"/>
    </row>
    <row r="89" spans="1:3">
      <c r="A89" s="868" t="s">
        <v>296</v>
      </c>
      <c r="B89" s="869"/>
      <c r="C89" s="870"/>
    </row>
    <row r="90" spans="1:3">
      <c r="A90" s="307"/>
      <c r="B90" s="862" t="s">
        <v>229</v>
      </c>
      <c r="C90" s="863"/>
    </row>
    <row r="91" spans="1:3">
      <c r="A91" s="307"/>
      <c r="B91" s="862" t="s">
        <v>298</v>
      </c>
      <c r="C91" s="863"/>
    </row>
    <row r="92" spans="1:3" ht="12" customHeight="1">
      <c r="A92" s="307"/>
      <c r="B92" s="862" t="s">
        <v>299</v>
      </c>
      <c r="C92" s="863"/>
    </row>
    <row r="93" spans="1:3">
      <c r="A93" s="307"/>
      <c r="B93" s="862" t="s">
        <v>300</v>
      </c>
      <c r="C93" s="863"/>
    </row>
    <row r="94" spans="1:3" ht="24.75" customHeight="1">
      <c r="A94" s="307"/>
      <c r="B94" s="871" t="s">
        <v>336</v>
      </c>
      <c r="C94" s="872"/>
    </row>
    <row r="95" spans="1:3" ht="24" customHeight="1">
      <c r="A95" s="307"/>
      <c r="B95" s="871" t="s">
        <v>337</v>
      </c>
      <c r="C95" s="872"/>
    </row>
    <row r="96" spans="1:3" ht="13.5" customHeight="1">
      <c r="A96" s="307"/>
      <c r="B96" s="871" t="s">
        <v>301</v>
      </c>
      <c r="C96" s="872"/>
    </row>
    <row r="97" spans="1:3" ht="11.25" customHeight="1" thickBot="1">
      <c r="A97" s="873" t="s">
        <v>332</v>
      </c>
      <c r="B97" s="874"/>
      <c r="C97" s="875"/>
    </row>
    <row r="98" spans="1:3" ht="12.75" thickTop="1" thickBot="1">
      <c r="A98" s="867" t="s">
        <v>238</v>
      </c>
      <c r="B98" s="867"/>
      <c r="C98" s="867"/>
    </row>
    <row r="99" spans="1:3">
      <c r="A99" s="172">
        <v>2</v>
      </c>
      <c r="B99" s="296" t="s">
        <v>312</v>
      </c>
      <c r="C99" s="296" t="s">
        <v>333</v>
      </c>
    </row>
    <row r="100" spans="1:3">
      <c r="A100" s="127">
        <v>3</v>
      </c>
      <c r="B100" s="297" t="s">
        <v>313</v>
      </c>
      <c r="C100" s="298" t="s">
        <v>334</v>
      </c>
    </row>
    <row r="101" spans="1:3">
      <c r="A101" s="127">
        <v>4</v>
      </c>
      <c r="B101" s="297" t="s">
        <v>314</v>
      </c>
      <c r="C101" s="298" t="s">
        <v>338</v>
      </c>
    </row>
    <row r="102" spans="1:3" ht="11.25" customHeight="1">
      <c r="A102" s="127">
        <v>5</v>
      </c>
      <c r="B102" s="297" t="s">
        <v>315</v>
      </c>
      <c r="C102" s="298" t="s">
        <v>335</v>
      </c>
    </row>
    <row r="103" spans="1:3" ht="12" customHeight="1">
      <c r="A103" s="127">
        <v>6</v>
      </c>
      <c r="B103" s="297" t="s">
        <v>330</v>
      </c>
      <c r="C103" s="298" t="s">
        <v>316</v>
      </c>
    </row>
    <row r="104" spans="1:3" ht="12" customHeight="1">
      <c r="A104" s="127">
        <v>7</v>
      </c>
      <c r="B104" s="297" t="s">
        <v>317</v>
      </c>
      <c r="C104" s="298" t="s">
        <v>331</v>
      </c>
    </row>
    <row r="105" spans="1:3">
      <c r="A105" s="127">
        <v>8</v>
      </c>
      <c r="B105" s="297" t="s">
        <v>322</v>
      </c>
      <c r="C105" s="298" t="s">
        <v>342</v>
      </c>
    </row>
    <row r="106" spans="1:3" ht="11.25" customHeight="1">
      <c r="A106" s="868" t="s">
        <v>302</v>
      </c>
      <c r="B106" s="869"/>
      <c r="C106" s="870"/>
    </row>
    <row r="107" spans="1:3" ht="12" customHeight="1">
      <c r="A107" s="307"/>
      <c r="B107" s="849" t="s">
        <v>999</v>
      </c>
      <c r="C107" s="850"/>
    </row>
    <row r="108" spans="1:3">
      <c r="A108" s="868" t="s">
        <v>458</v>
      </c>
      <c r="B108" s="869"/>
      <c r="C108" s="870"/>
    </row>
    <row r="109" spans="1:3" ht="12" customHeight="1">
      <c r="A109" s="307"/>
      <c r="B109" s="862" t="s">
        <v>460</v>
      </c>
      <c r="C109" s="863"/>
    </row>
    <row r="110" spans="1:3">
      <c r="A110" s="307"/>
      <c r="B110" s="862" t="s">
        <v>461</v>
      </c>
      <c r="C110" s="863"/>
    </row>
    <row r="111" spans="1:3">
      <c r="A111" s="307"/>
      <c r="B111" s="862" t="s">
        <v>459</v>
      </c>
      <c r="C111" s="863"/>
    </row>
    <row r="112" spans="1:3">
      <c r="A112" s="860" t="s">
        <v>692</v>
      </c>
      <c r="B112" s="860"/>
      <c r="C112" s="860"/>
    </row>
    <row r="113" spans="1:3">
      <c r="A113" s="864" t="s">
        <v>176</v>
      </c>
      <c r="B113" s="864"/>
      <c r="C113" s="864"/>
    </row>
    <row r="114" spans="1:3">
      <c r="A114" s="484">
        <v>1</v>
      </c>
      <c r="B114" s="851" t="s">
        <v>576</v>
      </c>
      <c r="C114" s="852"/>
    </row>
    <row r="115" spans="1:3">
      <c r="A115" s="484">
        <v>2</v>
      </c>
      <c r="B115" s="865" t="s">
        <v>577</v>
      </c>
      <c r="C115" s="866"/>
    </row>
    <row r="116" spans="1:3">
      <c r="A116" s="484">
        <v>3</v>
      </c>
      <c r="B116" s="851" t="s">
        <v>902</v>
      </c>
      <c r="C116" s="852"/>
    </row>
    <row r="117" spans="1:3">
      <c r="A117" s="484">
        <v>4</v>
      </c>
      <c r="B117" s="851" t="s">
        <v>901</v>
      </c>
      <c r="C117" s="852"/>
    </row>
    <row r="118" spans="1:3">
      <c r="A118" s="484">
        <v>5</v>
      </c>
      <c r="B118" s="488" t="s">
        <v>900</v>
      </c>
      <c r="C118" s="487"/>
    </row>
    <row r="119" spans="1:3">
      <c r="A119" s="484">
        <v>6</v>
      </c>
      <c r="B119" s="853" t="s">
        <v>968</v>
      </c>
      <c r="C119" s="854"/>
    </row>
    <row r="120" spans="1:3" ht="48.4" customHeight="1">
      <c r="A120" s="484">
        <v>7</v>
      </c>
      <c r="B120" s="853" t="s">
        <v>969</v>
      </c>
      <c r="C120" s="854"/>
    </row>
    <row r="121" spans="1:3">
      <c r="A121" s="462">
        <v>8</v>
      </c>
      <c r="B121" s="457" t="s">
        <v>603</v>
      </c>
      <c r="C121" s="481" t="s">
        <v>899</v>
      </c>
    </row>
    <row r="122" spans="1:3" ht="22.5">
      <c r="A122" s="484">
        <v>9.01</v>
      </c>
      <c r="B122" s="457" t="s">
        <v>487</v>
      </c>
      <c r="C122" s="458" t="s">
        <v>652</v>
      </c>
    </row>
    <row r="123" spans="1:3" ht="33.75">
      <c r="A123" s="484">
        <v>9.02</v>
      </c>
      <c r="B123" s="457" t="s">
        <v>488</v>
      </c>
      <c r="C123" s="458" t="s">
        <v>655</v>
      </c>
    </row>
    <row r="124" spans="1:3">
      <c r="A124" s="484">
        <v>9.0299999999999994</v>
      </c>
      <c r="B124" s="458" t="s">
        <v>836</v>
      </c>
      <c r="C124" s="458" t="s">
        <v>578</v>
      </c>
    </row>
    <row r="125" spans="1:3">
      <c r="A125" s="484">
        <v>9.0399999999999991</v>
      </c>
      <c r="B125" s="457" t="s">
        <v>489</v>
      </c>
      <c r="C125" s="458" t="s">
        <v>579</v>
      </c>
    </row>
    <row r="126" spans="1:3">
      <c r="A126" s="484">
        <v>9.0500000000000007</v>
      </c>
      <c r="B126" s="457" t="s">
        <v>490</v>
      </c>
      <c r="C126" s="458" t="s">
        <v>580</v>
      </c>
    </row>
    <row r="127" spans="1:3" ht="22.5">
      <c r="A127" s="484">
        <v>9.06</v>
      </c>
      <c r="B127" s="457" t="s">
        <v>491</v>
      </c>
      <c r="C127" s="458" t="s">
        <v>581</v>
      </c>
    </row>
    <row r="128" spans="1:3">
      <c r="A128" s="484">
        <v>9.07</v>
      </c>
      <c r="B128" s="486" t="s">
        <v>492</v>
      </c>
      <c r="C128" s="458" t="s">
        <v>582</v>
      </c>
    </row>
    <row r="129" spans="1:3" ht="22.5">
      <c r="A129" s="484">
        <v>9.08</v>
      </c>
      <c r="B129" s="457" t="s">
        <v>493</v>
      </c>
      <c r="C129" s="458" t="s">
        <v>583</v>
      </c>
    </row>
    <row r="130" spans="1:3" ht="22.5">
      <c r="A130" s="484">
        <v>9.09</v>
      </c>
      <c r="B130" s="457" t="s">
        <v>494</v>
      </c>
      <c r="C130" s="458" t="s">
        <v>584</v>
      </c>
    </row>
    <row r="131" spans="1:3">
      <c r="A131" s="485">
        <v>9.1</v>
      </c>
      <c r="B131" s="457" t="s">
        <v>495</v>
      </c>
      <c r="C131" s="458" t="s">
        <v>585</v>
      </c>
    </row>
    <row r="132" spans="1:3">
      <c r="A132" s="484">
        <v>9.11</v>
      </c>
      <c r="B132" s="457" t="s">
        <v>496</v>
      </c>
      <c r="C132" s="458" t="s">
        <v>586</v>
      </c>
    </row>
    <row r="133" spans="1:3">
      <c r="A133" s="484">
        <v>9.1199999999999992</v>
      </c>
      <c r="B133" s="457" t="s">
        <v>497</v>
      </c>
      <c r="C133" s="458" t="s">
        <v>587</v>
      </c>
    </row>
    <row r="134" spans="1:3">
      <c r="A134" s="484">
        <v>9.1300000000000008</v>
      </c>
      <c r="B134" s="457" t="s">
        <v>498</v>
      </c>
      <c r="C134" s="458" t="s">
        <v>588</v>
      </c>
    </row>
    <row r="135" spans="1:3">
      <c r="A135" s="484">
        <v>9.14</v>
      </c>
      <c r="B135" s="457" t="s">
        <v>499</v>
      </c>
      <c r="C135" s="458" t="s">
        <v>589</v>
      </c>
    </row>
    <row r="136" spans="1:3">
      <c r="A136" s="484">
        <v>9.15</v>
      </c>
      <c r="B136" s="457" t="s">
        <v>500</v>
      </c>
      <c r="C136" s="458" t="s">
        <v>590</v>
      </c>
    </row>
    <row r="137" spans="1:3" ht="22.5">
      <c r="A137" s="484">
        <v>9.16</v>
      </c>
      <c r="B137" s="457" t="s">
        <v>501</v>
      </c>
      <c r="C137" s="458" t="s">
        <v>591</v>
      </c>
    </row>
    <row r="138" spans="1:3">
      <c r="A138" s="484">
        <v>9.17</v>
      </c>
      <c r="B138" s="458" t="s">
        <v>502</v>
      </c>
      <c r="C138" s="458" t="s">
        <v>592</v>
      </c>
    </row>
    <row r="139" spans="1:3" ht="22.5">
      <c r="A139" s="484">
        <v>9.18</v>
      </c>
      <c r="B139" s="457" t="s">
        <v>503</v>
      </c>
      <c r="C139" s="458" t="s">
        <v>593</v>
      </c>
    </row>
    <row r="140" spans="1:3">
      <c r="A140" s="484">
        <v>9.19</v>
      </c>
      <c r="B140" s="457" t="s">
        <v>504</v>
      </c>
      <c r="C140" s="458" t="s">
        <v>594</v>
      </c>
    </row>
    <row r="141" spans="1:3">
      <c r="A141" s="485">
        <v>9.1999999999999993</v>
      </c>
      <c r="B141" s="457" t="s">
        <v>505</v>
      </c>
      <c r="C141" s="458" t="s">
        <v>595</v>
      </c>
    </row>
    <row r="142" spans="1:3">
      <c r="A142" s="484">
        <v>9.2100000000000009</v>
      </c>
      <c r="B142" s="457" t="s">
        <v>506</v>
      </c>
      <c r="C142" s="458" t="s">
        <v>596</v>
      </c>
    </row>
    <row r="143" spans="1:3">
      <c r="A143" s="484">
        <v>9.2200000000000006</v>
      </c>
      <c r="B143" s="457" t="s">
        <v>507</v>
      </c>
      <c r="C143" s="458" t="s">
        <v>597</v>
      </c>
    </row>
    <row r="144" spans="1:3" ht="22.5">
      <c r="A144" s="484">
        <v>9.23</v>
      </c>
      <c r="B144" s="457" t="s">
        <v>508</v>
      </c>
      <c r="C144" s="458" t="s">
        <v>598</v>
      </c>
    </row>
    <row r="145" spans="1:3" ht="22.5">
      <c r="A145" s="484">
        <v>9.24</v>
      </c>
      <c r="B145" s="457" t="s">
        <v>509</v>
      </c>
      <c r="C145" s="458" t="s">
        <v>599</v>
      </c>
    </row>
    <row r="146" spans="1:3">
      <c r="A146" s="484">
        <v>9.2500000000000107</v>
      </c>
      <c r="B146" s="457" t="s">
        <v>510</v>
      </c>
      <c r="C146" s="458" t="s">
        <v>600</v>
      </c>
    </row>
    <row r="147" spans="1:3" ht="22.5">
      <c r="A147" s="484">
        <v>9.2600000000000193</v>
      </c>
      <c r="B147" s="457" t="s">
        <v>601</v>
      </c>
      <c r="C147" s="483" t="s">
        <v>602</v>
      </c>
    </row>
    <row r="148" spans="1:3" s="308" customFormat="1" ht="22.5">
      <c r="A148" s="484">
        <v>9.2700000000000298</v>
      </c>
      <c r="B148" s="457" t="s">
        <v>88</v>
      </c>
      <c r="C148" s="483" t="s">
        <v>653</v>
      </c>
    </row>
    <row r="149" spans="1:3" s="308" customFormat="1">
      <c r="A149" s="463"/>
      <c r="B149" s="847" t="s">
        <v>604</v>
      </c>
      <c r="C149" s="848"/>
    </row>
    <row r="150" spans="1:3" s="308" customFormat="1">
      <c r="A150" s="462">
        <v>1</v>
      </c>
      <c r="B150" s="849" t="s">
        <v>898</v>
      </c>
      <c r="C150" s="850"/>
    </row>
    <row r="151" spans="1:3" s="308" customFormat="1">
      <c r="A151" s="462">
        <v>2</v>
      </c>
      <c r="B151" s="849" t="s">
        <v>654</v>
      </c>
      <c r="C151" s="850"/>
    </row>
    <row r="152" spans="1:3" s="308" customFormat="1">
      <c r="A152" s="462">
        <v>3</v>
      </c>
      <c r="B152" s="849" t="s">
        <v>651</v>
      </c>
      <c r="C152" s="850"/>
    </row>
    <row r="153" spans="1:3" s="308" customFormat="1">
      <c r="A153" s="463"/>
      <c r="B153" s="847" t="s">
        <v>605</v>
      </c>
      <c r="C153" s="848"/>
    </row>
    <row r="154" spans="1:3" s="308" customFormat="1">
      <c r="A154" s="462">
        <v>1</v>
      </c>
      <c r="B154" s="855" t="s">
        <v>897</v>
      </c>
      <c r="C154" s="856"/>
    </row>
    <row r="155" spans="1:3" s="308" customFormat="1">
      <c r="A155" s="462">
        <v>2</v>
      </c>
      <c r="B155" s="457" t="s">
        <v>834</v>
      </c>
      <c r="C155" s="538" t="s">
        <v>963</v>
      </c>
    </row>
    <row r="156" spans="1:3" ht="22.5">
      <c r="A156" s="462">
        <v>3</v>
      </c>
      <c r="B156" s="457" t="s">
        <v>833</v>
      </c>
      <c r="C156" s="481" t="s">
        <v>896</v>
      </c>
    </row>
    <row r="157" spans="1:3">
      <c r="A157" s="462">
        <v>4</v>
      </c>
      <c r="B157" s="457" t="s">
        <v>480</v>
      </c>
      <c r="C157" s="457" t="s">
        <v>914</v>
      </c>
    </row>
    <row r="158" spans="1:3" ht="25.15" customHeight="1">
      <c r="A158" s="463"/>
      <c r="B158" s="847" t="s">
        <v>606</v>
      </c>
      <c r="C158" s="848"/>
    </row>
    <row r="159" spans="1:3" ht="33.75">
      <c r="A159" s="462"/>
      <c r="B159" s="457" t="s">
        <v>885</v>
      </c>
      <c r="C159" s="539" t="s">
        <v>964</v>
      </c>
    </row>
    <row r="160" spans="1:3">
      <c r="A160" s="463"/>
      <c r="B160" s="847" t="s">
        <v>607</v>
      </c>
      <c r="C160" s="848"/>
    </row>
    <row r="161" spans="1:3" ht="39" customHeight="1">
      <c r="A161" s="463"/>
      <c r="B161" s="849" t="s">
        <v>895</v>
      </c>
      <c r="C161" s="850"/>
    </row>
    <row r="162" spans="1:3">
      <c r="A162" s="463" t="s">
        <v>608</v>
      </c>
      <c r="B162" s="482" t="s">
        <v>518</v>
      </c>
      <c r="C162" s="474" t="s">
        <v>609</v>
      </c>
    </row>
    <row r="163" spans="1:3">
      <c r="A163" s="463" t="s">
        <v>357</v>
      </c>
      <c r="B163" s="479" t="s">
        <v>519</v>
      </c>
      <c r="C163" s="481" t="s">
        <v>894</v>
      </c>
    </row>
    <row r="164" spans="1:3" ht="22.5">
      <c r="A164" s="463" t="s">
        <v>364</v>
      </c>
      <c r="B164" s="474" t="s">
        <v>520</v>
      </c>
      <c r="C164" s="481" t="s">
        <v>610</v>
      </c>
    </row>
    <row r="165" spans="1:3">
      <c r="A165" s="463" t="s">
        <v>611</v>
      </c>
      <c r="B165" s="479" t="s">
        <v>521</v>
      </c>
      <c r="C165" s="480" t="s">
        <v>612</v>
      </c>
    </row>
    <row r="166" spans="1:3" ht="22.5">
      <c r="A166" s="463" t="s">
        <v>613</v>
      </c>
      <c r="B166" s="479" t="s">
        <v>849</v>
      </c>
      <c r="C166" s="473" t="s">
        <v>893</v>
      </c>
    </row>
    <row r="167" spans="1:3" ht="22.5">
      <c r="A167" s="463" t="s">
        <v>365</v>
      </c>
      <c r="B167" s="479" t="s">
        <v>522</v>
      </c>
      <c r="C167" s="473" t="s">
        <v>615</v>
      </c>
    </row>
    <row r="168" spans="1:3" ht="22.5">
      <c r="A168" s="463" t="s">
        <v>614</v>
      </c>
      <c r="B168" s="477" t="s">
        <v>525</v>
      </c>
      <c r="C168" s="478" t="s">
        <v>622</v>
      </c>
    </row>
    <row r="169" spans="1:3" ht="22.5">
      <c r="A169" s="463" t="s">
        <v>616</v>
      </c>
      <c r="B169" s="477" t="s">
        <v>523</v>
      </c>
      <c r="C169" s="473" t="s">
        <v>618</v>
      </c>
    </row>
    <row r="170" spans="1:3" ht="26.65" customHeight="1">
      <c r="A170" s="463" t="s">
        <v>617</v>
      </c>
      <c r="B170" s="477" t="s">
        <v>524</v>
      </c>
      <c r="C170" s="478" t="s">
        <v>620</v>
      </c>
    </row>
    <row r="171" spans="1:3" ht="22.5">
      <c r="A171" s="463" t="s">
        <v>619</v>
      </c>
      <c r="B171" s="458" t="s">
        <v>526</v>
      </c>
      <c r="C171" s="478" t="s">
        <v>624</v>
      </c>
    </row>
    <row r="172" spans="1:3" ht="22.5">
      <c r="A172" s="463" t="s">
        <v>621</v>
      </c>
      <c r="B172" s="477" t="s">
        <v>527</v>
      </c>
      <c r="C172" s="476" t="s">
        <v>625</v>
      </c>
    </row>
    <row r="173" spans="1:3">
      <c r="A173" s="463" t="s">
        <v>623</v>
      </c>
      <c r="B173" s="475" t="s">
        <v>528</v>
      </c>
      <c r="C173" s="474" t="s">
        <v>626</v>
      </c>
    </row>
    <row r="174" spans="1:3" ht="22.5">
      <c r="A174" s="463"/>
      <c r="B174" s="473" t="s">
        <v>892</v>
      </c>
      <c r="C174" s="458" t="s">
        <v>627</v>
      </c>
    </row>
    <row r="175" spans="1:3" ht="22.5">
      <c r="A175" s="463"/>
      <c r="B175" s="473" t="s">
        <v>891</v>
      </c>
      <c r="C175" s="458" t="s">
        <v>628</v>
      </c>
    </row>
    <row r="176" spans="1:3" ht="22.5">
      <c r="A176" s="463"/>
      <c r="B176" s="473" t="s">
        <v>890</v>
      </c>
      <c r="C176" s="458" t="s">
        <v>629</v>
      </c>
    </row>
    <row r="177" spans="1:3">
      <c r="A177" s="463"/>
      <c r="B177" s="847" t="s">
        <v>630</v>
      </c>
      <c r="C177" s="848"/>
    </row>
    <row r="178" spans="1:3">
      <c r="A178" s="463"/>
      <c r="B178" s="849" t="s">
        <v>889</v>
      </c>
      <c r="C178" s="850"/>
    </row>
    <row r="179" spans="1:3">
      <c r="A179" s="462">
        <v>1</v>
      </c>
      <c r="B179" s="458" t="s">
        <v>532</v>
      </c>
      <c r="C179" s="458" t="s">
        <v>532</v>
      </c>
    </row>
    <row r="180" spans="1:3" ht="33.75">
      <c r="A180" s="462">
        <v>2</v>
      </c>
      <c r="B180" s="458" t="s">
        <v>631</v>
      </c>
      <c r="C180" s="458" t="s">
        <v>632</v>
      </c>
    </row>
    <row r="181" spans="1:3">
      <c r="A181" s="462">
        <v>3</v>
      </c>
      <c r="B181" s="458" t="s">
        <v>534</v>
      </c>
      <c r="C181" s="458" t="s">
        <v>633</v>
      </c>
    </row>
    <row r="182" spans="1:3" ht="22.5">
      <c r="A182" s="462">
        <v>4</v>
      </c>
      <c r="B182" s="458" t="s">
        <v>535</v>
      </c>
      <c r="C182" s="458" t="s">
        <v>634</v>
      </c>
    </row>
    <row r="183" spans="1:3" ht="22.5">
      <c r="A183" s="462">
        <v>5</v>
      </c>
      <c r="B183" s="458" t="s">
        <v>536</v>
      </c>
      <c r="C183" s="458" t="s">
        <v>656</v>
      </c>
    </row>
    <row r="184" spans="1:3" ht="45">
      <c r="A184" s="462">
        <v>6</v>
      </c>
      <c r="B184" s="458" t="s">
        <v>537</v>
      </c>
      <c r="C184" s="458" t="s">
        <v>635</v>
      </c>
    </row>
    <row r="185" spans="1:3">
      <c r="A185" s="463"/>
      <c r="B185" s="847" t="s">
        <v>636</v>
      </c>
      <c r="C185" s="848"/>
    </row>
    <row r="186" spans="1:3">
      <c r="A186" s="463"/>
      <c r="B186" s="858" t="s">
        <v>888</v>
      </c>
      <c r="C186" s="855"/>
    </row>
    <row r="187" spans="1:3" ht="22.5">
      <c r="A187" s="463">
        <v>1.1000000000000001</v>
      </c>
      <c r="B187" s="472" t="s">
        <v>542</v>
      </c>
      <c r="C187" s="458" t="s">
        <v>637</v>
      </c>
    </row>
    <row r="188" spans="1:3" ht="49.9" customHeight="1">
      <c r="A188" s="463" t="s">
        <v>146</v>
      </c>
      <c r="B188" s="459" t="s">
        <v>543</v>
      </c>
      <c r="C188" s="458" t="s">
        <v>638</v>
      </c>
    </row>
    <row r="189" spans="1:3">
      <c r="A189" s="463" t="s">
        <v>544</v>
      </c>
      <c r="B189" s="471" t="s">
        <v>545</v>
      </c>
      <c r="C189" s="859" t="s">
        <v>887</v>
      </c>
    </row>
    <row r="190" spans="1:3">
      <c r="A190" s="463" t="s">
        <v>546</v>
      </c>
      <c r="B190" s="471" t="s">
        <v>547</v>
      </c>
      <c r="C190" s="859"/>
    </row>
    <row r="191" spans="1:3">
      <c r="A191" s="463" t="s">
        <v>548</v>
      </c>
      <c r="B191" s="471" t="s">
        <v>549</v>
      </c>
      <c r="C191" s="859"/>
    </row>
    <row r="192" spans="1:3">
      <c r="A192" s="463" t="s">
        <v>550</v>
      </c>
      <c r="B192" s="471" t="s">
        <v>551</v>
      </c>
      <c r="C192" s="859"/>
    </row>
    <row r="193" spans="1:4" ht="25.5" customHeight="1">
      <c r="A193" s="463">
        <v>1.2</v>
      </c>
      <c r="B193" s="470" t="s">
        <v>863</v>
      </c>
      <c r="C193" s="540" t="s">
        <v>965</v>
      </c>
    </row>
    <row r="194" spans="1:4" ht="22.5">
      <c r="A194" s="463" t="s">
        <v>553</v>
      </c>
      <c r="B194" s="465" t="s">
        <v>554</v>
      </c>
      <c r="C194" s="468" t="s">
        <v>639</v>
      </c>
    </row>
    <row r="195" spans="1:4" ht="22.5">
      <c r="A195" s="463" t="s">
        <v>555</v>
      </c>
      <c r="B195" s="469" t="s">
        <v>556</v>
      </c>
      <c r="C195" s="468" t="s">
        <v>640</v>
      </c>
    </row>
    <row r="196" spans="1:4" ht="25.9" customHeight="1">
      <c r="A196" s="463" t="s">
        <v>557</v>
      </c>
      <c r="B196" s="467" t="s">
        <v>558</v>
      </c>
      <c r="C196" s="457" t="s">
        <v>641</v>
      </c>
    </row>
    <row r="197" spans="1:4" ht="22.5">
      <c r="A197" s="463" t="s">
        <v>559</v>
      </c>
      <c r="B197" s="466" t="s">
        <v>560</v>
      </c>
      <c r="C197" s="457" t="s">
        <v>642</v>
      </c>
      <c r="D197" s="309"/>
    </row>
    <row r="198" spans="1:4" ht="22.5">
      <c r="A198" s="463">
        <v>1.4</v>
      </c>
      <c r="B198" s="465" t="s">
        <v>649</v>
      </c>
      <c r="C198" s="464" t="s">
        <v>643</v>
      </c>
      <c r="D198" s="310"/>
    </row>
    <row r="199" spans="1:4" ht="12.75">
      <c r="A199" s="463">
        <v>1.5</v>
      </c>
      <c r="B199" s="465" t="s">
        <v>650</v>
      </c>
      <c r="C199" s="464" t="s">
        <v>643</v>
      </c>
      <c r="D199" s="311"/>
    </row>
    <row r="200" spans="1:4" ht="12.75">
      <c r="A200" s="463"/>
      <c r="B200" s="860" t="s">
        <v>644</v>
      </c>
      <c r="C200" s="860"/>
      <c r="D200" s="311"/>
    </row>
    <row r="201" spans="1:4" ht="12.75">
      <c r="A201" s="463"/>
      <c r="B201" s="858" t="s">
        <v>886</v>
      </c>
      <c r="C201" s="858"/>
      <c r="D201" s="311"/>
    </row>
    <row r="202" spans="1:4" ht="12.75">
      <c r="A202" s="462"/>
      <c r="B202" s="457" t="s">
        <v>885</v>
      </c>
      <c r="C202" s="539" t="s">
        <v>963</v>
      </c>
      <c r="D202" s="311"/>
    </row>
    <row r="203" spans="1:4" ht="12.75">
      <c r="A203" s="463"/>
      <c r="B203" s="860" t="s">
        <v>645</v>
      </c>
      <c r="C203" s="860"/>
      <c r="D203" s="312"/>
    </row>
    <row r="204" spans="1:4" ht="12.75">
      <c r="A204" s="462"/>
      <c r="B204" s="858" t="s">
        <v>884</v>
      </c>
      <c r="C204" s="858"/>
      <c r="D204" s="313"/>
    </row>
    <row r="205" spans="1:4" ht="12.75">
      <c r="B205" s="860" t="s">
        <v>682</v>
      </c>
      <c r="C205" s="860"/>
      <c r="D205" s="314"/>
    </row>
    <row r="206" spans="1:4" ht="22.5">
      <c r="A206" s="459">
        <v>1</v>
      </c>
      <c r="B206" s="457" t="s">
        <v>658</v>
      </c>
      <c r="C206" s="457" t="s">
        <v>670</v>
      </c>
      <c r="D206" s="313"/>
    </row>
    <row r="207" spans="1:4" ht="18" customHeight="1">
      <c r="A207" s="459">
        <v>2</v>
      </c>
      <c r="B207" s="457" t="s">
        <v>659</v>
      </c>
      <c r="C207" s="457" t="s">
        <v>671</v>
      </c>
      <c r="D207" s="314"/>
    </row>
    <row r="208" spans="1:4" ht="22.5">
      <c r="A208" s="459">
        <v>3</v>
      </c>
      <c r="B208" s="457" t="s">
        <v>660</v>
      </c>
      <c r="C208" s="457" t="s">
        <v>672</v>
      </c>
      <c r="D208" s="315"/>
    </row>
    <row r="209" spans="1:4" ht="12.75">
      <c r="A209" s="459">
        <v>4</v>
      </c>
      <c r="B209" s="457" t="s">
        <v>661</v>
      </c>
      <c r="C209" s="457" t="s">
        <v>673</v>
      </c>
      <c r="D209" s="315"/>
    </row>
    <row r="210" spans="1:4" ht="22.5">
      <c r="A210" s="459">
        <v>5</v>
      </c>
      <c r="B210" s="457" t="s">
        <v>662</v>
      </c>
      <c r="C210" s="457" t="s">
        <v>674</v>
      </c>
    </row>
    <row r="211" spans="1:4" ht="24.4" customHeight="1">
      <c r="A211" s="459">
        <v>6</v>
      </c>
      <c r="B211" s="457" t="s">
        <v>663</v>
      </c>
      <c r="C211" s="457" t="s">
        <v>675</v>
      </c>
    </row>
    <row r="212" spans="1:4" ht="22.5">
      <c r="A212" s="459">
        <v>7</v>
      </c>
      <c r="B212" s="457" t="s">
        <v>664</v>
      </c>
      <c r="C212" s="457" t="s">
        <v>676</v>
      </c>
    </row>
    <row r="213" spans="1:4">
      <c r="A213" s="459">
        <v>7.1</v>
      </c>
      <c r="B213" s="461" t="s">
        <v>665</v>
      </c>
      <c r="C213" s="457" t="s">
        <v>677</v>
      </c>
    </row>
    <row r="214" spans="1:4" ht="22.5">
      <c r="A214" s="459">
        <v>7.2</v>
      </c>
      <c r="B214" s="461" t="s">
        <v>666</v>
      </c>
      <c r="C214" s="457" t="s">
        <v>678</v>
      </c>
    </row>
    <row r="215" spans="1:4">
      <c r="A215" s="459">
        <v>7.3</v>
      </c>
      <c r="B215" s="460" t="s">
        <v>667</v>
      </c>
      <c r="C215" s="457" t="s">
        <v>679</v>
      </c>
    </row>
    <row r="216" spans="1:4" ht="39.4" customHeight="1">
      <c r="A216" s="459">
        <v>8</v>
      </c>
      <c r="B216" s="457" t="s">
        <v>668</v>
      </c>
      <c r="C216" s="457" t="s">
        <v>680</v>
      </c>
    </row>
    <row r="217" spans="1:4">
      <c r="A217" s="459">
        <v>9</v>
      </c>
      <c r="B217" s="457" t="s">
        <v>669</v>
      </c>
      <c r="C217" s="457" t="s">
        <v>681</v>
      </c>
    </row>
    <row r="218" spans="1:4" ht="22.5">
      <c r="A218" s="496">
        <v>10.1</v>
      </c>
      <c r="B218" s="497" t="s">
        <v>689</v>
      </c>
      <c r="C218" s="489" t="s">
        <v>690</v>
      </c>
    </row>
    <row r="219" spans="1:4">
      <c r="A219" s="861"/>
      <c r="B219" s="498" t="s">
        <v>876</v>
      </c>
      <c r="C219" s="457" t="s">
        <v>883</v>
      </c>
    </row>
    <row r="220" spans="1:4">
      <c r="A220" s="861"/>
      <c r="B220" s="458" t="s">
        <v>541</v>
      </c>
      <c r="C220" s="457" t="s">
        <v>882</v>
      </c>
    </row>
    <row r="221" spans="1:4">
      <c r="A221" s="861"/>
      <c r="B221" s="458" t="s">
        <v>875</v>
      </c>
      <c r="C221" s="540" t="s">
        <v>966</v>
      </c>
    </row>
    <row r="222" spans="1:4">
      <c r="A222" s="861"/>
      <c r="B222" s="458" t="s">
        <v>683</v>
      </c>
      <c r="C222" s="457" t="s">
        <v>881</v>
      </c>
    </row>
    <row r="223" spans="1:4" ht="22.5">
      <c r="A223" s="861"/>
      <c r="B223" s="458" t="s">
        <v>687</v>
      </c>
      <c r="C223" s="458" t="s">
        <v>880</v>
      </c>
    </row>
    <row r="224" spans="1:4" ht="33.75">
      <c r="A224" s="861"/>
      <c r="B224" s="458" t="s">
        <v>686</v>
      </c>
      <c r="C224" s="457" t="s">
        <v>879</v>
      </c>
    </row>
    <row r="225" spans="1:3">
      <c r="A225" s="861"/>
      <c r="B225" s="458" t="s">
        <v>915</v>
      </c>
      <c r="C225" s="457" t="s">
        <v>878</v>
      </c>
    </row>
    <row r="226" spans="1:3" ht="22.5">
      <c r="A226" s="861"/>
      <c r="B226" s="458" t="s">
        <v>916</v>
      </c>
      <c r="C226" s="457" t="s">
        <v>877</v>
      </c>
    </row>
    <row r="227" spans="1:3" ht="12.75">
      <c r="A227" s="490"/>
      <c r="B227" s="491"/>
      <c r="C227" s="492"/>
    </row>
    <row r="228" spans="1:3" ht="12.75">
      <c r="A228" s="490"/>
      <c r="B228" s="492"/>
      <c r="C228" s="492"/>
    </row>
    <row r="229" spans="1:3" ht="12.75">
      <c r="A229" s="490"/>
      <c r="B229" s="492"/>
      <c r="C229" s="492"/>
    </row>
    <row r="230" spans="1:3" ht="12.75">
      <c r="A230" s="490"/>
      <c r="B230" s="493"/>
      <c r="C230" s="492"/>
    </row>
    <row r="231" spans="1:3" ht="12.75">
      <c r="A231" s="857"/>
      <c r="B231" s="494"/>
      <c r="C231" s="492"/>
    </row>
    <row r="232" spans="1:3" ht="12.75">
      <c r="A232" s="857"/>
      <c r="B232" s="494"/>
      <c r="C232" s="492"/>
    </row>
    <row r="233" spans="1:3" ht="12.75">
      <c r="A233" s="857"/>
      <c r="B233" s="494"/>
      <c r="C233" s="492"/>
    </row>
    <row r="234" spans="1:3" ht="12.75">
      <c r="A234" s="857"/>
      <c r="B234" s="494"/>
      <c r="C234" s="495"/>
    </row>
    <row r="235" spans="1:3" ht="40.5" customHeight="1">
      <c r="A235" s="857"/>
      <c r="B235" s="494"/>
      <c r="C235" s="492"/>
    </row>
    <row r="236" spans="1:3" ht="24" customHeight="1">
      <c r="A236" s="857"/>
      <c r="B236" s="494"/>
      <c r="C236" s="492"/>
    </row>
    <row r="237" spans="1:3" ht="12.75">
      <c r="A237" s="857"/>
      <c r="B237" s="494"/>
      <c r="C237" s="492"/>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O45"/>
  <sheetViews>
    <sheetView showGridLines="0" zoomScale="80" zoomScaleNormal="80" workbookViewId="0"/>
  </sheetViews>
  <sheetFormatPr defaultRowHeight="15"/>
  <cols>
    <col min="2" max="2" width="66.7109375" customWidth="1"/>
    <col min="3" max="8" width="17.7109375" style="602" customWidth="1"/>
    <col min="10" max="12" width="9.28515625" bestFit="1" customWidth="1"/>
    <col min="13" max="15" width="15.85546875"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46203</v>
      </c>
      <c r="C2" s="600"/>
      <c r="D2" s="601"/>
      <c r="E2" s="601"/>
      <c r="F2" s="601"/>
      <c r="G2" s="601"/>
    </row>
    <row r="3" spans="1:15" ht="15.75">
      <c r="A3" s="13"/>
      <c r="B3" s="12"/>
      <c r="C3" s="600"/>
      <c r="D3" s="601"/>
      <c r="E3" s="601"/>
      <c r="F3" s="601"/>
      <c r="G3" s="601"/>
    </row>
    <row r="4" spans="1:15">
      <c r="A4" s="743" t="s">
        <v>25</v>
      </c>
      <c r="B4" s="741" t="s">
        <v>155</v>
      </c>
      <c r="C4" s="739" t="s">
        <v>103</v>
      </c>
      <c r="D4" s="739"/>
      <c r="E4" s="739"/>
      <c r="F4" s="739" t="s">
        <v>104</v>
      </c>
      <c r="G4" s="739"/>
      <c r="H4" s="740"/>
    </row>
    <row r="5" spans="1:15" ht="15.4" customHeight="1">
      <c r="A5" s="744"/>
      <c r="B5" s="742"/>
      <c r="C5" s="611" t="s">
        <v>26</v>
      </c>
      <c r="D5" s="611" t="s">
        <v>77</v>
      </c>
      <c r="E5" s="611" t="s">
        <v>66</v>
      </c>
      <c r="F5" s="611" t="s">
        <v>26</v>
      </c>
      <c r="G5" s="611" t="s">
        <v>77</v>
      </c>
      <c r="H5" s="611" t="s">
        <v>66</v>
      </c>
    </row>
    <row r="6" spans="1:15">
      <c r="A6" s="365">
        <v>1</v>
      </c>
      <c r="B6" s="343" t="s">
        <v>744</v>
      </c>
      <c r="C6" s="608">
        <f>SUM(C7:C12)</f>
        <v>38036117.789948612</v>
      </c>
      <c r="D6" s="608">
        <f>SUM(D7:D12)</f>
        <v>29404507.45551414</v>
      </c>
      <c r="E6" s="609">
        <f>C6+D6</f>
        <v>67440625.245462745</v>
      </c>
      <c r="F6" s="608">
        <f>SUM(F7:F12)</f>
        <v>28149085.322267283</v>
      </c>
      <c r="G6" s="608">
        <f>SUM(G7:G12)</f>
        <v>30573550.460159462</v>
      </c>
      <c r="H6" s="609">
        <f>F6+G6</f>
        <v>58722635.782426745</v>
      </c>
      <c r="J6" s="602"/>
      <c r="K6" s="602"/>
      <c r="L6" s="602"/>
      <c r="M6" s="602"/>
      <c r="N6" s="602"/>
      <c r="O6" s="602"/>
    </row>
    <row r="7" spans="1:15">
      <c r="A7" s="365">
        <v>1.1000000000000001</v>
      </c>
      <c r="B7" s="344" t="s">
        <v>698</v>
      </c>
      <c r="C7" s="608">
        <v>0</v>
      </c>
      <c r="D7" s="608">
        <v>0</v>
      </c>
      <c r="E7" s="609">
        <f t="shared" ref="E7:E45" si="0">C7+D7</f>
        <v>0</v>
      </c>
      <c r="F7" s="608">
        <v>0</v>
      </c>
      <c r="G7" s="608">
        <v>0</v>
      </c>
      <c r="H7" s="609">
        <f t="shared" ref="H7:H44" si="1">F7+G7</f>
        <v>0</v>
      </c>
      <c r="J7" s="602"/>
      <c r="K7" s="602"/>
      <c r="L7" s="602"/>
      <c r="M7" s="602"/>
      <c r="N7" s="602"/>
      <c r="O7" s="602"/>
    </row>
    <row r="8" spans="1:15" ht="21">
      <c r="A8" s="365">
        <v>1.2</v>
      </c>
      <c r="B8" s="344" t="s">
        <v>745</v>
      </c>
      <c r="C8" s="608">
        <v>0</v>
      </c>
      <c r="D8" s="608">
        <v>0</v>
      </c>
      <c r="E8" s="609">
        <f t="shared" si="0"/>
        <v>0</v>
      </c>
      <c r="F8" s="608">
        <v>0</v>
      </c>
      <c r="G8" s="608">
        <v>0</v>
      </c>
      <c r="H8" s="609">
        <f t="shared" si="1"/>
        <v>0</v>
      </c>
      <c r="J8" s="602"/>
      <c r="K8" s="602"/>
      <c r="L8" s="602"/>
      <c r="M8" s="602"/>
      <c r="N8" s="602"/>
      <c r="O8" s="602"/>
    </row>
    <row r="9" spans="1:15" ht="21.4" customHeight="1">
      <c r="A9" s="365">
        <v>1.3</v>
      </c>
      <c r="B9" s="335" t="s">
        <v>746</v>
      </c>
      <c r="C9" s="608">
        <v>0</v>
      </c>
      <c r="D9" s="608">
        <v>0</v>
      </c>
      <c r="E9" s="609">
        <f t="shared" si="0"/>
        <v>0</v>
      </c>
      <c r="F9" s="608">
        <v>0</v>
      </c>
      <c r="G9" s="608">
        <v>0</v>
      </c>
      <c r="H9" s="609">
        <f t="shared" si="1"/>
        <v>0</v>
      </c>
      <c r="J9" s="602"/>
      <c r="K9" s="602"/>
      <c r="L9" s="602"/>
      <c r="M9" s="602"/>
      <c r="N9" s="602"/>
      <c r="O9" s="602"/>
    </row>
    <row r="10" spans="1:15" ht="21">
      <c r="A10" s="365">
        <v>1.4</v>
      </c>
      <c r="B10" s="335" t="s">
        <v>702</v>
      </c>
      <c r="C10" s="608">
        <v>0</v>
      </c>
      <c r="D10" s="608">
        <v>0</v>
      </c>
      <c r="E10" s="609">
        <f t="shared" si="0"/>
        <v>0</v>
      </c>
      <c r="F10" s="608">
        <v>264674.76000000018</v>
      </c>
      <c r="G10" s="608">
        <v>0</v>
      </c>
      <c r="H10" s="609">
        <f t="shared" si="1"/>
        <v>264674.76000000018</v>
      </c>
      <c r="J10" s="602"/>
      <c r="K10" s="602"/>
      <c r="L10" s="602"/>
      <c r="M10" s="602"/>
      <c r="N10" s="602"/>
      <c r="O10" s="602"/>
    </row>
    <row r="11" spans="1:15">
      <c r="A11" s="365">
        <v>1.5</v>
      </c>
      <c r="B11" s="335" t="s">
        <v>705</v>
      </c>
      <c r="C11" s="608">
        <v>38036117.789948612</v>
      </c>
      <c r="D11" s="608">
        <v>29404507.45551414</v>
      </c>
      <c r="E11" s="609">
        <f t="shared" si="0"/>
        <v>67440625.245462745</v>
      </c>
      <c r="F11" s="608">
        <v>27884410.562267281</v>
      </c>
      <c r="G11" s="608">
        <v>30573550.460159462</v>
      </c>
      <c r="H11" s="609">
        <f t="shared" si="1"/>
        <v>58457961.022426739</v>
      </c>
      <c r="J11" s="602"/>
      <c r="K11" s="602"/>
      <c r="L11" s="602"/>
      <c r="M11" s="602"/>
      <c r="N11" s="602"/>
      <c r="O11" s="602"/>
    </row>
    <row r="12" spans="1:15">
      <c r="A12" s="365">
        <v>1.6</v>
      </c>
      <c r="B12" s="336" t="s">
        <v>88</v>
      </c>
      <c r="C12" s="608">
        <v>0</v>
      </c>
      <c r="D12" s="608">
        <v>0</v>
      </c>
      <c r="E12" s="609">
        <f t="shared" si="0"/>
        <v>0</v>
      </c>
      <c r="F12" s="608">
        <v>0</v>
      </c>
      <c r="G12" s="608">
        <v>0</v>
      </c>
      <c r="H12" s="609">
        <f t="shared" si="1"/>
        <v>0</v>
      </c>
      <c r="J12" s="602"/>
      <c r="K12" s="602"/>
      <c r="L12" s="602"/>
      <c r="M12" s="602"/>
      <c r="N12" s="602"/>
      <c r="O12" s="602"/>
    </row>
    <row r="13" spans="1:15">
      <c r="A13" s="365">
        <v>2</v>
      </c>
      <c r="B13" s="345" t="s">
        <v>747</v>
      </c>
      <c r="C13" s="608">
        <f>SUM(C14:C17)</f>
        <v>-11933057.272925107</v>
      </c>
      <c r="D13" s="608">
        <f>SUM(D14:D17)</f>
        <v>-14359585.724064765</v>
      </c>
      <c r="E13" s="609">
        <f t="shared" si="0"/>
        <v>-26292642.996989872</v>
      </c>
      <c r="F13" s="608">
        <f>SUM(F14:F17)</f>
        <v>-6885994.2394886333</v>
      </c>
      <c r="G13" s="608">
        <f>SUM(G14:G17)</f>
        <v>-12947929.463404974</v>
      </c>
      <c r="H13" s="609">
        <f t="shared" si="1"/>
        <v>-19833923.702893607</v>
      </c>
      <c r="J13" s="602"/>
      <c r="K13" s="602"/>
      <c r="L13" s="602"/>
      <c r="M13" s="602"/>
      <c r="N13" s="602"/>
      <c r="O13" s="602"/>
    </row>
    <row r="14" spans="1:15">
      <c r="A14" s="365">
        <v>2.1</v>
      </c>
      <c r="B14" s="335" t="s">
        <v>748</v>
      </c>
      <c r="C14" s="608">
        <v>0</v>
      </c>
      <c r="D14" s="608">
        <v>0</v>
      </c>
      <c r="E14" s="609">
        <f t="shared" si="0"/>
        <v>0</v>
      </c>
      <c r="F14" s="608">
        <v>0</v>
      </c>
      <c r="G14" s="608">
        <v>0</v>
      </c>
      <c r="H14" s="609">
        <f t="shared" si="1"/>
        <v>0</v>
      </c>
      <c r="J14" s="602"/>
      <c r="K14" s="602"/>
      <c r="L14" s="602"/>
      <c r="M14" s="602"/>
      <c r="N14" s="602"/>
      <c r="O14" s="602"/>
    </row>
    <row r="15" spans="1:15" ht="24.4" customHeight="1">
      <c r="A15" s="365">
        <v>2.2000000000000002</v>
      </c>
      <c r="B15" s="335" t="s">
        <v>749</v>
      </c>
      <c r="C15" s="608">
        <v>0</v>
      </c>
      <c r="D15" s="608">
        <v>0</v>
      </c>
      <c r="E15" s="609">
        <f t="shared" si="0"/>
        <v>0</v>
      </c>
      <c r="F15" s="608">
        <v>0</v>
      </c>
      <c r="G15" s="608">
        <v>0</v>
      </c>
      <c r="H15" s="609">
        <f t="shared" si="1"/>
        <v>0</v>
      </c>
      <c r="J15" s="602"/>
      <c r="K15" s="602"/>
      <c r="L15" s="602"/>
      <c r="M15" s="602"/>
      <c r="N15" s="602"/>
      <c r="O15" s="602"/>
    </row>
    <row r="16" spans="1:15" ht="20.65" customHeight="1">
      <c r="A16" s="365">
        <v>2.2999999999999998</v>
      </c>
      <c r="B16" s="335" t="s">
        <v>750</v>
      </c>
      <c r="C16" s="608">
        <v>-11933057.272925107</v>
      </c>
      <c r="D16" s="608">
        <v>-14359585.724064765</v>
      </c>
      <c r="E16" s="609">
        <f t="shared" si="0"/>
        <v>-26292642.996989872</v>
      </c>
      <c r="F16" s="608">
        <v>-6885994.2394886333</v>
      </c>
      <c r="G16" s="608">
        <v>-12947929.463404974</v>
      </c>
      <c r="H16" s="609">
        <f t="shared" si="1"/>
        <v>-19833923.702893607</v>
      </c>
      <c r="J16" s="602"/>
      <c r="K16" s="602"/>
      <c r="L16" s="602"/>
      <c r="M16" s="602"/>
      <c r="N16" s="602"/>
      <c r="O16" s="602"/>
    </row>
    <row r="17" spans="1:15">
      <c r="A17" s="365">
        <v>2.4</v>
      </c>
      <c r="B17" s="335" t="s">
        <v>751</v>
      </c>
      <c r="C17" s="608">
        <v>0</v>
      </c>
      <c r="D17" s="608">
        <v>0</v>
      </c>
      <c r="E17" s="609">
        <f t="shared" si="0"/>
        <v>0</v>
      </c>
      <c r="F17" s="608">
        <v>0</v>
      </c>
      <c r="G17" s="608">
        <v>0</v>
      </c>
      <c r="H17" s="609">
        <f t="shared" si="1"/>
        <v>0</v>
      </c>
      <c r="J17" s="602"/>
      <c r="K17" s="602"/>
      <c r="L17" s="602"/>
      <c r="M17" s="602"/>
      <c r="N17" s="602"/>
      <c r="O17" s="602"/>
    </row>
    <row r="18" spans="1:15">
      <c r="A18" s="365">
        <v>3</v>
      </c>
      <c r="B18" s="345" t="s">
        <v>752</v>
      </c>
      <c r="C18" s="608">
        <v>300.54000000000002</v>
      </c>
      <c r="D18" s="608">
        <v>0</v>
      </c>
      <c r="E18" s="609">
        <f t="shared" si="0"/>
        <v>300.54000000000002</v>
      </c>
      <c r="F18" s="608">
        <v>0</v>
      </c>
      <c r="G18" s="608">
        <v>0</v>
      </c>
      <c r="H18" s="609">
        <f t="shared" si="1"/>
        <v>0</v>
      </c>
      <c r="J18" s="602"/>
      <c r="K18" s="602"/>
      <c r="L18" s="602"/>
      <c r="M18" s="602"/>
      <c r="N18" s="602"/>
      <c r="O18" s="602"/>
    </row>
    <row r="19" spans="1:15">
      <c r="A19" s="365">
        <v>4</v>
      </c>
      <c r="B19" s="345" t="s">
        <v>753</v>
      </c>
      <c r="C19" s="608">
        <v>2264525.0618000003</v>
      </c>
      <c r="D19" s="608">
        <v>4044560.4856870002</v>
      </c>
      <c r="E19" s="609">
        <f t="shared" si="0"/>
        <v>6309085.547487</v>
      </c>
      <c r="F19" s="608">
        <v>2316790.1650999999</v>
      </c>
      <c r="G19" s="608">
        <v>3349318.2071080003</v>
      </c>
      <c r="H19" s="609">
        <f t="shared" si="1"/>
        <v>5666108.3722080002</v>
      </c>
      <c r="J19" s="602"/>
      <c r="K19" s="602"/>
      <c r="L19" s="602"/>
      <c r="M19" s="602"/>
      <c r="N19" s="602"/>
      <c r="O19" s="602"/>
    </row>
    <row r="20" spans="1:15">
      <c r="A20" s="365">
        <v>5</v>
      </c>
      <c r="B20" s="345" t="s">
        <v>754</v>
      </c>
      <c r="C20" s="608">
        <v>-761339.24</v>
      </c>
      <c r="D20" s="608">
        <v>-3743718.5552000003</v>
      </c>
      <c r="E20" s="609">
        <f t="shared" si="0"/>
        <v>-4505057.7952000005</v>
      </c>
      <c r="F20" s="608">
        <v>-892483.96</v>
      </c>
      <c r="G20" s="608">
        <v>-2570326.5484000002</v>
      </c>
      <c r="H20" s="609">
        <f t="shared" si="1"/>
        <v>-3462810.5084000002</v>
      </c>
      <c r="J20" s="602"/>
      <c r="K20" s="602"/>
      <c r="L20" s="602"/>
      <c r="M20" s="602"/>
      <c r="N20" s="602"/>
      <c r="O20" s="602"/>
    </row>
    <row r="21" spans="1:15" ht="38.65" customHeight="1">
      <c r="A21" s="365">
        <v>6</v>
      </c>
      <c r="B21" s="345" t="s">
        <v>755</v>
      </c>
      <c r="C21" s="608">
        <v>0</v>
      </c>
      <c r="D21" s="608">
        <v>0</v>
      </c>
      <c r="E21" s="609">
        <f t="shared" si="0"/>
        <v>0</v>
      </c>
      <c r="F21" s="608">
        <v>0</v>
      </c>
      <c r="G21" s="608">
        <v>0</v>
      </c>
      <c r="H21" s="609">
        <f t="shared" si="1"/>
        <v>0</v>
      </c>
      <c r="J21" s="602"/>
      <c r="K21" s="602"/>
      <c r="L21" s="602"/>
      <c r="M21" s="602"/>
      <c r="N21" s="602"/>
      <c r="O21" s="602"/>
    </row>
    <row r="22" spans="1:15" ht="27.4" customHeight="1">
      <c r="A22" s="365">
        <v>7</v>
      </c>
      <c r="B22" s="345" t="s">
        <v>756</v>
      </c>
      <c r="C22" s="608">
        <v>0</v>
      </c>
      <c r="D22" s="608">
        <v>0</v>
      </c>
      <c r="E22" s="609">
        <f t="shared" si="0"/>
        <v>0</v>
      </c>
      <c r="F22" s="608">
        <v>0</v>
      </c>
      <c r="G22" s="608">
        <v>10248.547200000001</v>
      </c>
      <c r="H22" s="609">
        <f t="shared" si="1"/>
        <v>10248.547200000001</v>
      </c>
      <c r="J22" s="602"/>
      <c r="K22" s="602"/>
      <c r="L22" s="602"/>
      <c r="M22" s="602"/>
      <c r="N22" s="602"/>
      <c r="O22" s="602"/>
    </row>
    <row r="23" spans="1:15" ht="37.15" customHeight="1">
      <c r="A23" s="365">
        <v>8</v>
      </c>
      <c r="B23" s="346" t="s">
        <v>757</v>
      </c>
      <c r="C23" s="608">
        <v>-47400</v>
      </c>
      <c r="D23" s="608">
        <v>0</v>
      </c>
      <c r="E23" s="609">
        <f t="shared" si="0"/>
        <v>-47400</v>
      </c>
      <c r="F23" s="608">
        <v>-53950</v>
      </c>
      <c r="G23" s="608">
        <v>0</v>
      </c>
      <c r="H23" s="609">
        <f t="shared" si="1"/>
        <v>-53950</v>
      </c>
      <c r="J23" s="602"/>
      <c r="K23" s="602"/>
      <c r="L23" s="602"/>
      <c r="M23" s="602"/>
      <c r="N23" s="602"/>
      <c r="O23" s="602"/>
    </row>
    <row r="24" spans="1:15" ht="34.5" customHeight="1">
      <c r="A24" s="365">
        <v>9</v>
      </c>
      <c r="B24" s="346" t="s">
        <v>758</v>
      </c>
      <c r="C24" s="608">
        <v>0</v>
      </c>
      <c r="D24" s="608">
        <v>0</v>
      </c>
      <c r="E24" s="609">
        <f t="shared" si="0"/>
        <v>0</v>
      </c>
      <c r="F24" s="608">
        <v>0</v>
      </c>
      <c r="G24" s="608">
        <v>0</v>
      </c>
      <c r="H24" s="609">
        <f t="shared" si="1"/>
        <v>0</v>
      </c>
      <c r="J24" s="602"/>
      <c r="K24" s="602"/>
      <c r="L24" s="602"/>
      <c r="M24" s="602"/>
      <c r="N24" s="602"/>
      <c r="O24" s="602"/>
    </row>
    <row r="25" spans="1:15">
      <c r="A25" s="365">
        <v>10</v>
      </c>
      <c r="B25" s="345" t="s">
        <v>759</v>
      </c>
      <c r="C25" s="608">
        <v>4096239.7379460013</v>
      </c>
      <c r="D25" s="608">
        <v>0</v>
      </c>
      <c r="E25" s="609">
        <f t="shared" si="0"/>
        <v>4096239.7379460013</v>
      </c>
      <c r="F25" s="608">
        <v>3179456.93682101</v>
      </c>
      <c r="G25" s="608">
        <v>0</v>
      </c>
      <c r="H25" s="609">
        <f t="shared" si="1"/>
        <v>3179456.93682101</v>
      </c>
      <c r="J25" s="602"/>
      <c r="K25" s="602"/>
      <c r="L25" s="602"/>
      <c r="M25" s="602"/>
      <c r="N25" s="602"/>
      <c r="O25" s="602"/>
    </row>
    <row r="26" spans="1:15" ht="27" customHeight="1">
      <c r="A26" s="365">
        <v>11</v>
      </c>
      <c r="B26" s="347" t="s">
        <v>760</v>
      </c>
      <c r="C26" s="608">
        <v>1599772.46</v>
      </c>
      <c r="D26" s="608">
        <v>0</v>
      </c>
      <c r="E26" s="609">
        <f t="shared" si="0"/>
        <v>1599772.46</v>
      </c>
      <c r="F26" s="608">
        <v>344133.63</v>
      </c>
      <c r="G26" s="608">
        <v>0</v>
      </c>
      <c r="H26" s="609">
        <f t="shared" si="1"/>
        <v>344133.63</v>
      </c>
      <c r="J26" s="602"/>
      <c r="K26" s="602"/>
      <c r="L26" s="602"/>
      <c r="M26" s="602"/>
      <c r="N26" s="602"/>
      <c r="O26" s="602"/>
    </row>
    <row r="27" spans="1:15">
      <c r="A27" s="365">
        <v>12</v>
      </c>
      <c r="B27" s="345" t="s">
        <v>761</v>
      </c>
      <c r="C27" s="608">
        <v>1511938.95</v>
      </c>
      <c r="D27" s="608">
        <v>56624.399699999994</v>
      </c>
      <c r="E27" s="609">
        <f t="shared" si="0"/>
        <v>1568563.3496999999</v>
      </c>
      <c r="F27" s="608">
        <v>-438032.41000000003</v>
      </c>
      <c r="G27" s="608">
        <v>10212.218799999999</v>
      </c>
      <c r="H27" s="609">
        <f t="shared" si="1"/>
        <v>-427820.19120000006</v>
      </c>
      <c r="J27" s="602"/>
      <c r="K27" s="602"/>
      <c r="L27" s="602"/>
      <c r="M27" s="602"/>
      <c r="N27" s="602"/>
      <c r="O27" s="602"/>
    </row>
    <row r="28" spans="1:15">
      <c r="A28" s="365">
        <v>13</v>
      </c>
      <c r="B28" s="348" t="s">
        <v>762</v>
      </c>
      <c r="C28" s="608">
        <v>-3047884.3663175176</v>
      </c>
      <c r="D28" s="608">
        <v>-2203234.7215</v>
      </c>
      <c r="E28" s="609">
        <f t="shared" si="0"/>
        <v>-5251119.087817518</v>
      </c>
      <c r="F28" s="608">
        <v>-3274248.2331052003</v>
      </c>
      <c r="G28" s="608">
        <v>-1868211.5088000002</v>
      </c>
      <c r="H28" s="609">
        <f t="shared" si="1"/>
        <v>-5142459.7419052003</v>
      </c>
      <c r="J28" s="602"/>
      <c r="K28" s="602"/>
      <c r="L28" s="602"/>
      <c r="M28" s="602"/>
      <c r="N28" s="602"/>
      <c r="O28" s="602"/>
    </row>
    <row r="29" spans="1:15">
      <c r="A29" s="365">
        <v>14</v>
      </c>
      <c r="B29" s="349" t="s">
        <v>763</v>
      </c>
      <c r="C29" s="608">
        <f>SUM(C30:C31)</f>
        <v>-16149894.810000002</v>
      </c>
      <c r="D29" s="608">
        <f>SUM(D30:D31)</f>
        <v>-189947.44840000011</v>
      </c>
      <c r="E29" s="609">
        <f t="shared" si="0"/>
        <v>-16339842.258400002</v>
      </c>
      <c r="F29" s="608">
        <f>SUM(F30:F31)</f>
        <v>-15960296.349999998</v>
      </c>
      <c r="G29" s="608">
        <f>SUM(G30:G31)</f>
        <v>-140642.91679999977</v>
      </c>
      <c r="H29" s="609">
        <f t="shared" si="1"/>
        <v>-16100939.266799998</v>
      </c>
      <c r="J29" s="602"/>
      <c r="K29" s="602"/>
      <c r="L29" s="602"/>
      <c r="M29" s="602"/>
      <c r="N29" s="602"/>
      <c r="O29" s="602"/>
    </row>
    <row r="30" spans="1:15">
      <c r="A30" s="365">
        <v>14.1</v>
      </c>
      <c r="B30" s="327" t="s">
        <v>764</v>
      </c>
      <c r="C30" s="608">
        <v>-13186249.400000002</v>
      </c>
      <c r="D30" s="608">
        <v>0</v>
      </c>
      <c r="E30" s="609">
        <f t="shared" si="0"/>
        <v>-13186249.400000002</v>
      </c>
      <c r="F30" s="608">
        <v>-12740881.139999997</v>
      </c>
      <c r="G30" s="608">
        <v>0</v>
      </c>
      <c r="H30" s="609">
        <f t="shared" si="1"/>
        <v>-12740881.139999997</v>
      </c>
      <c r="J30" s="602"/>
      <c r="K30" s="602"/>
      <c r="L30" s="602"/>
      <c r="M30" s="602"/>
      <c r="N30" s="602"/>
      <c r="O30" s="602"/>
    </row>
    <row r="31" spans="1:15">
      <c r="A31" s="365">
        <v>14.2</v>
      </c>
      <c r="B31" s="327" t="s">
        <v>765</v>
      </c>
      <c r="C31" s="608">
        <v>-2963645.4100000006</v>
      </c>
      <c r="D31" s="608">
        <v>-189947.44840000011</v>
      </c>
      <c r="E31" s="609">
        <f t="shared" si="0"/>
        <v>-3153592.8584000007</v>
      </c>
      <c r="F31" s="608">
        <v>-3219415.2100000009</v>
      </c>
      <c r="G31" s="608">
        <v>-140642.91679999977</v>
      </c>
      <c r="H31" s="609">
        <f t="shared" si="1"/>
        <v>-3360058.1268000007</v>
      </c>
      <c r="J31" s="602"/>
      <c r="K31" s="602"/>
      <c r="L31" s="602"/>
      <c r="M31" s="602"/>
      <c r="N31" s="602"/>
      <c r="O31" s="602"/>
    </row>
    <row r="32" spans="1:15">
      <c r="A32" s="365">
        <v>15</v>
      </c>
      <c r="B32" s="350" t="s">
        <v>766</v>
      </c>
      <c r="C32" s="608">
        <v>-4101137.9077230655</v>
      </c>
      <c r="D32" s="608">
        <v>0</v>
      </c>
      <c r="E32" s="609">
        <f t="shared" si="0"/>
        <v>-4101137.9077230655</v>
      </c>
      <c r="F32" s="608">
        <v>-2923376.206100476</v>
      </c>
      <c r="G32" s="608">
        <v>0</v>
      </c>
      <c r="H32" s="609">
        <f t="shared" si="1"/>
        <v>-2923376.206100476</v>
      </c>
      <c r="J32" s="602"/>
      <c r="K32" s="602"/>
      <c r="L32" s="602"/>
      <c r="M32" s="602"/>
      <c r="N32" s="602"/>
      <c r="O32" s="602"/>
    </row>
    <row r="33" spans="1:15" ht="22.5" customHeight="1">
      <c r="A33" s="365">
        <v>16</v>
      </c>
      <c r="B33" s="323" t="s">
        <v>767</v>
      </c>
      <c r="C33" s="608">
        <v>-912929.45394834422</v>
      </c>
      <c r="D33" s="608">
        <v>356726.00780072738</v>
      </c>
      <c r="E33" s="609">
        <f t="shared" si="0"/>
        <v>-556203.44614761684</v>
      </c>
      <c r="F33" s="608">
        <v>330504.23279452795</v>
      </c>
      <c r="G33" s="608">
        <v>-666987.69167100638</v>
      </c>
      <c r="H33" s="609">
        <f t="shared" si="1"/>
        <v>-336483.45887647843</v>
      </c>
      <c r="J33" s="602"/>
      <c r="K33" s="602"/>
      <c r="L33" s="602"/>
      <c r="M33" s="602"/>
      <c r="N33" s="602"/>
      <c r="O33" s="602"/>
    </row>
    <row r="34" spans="1:15">
      <c r="A34" s="365">
        <v>17</v>
      </c>
      <c r="B34" s="345" t="s">
        <v>768</v>
      </c>
      <c r="C34" s="608">
        <f>SUM(C35:C36)</f>
        <v>117106.77987513678</v>
      </c>
      <c r="D34" s="608">
        <f>SUM(D35:D36)</f>
        <v>-369629.23275404295</v>
      </c>
      <c r="E34" s="609">
        <f t="shared" si="0"/>
        <v>-252522.45287890616</v>
      </c>
      <c r="F34" s="608">
        <f>SUM(F35:F36)</f>
        <v>216429.26016091779</v>
      </c>
      <c r="G34" s="608">
        <f>SUM(G35:G36)</f>
        <v>-25833.566439362352</v>
      </c>
      <c r="H34" s="609">
        <f t="shared" si="1"/>
        <v>190595.69372155544</v>
      </c>
      <c r="J34" s="602"/>
      <c r="K34" s="602"/>
      <c r="L34" s="602"/>
      <c r="M34" s="602"/>
      <c r="N34" s="602"/>
      <c r="O34" s="602"/>
    </row>
    <row r="35" spans="1:15">
      <c r="A35" s="365">
        <v>17.100000000000001</v>
      </c>
      <c r="B35" s="351" t="s">
        <v>769</v>
      </c>
      <c r="C35" s="608">
        <v>107138.61613668896</v>
      </c>
      <c r="D35" s="608">
        <v>-375267.37489539792</v>
      </c>
      <c r="E35" s="609">
        <f t="shared" si="0"/>
        <v>-268128.75875870895</v>
      </c>
      <c r="F35" s="608">
        <v>232303.43131898731</v>
      </c>
      <c r="G35" s="608">
        <v>-32501.791343162105</v>
      </c>
      <c r="H35" s="609">
        <f t="shared" si="1"/>
        <v>199801.63997582521</v>
      </c>
      <c r="J35" s="602"/>
      <c r="K35" s="602"/>
      <c r="L35" s="602"/>
      <c r="M35" s="602"/>
      <c r="N35" s="602"/>
      <c r="O35" s="602"/>
    </row>
    <row r="36" spans="1:15">
      <c r="A36" s="365">
        <v>17.2</v>
      </c>
      <c r="B36" s="327" t="s">
        <v>770</v>
      </c>
      <c r="C36" s="608">
        <v>9968.1637384478236</v>
      </c>
      <c r="D36" s="608">
        <v>5638.142141354987</v>
      </c>
      <c r="E36" s="609">
        <f t="shared" si="0"/>
        <v>15606.305879802811</v>
      </c>
      <c r="F36" s="608">
        <v>-15874.171158069512</v>
      </c>
      <c r="G36" s="608">
        <v>6668.2249037997535</v>
      </c>
      <c r="H36" s="609">
        <f t="shared" si="1"/>
        <v>-9205.9462542697584</v>
      </c>
      <c r="J36" s="602"/>
      <c r="K36" s="602"/>
      <c r="L36" s="602"/>
      <c r="M36" s="602"/>
      <c r="N36" s="602"/>
      <c r="O36" s="602"/>
    </row>
    <row r="37" spans="1:15" ht="41.65" customHeight="1">
      <c r="A37" s="365">
        <v>18</v>
      </c>
      <c r="B37" s="352" t="s">
        <v>771</v>
      </c>
      <c r="C37" s="608">
        <f>SUM(C38:C39)</f>
        <v>-11702407.833637116</v>
      </c>
      <c r="D37" s="608">
        <f>SUM(D38:D39)</f>
        <v>10086438.70279021</v>
      </c>
      <c r="E37" s="609">
        <f t="shared" si="0"/>
        <v>-1615969.1308469065</v>
      </c>
      <c r="F37" s="608">
        <f>SUM(F38:F39)</f>
        <v>-5108816.0718561141</v>
      </c>
      <c r="G37" s="608">
        <f>SUM(G38:G39)</f>
        <v>9761901.826096721</v>
      </c>
      <c r="H37" s="609">
        <f t="shared" si="1"/>
        <v>4653085.7542406069</v>
      </c>
      <c r="J37" s="602"/>
      <c r="K37" s="602"/>
      <c r="L37" s="602"/>
      <c r="M37" s="602"/>
      <c r="N37" s="602"/>
      <c r="O37" s="602"/>
    </row>
    <row r="38" spans="1:15" ht="21">
      <c r="A38" s="365">
        <v>18.100000000000001</v>
      </c>
      <c r="B38" s="335" t="s">
        <v>772</v>
      </c>
      <c r="C38" s="608">
        <v>0</v>
      </c>
      <c r="D38" s="608">
        <v>0</v>
      </c>
      <c r="E38" s="609">
        <f t="shared" si="0"/>
        <v>0</v>
      </c>
      <c r="F38" s="608">
        <v>0</v>
      </c>
      <c r="G38" s="608">
        <v>0</v>
      </c>
      <c r="H38" s="609">
        <f t="shared" si="1"/>
        <v>0</v>
      </c>
      <c r="J38" s="602"/>
      <c r="K38" s="602"/>
      <c r="L38" s="602"/>
      <c r="M38" s="602"/>
      <c r="N38" s="602"/>
      <c r="O38" s="602"/>
    </row>
    <row r="39" spans="1:15">
      <c r="A39" s="365">
        <v>18.2</v>
      </c>
      <c r="B39" s="335" t="s">
        <v>773</v>
      </c>
      <c r="C39" s="608">
        <v>-11702407.833637116</v>
      </c>
      <c r="D39" s="608">
        <v>10086438.70279021</v>
      </c>
      <c r="E39" s="609">
        <f t="shared" si="0"/>
        <v>-1615969.1308469065</v>
      </c>
      <c r="F39" s="608">
        <v>-5108816.0718561141</v>
      </c>
      <c r="G39" s="608">
        <v>9761901.826096721</v>
      </c>
      <c r="H39" s="609">
        <f t="shared" si="1"/>
        <v>4653085.7542406069</v>
      </c>
      <c r="J39" s="602"/>
      <c r="K39" s="602"/>
      <c r="L39" s="602"/>
      <c r="M39" s="602"/>
      <c r="N39" s="602"/>
      <c r="O39" s="602"/>
    </row>
    <row r="40" spans="1:15" ht="24.4" customHeight="1">
      <c r="A40" s="365">
        <v>19</v>
      </c>
      <c r="B40" s="352" t="s">
        <v>774</v>
      </c>
      <c r="C40" s="608">
        <v>0</v>
      </c>
      <c r="D40" s="608">
        <v>0</v>
      </c>
      <c r="E40" s="609">
        <f t="shared" si="0"/>
        <v>0</v>
      </c>
      <c r="F40" s="608">
        <v>0</v>
      </c>
      <c r="G40" s="608">
        <v>0</v>
      </c>
      <c r="H40" s="609">
        <f t="shared" si="1"/>
        <v>0</v>
      </c>
      <c r="J40" s="602"/>
      <c r="K40" s="602"/>
      <c r="L40" s="602"/>
      <c r="M40" s="602"/>
      <c r="N40" s="602"/>
      <c r="O40" s="602"/>
    </row>
    <row r="41" spans="1:15" ht="25.15" customHeight="1">
      <c r="A41" s="365">
        <v>20</v>
      </c>
      <c r="B41" s="352" t="s">
        <v>775</v>
      </c>
      <c r="C41" s="608">
        <v>-1169904.1800000011</v>
      </c>
      <c r="D41" s="608">
        <v>0</v>
      </c>
      <c r="E41" s="609">
        <f t="shared" si="0"/>
        <v>-1169904.1800000011</v>
      </c>
      <c r="F41" s="608">
        <v>-7.6834112405776978E-9</v>
      </c>
      <c r="G41" s="608">
        <v>0</v>
      </c>
      <c r="H41" s="609">
        <f t="shared" si="1"/>
        <v>-7.6834112405776978E-9</v>
      </c>
      <c r="J41" s="602"/>
      <c r="K41" s="602"/>
      <c r="L41" s="602"/>
      <c r="M41" s="602"/>
      <c r="N41" s="602"/>
      <c r="O41" s="602"/>
    </row>
    <row r="42" spans="1:15" ht="33" customHeight="1">
      <c r="A42" s="365">
        <v>21</v>
      </c>
      <c r="B42" s="353" t="s">
        <v>776</v>
      </c>
      <c r="C42" s="608">
        <v>0</v>
      </c>
      <c r="D42" s="608">
        <v>0</v>
      </c>
      <c r="E42" s="609">
        <f t="shared" si="0"/>
        <v>0</v>
      </c>
      <c r="F42" s="608">
        <v>0</v>
      </c>
      <c r="G42" s="608">
        <v>0</v>
      </c>
      <c r="H42" s="609">
        <f t="shared" si="1"/>
        <v>0</v>
      </c>
      <c r="J42" s="602"/>
      <c r="K42" s="602"/>
      <c r="L42" s="602"/>
      <c r="M42" s="602"/>
      <c r="N42" s="602"/>
      <c r="O42" s="602"/>
    </row>
    <row r="43" spans="1:15">
      <c r="A43" s="365">
        <v>22</v>
      </c>
      <c r="B43" s="354" t="s">
        <v>777</v>
      </c>
      <c r="C43" s="608">
        <f>SUM(C6,C13,C18,C19,C20,C21,C22,C23,C24,C25,C26,C27,C28,C29,C32,C33,C34,C37,C40,C41,C42)</f>
        <v>-2199953.7449814077</v>
      </c>
      <c r="D43" s="608">
        <f>SUM(D6,D13,D18,D19,D20,D21,D22,D23,D24,D25,D26,D27,D28,D29,D32,D33,D34,D37,D40,D41,D42)</f>
        <v>23082741.369573273</v>
      </c>
      <c r="E43" s="609">
        <f t="shared" si="0"/>
        <v>20882787.624591865</v>
      </c>
      <c r="F43" s="608">
        <f>SUM(F6,F13,F18,F19,F20,F21,F22,F23,F24,F25,F26,F27,F28,F29,F32,F33,F34,F37,F40,F41,F42)</f>
        <v>-1000797.9234066948</v>
      </c>
      <c r="G43" s="608">
        <f>SUM(G6,G13,G18,G19,G20,G21,G22,G23,G24,G25,G26,G27,G28,G29,G32,G33,G34,G37,G40,G41,G42)</f>
        <v>25485299.563848846</v>
      </c>
      <c r="H43" s="609">
        <f t="shared" si="1"/>
        <v>24484501.640442152</v>
      </c>
      <c r="J43" s="602"/>
      <c r="K43" s="602"/>
      <c r="L43" s="602"/>
      <c r="M43" s="602"/>
      <c r="N43" s="602"/>
      <c r="O43" s="602"/>
    </row>
    <row r="44" spans="1:15">
      <c r="A44" s="365">
        <v>23</v>
      </c>
      <c r="B44" s="354" t="s">
        <v>778</v>
      </c>
      <c r="C44" s="608">
        <v>-4541739.8431295874</v>
      </c>
      <c r="D44" s="608">
        <v>0</v>
      </c>
      <c r="E44" s="609">
        <f t="shared" si="0"/>
        <v>-4541739.8431295874</v>
      </c>
      <c r="F44" s="608">
        <v>-4985665.5868511861</v>
      </c>
      <c r="G44" s="608">
        <v>0</v>
      </c>
      <c r="H44" s="609">
        <f t="shared" si="1"/>
        <v>-4985665.5868511861</v>
      </c>
      <c r="J44" s="602"/>
      <c r="K44" s="602"/>
      <c r="L44" s="602"/>
      <c r="M44" s="602"/>
      <c r="N44" s="602"/>
      <c r="O44" s="602"/>
    </row>
    <row r="45" spans="1:15">
      <c r="A45" s="365">
        <v>24</v>
      </c>
      <c r="B45" s="354" t="s">
        <v>779</v>
      </c>
      <c r="C45" s="612">
        <f>C43+C44</f>
        <v>-6741693.5881109945</v>
      </c>
      <c r="D45" s="612">
        <f>D43+D44</f>
        <v>23082741.369573273</v>
      </c>
      <c r="E45" s="609">
        <f t="shared" si="0"/>
        <v>16341047.781462278</v>
      </c>
      <c r="F45" s="612">
        <f>F43+F44</f>
        <v>-5986463.5102578811</v>
      </c>
      <c r="G45" s="612">
        <f>G43+G44</f>
        <v>25485299.563848846</v>
      </c>
      <c r="H45" s="609">
        <f>F45+G45</f>
        <v>19498836.053590965</v>
      </c>
      <c r="J45" s="602"/>
      <c r="K45" s="602"/>
      <c r="L45" s="602"/>
      <c r="M45" s="602"/>
      <c r="N45" s="602"/>
      <c r="O45" s="602"/>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O47"/>
  <sheetViews>
    <sheetView showGridLines="0" zoomScale="80" zoomScaleNormal="80" workbookViewId="0"/>
  </sheetViews>
  <sheetFormatPr defaultRowHeight="15"/>
  <cols>
    <col min="1" max="1" width="8.7109375" style="363"/>
    <col min="2" max="2" width="87.7109375" bestFit="1" customWidth="1"/>
    <col min="3" max="3" width="13.42578125" style="602" bestFit="1" customWidth="1"/>
    <col min="4" max="5" width="15.140625" style="602" bestFit="1" customWidth="1"/>
    <col min="6" max="6" width="13.42578125" style="602" bestFit="1" customWidth="1"/>
    <col min="7" max="8" width="15.140625" style="602"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46203</v>
      </c>
      <c r="C2" s="600"/>
      <c r="D2" s="601"/>
      <c r="E2" s="601"/>
      <c r="F2" s="601"/>
      <c r="G2" s="601"/>
    </row>
    <row r="3" spans="1:15" ht="15.75">
      <c r="A3" s="13"/>
      <c r="B3" s="12"/>
      <c r="C3" s="600"/>
      <c r="D3" s="601"/>
      <c r="E3" s="601"/>
      <c r="F3" s="601"/>
      <c r="G3" s="601"/>
    </row>
    <row r="4" spans="1:15" ht="15.75">
      <c r="A4" s="736" t="s">
        <v>25</v>
      </c>
      <c r="B4" s="745" t="s">
        <v>140</v>
      </c>
      <c r="C4" s="746" t="s">
        <v>103</v>
      </c>
      <c r="D4" s="746"/>
      <c r="E4" s="746"/>
      <c r="F4" s="746" t="s">
        <v>104</v>
      </c>
      <c r="G4" s="746"/>
      <c r="H4" s="747"/>
    </row>
    <row r="5" spans="1:15">
      <c r="A5" s="736"/>
      <c r="B5" s="745"/>
      <c r="C5" s="611" t="s">
        <v>26</v>
      </c>
      <c r="D5" s="611" t="s">
        <v>77</v>
      </c>
      <c r="E5" s="611" t="s">
        <v>66</v>
      </c>
      <c r="F5" s="611" t="s">
        <v>26</v>
      </c>
      <c r="G5" s="611" t="s">
        <v>77</v>
      </c>
      <c r="H5" s="614" t="s">
        <v>66</v>
      </c>
    </row>
    <row r="6" spans="1:15" ht="15.75">
      <c r="A6" s="355">
        <v>1</v>
      </c>
      <c r="B6" s="356" t="s">
        <v>780</v>
      </c>
      <c r="C6" s="613">
        <v>0</v>
      </c>
      <c r="D6" s="613">
        <v>0</v>
      </c>
      <c r="E6" s="615">
        <f t="shared" ref="E6:E43" si="0">C6+D6</f>
        <v>0</v>
      </c>
      <c r="F6" s="613">
        <v>0</v>
      </c>
      <c r="G6" s="613">
        <v>0</v>
      </c>
      <c r="H6" s="616">
        <f t="shared" ref="H6:H43" si="1">F6+G6</f>
        <v>0</v>
      </c>
      <c r="J6" s="599"/>
      <c r="K6" s="599"/>
      <c r="L6" s="599"/>
      <c r="M6" s="599"/>
      <c r="N6" s="599"/>
      <c r="O6" s="599"/>
    </row>
    <row r="7" spans="1:15" ht="15.75">
      <c r="A7" s="355">
        <v>2</v>
      </c>
      <c r="B7" s="356" t="s">
        <v>166</v>
      </c>
      <c r="C7" s="613">
        <v>0</v>
      </c>
      <c r="D7" s="613">
        <v>0</v>
      </c>
      <c r="E7" s="615">
        <f t="shared" si="0"/>
        <v>0</v>
      </c>
      <c r="F7" s="613">
        <v>0</v>
      </c>
      <c r="G7" s="613">
        <v>0</v>
      </c>
      <c r="H7" s="616">
        <f t="shared" si="1"/>
        <v>0</v>
      </c>
      <c r="J7" s="599"/>
      <c r="K7" s="599"/>
      <c r="L7" s="599"/>
      <c r="M7" s="599"/>
      <c r="N7" s="599"/>
      <c r="O7" s="599"/>
    </row>
    <row r="8" spans="1:15" ht="15.75">
      <c r="A8" s="355">
        <v>3</v>
      </c>
      <c r="B8" s="356" t="s">
        <v>168</v>
      </c>
      <c r="C8" s="613">
        <f>C9+C10</f>
        <v>216592112.0606305</v>
      </c>
      <c r="D8" s="613">
        <f>D9+D10</f>
        <v>467127264.66195548</v>
      </c>
      <c r="E8" s="615">
        <f t="shared" si="0"/>
        <v>683719376.72258592</v>
      </c>
      <c r="F8" s="613">
        <f>F9+F10</f>
        <v>134566947.35642892</v>
      </c>
      <c r="G8" s="613">
        <f>G9+G10</f>
        <v>424924349.0815931</v>
      </c>
      <c r="H8" s="616">
        <f t="shared" si="1"/>
        <v>559491296.43802202</v>
      </c>
      <c r="J8" s="599"/>
      <c r="K8" s="599"/>
      <c r="L8" s="599"/>
      <c r="M8" s="599"/>
      <c r="N8" s="599"/>
      <c r="O8" s="599"/>
    </row>
    <row r="9" spans="1:15" ht="15.75">
      <c r="A9" s="355">
        <v>3.1</v>
      </c>
      <c r="B9" s="357" t="s">
        <v>781</v>
      </c>
      <c r="C9" s="613">
        <v>3620492.267</v>
      </c>
      <c r="D9" s="613">
        <v>300006.01</v>
      </c>
      <c r="E9" s="615">
        <f t="shared" si="0"/>
        <v>3920498.2769999998</v>
      </c>
      <c r="F9" s="613">
        <v>4387315.0650000004</v>
      </c>
      <c r="G9" s="613">
        <v>308886.09000000003</v>
      </c>
      <c r="H9" s="616">
        <f t="shared" si="1"/>
        <v>4696201.1550000003</v>
      </c>
      <c r="J9" s="599"/>
      <c r="K9" s="599"/>
      <c r="L9" s="599"/>
      <c r="M9" s="599"/>
      <c r="N9" s="599"/>
      <c r="O9" s="599"/>
    </row>
    <row r="10" spans="1:15" ht="15.75">
      <c r="A10" s="355">
        <v>3.2</v>
      </c>
      <c r="B10" s="357" t="s">
        <v>782</v>
      </c>
      <c r="C10" s="613">
        <v>212971619.79363051</v>
      </c>
      <c r="D10" s="613">
        <v>466827258.65195549</v>
      </c>
      <c r="E10" s="615">
        <f t="shared" si="0"/>
        <v>679798878.44558597</v>
      </c>
      <c r="F10" s="613">
        <v>130179632.29142892</v>
      </c>
      <c r="G10" s="613">
        <v>424615462.99159312</v>
      </c>
      <c r="H10" s="616">
        <f t="shared" si="1"/>
        <v>554795095.28302205</v>
      </c>
      <c r="J10" s="599"/>
      <c r="K10" s="599"/>
      <c r="L10" s="599"/>
      <c r="M10" s="599"/>
      <c r="N10" s="599"/>
      <c r="O10" s="599"/>
    </row>
    <row r="11" spans="1:15" ht="25.5">
      <c r="A11" s="355">
        <v>4</v>
      </c>
      <c r="B11" s="356" t="s">
        <v>167</v>
      </c>
      <c r="C11" s="613">
        <f>C12+C13</f>
        <v>0</v>
      </c>
      <c r="D11" s="613">
        <f>D12+D13</f>
        <v>0</v>
      </c>
      <c r="E11" s="615">
        <f t="shared" si="0"/>
        <v>0</v>
      </c>
      <c r="F11" s="613">
        <f>F12+F13</f>
        <v>0</v>
      </c>
      <c r="G11" s="613">
        <f>G12+G13</f>
        <v>0</v>
      </c>
      <c r="H11" s="616">
        <f t="shared" si="1"/>
        <v>0</v>
      </c>
      <c r="J11" s="599"/>
      <c r="K11" s="599"/>
      <c r="L11" s="599"/>
      <c r="M11" s="599"/>
      <c r="N11" s="599"/>
      <c r="O11" s="599"/>
    </row>
    <row r="12" spans="1:15" ht="15.75">
      <c r="A12" s="355">
        <v>4.0999999999999996</v>
      </c>
      <c r="B12" s="357" t="s">
        <v>783</v>
      </c>
      <c r="C12" s="613">
        <v>0</v>
      </c>
      <c r="D12" s="613">
        <v>0</v>
      </c>
      <c r="E12" s="615">
        <f t="shared" si="0"/>
        <v>0</v>
      </c>
      <c r="F12" s="613">
        <v>0</v>
      </c>
      <c r="G12" s="613">
        <v>0</v>
      </c>
      <c r="H12" s="616">
        <f t="shared" si="1"/>
        <v>0</v>
      </c>
      <c r="J12" s="599"/>
      <c r="K12" s="599"/>
      <c r="L12" s="599"/>
      <c r="M12" s="599"/>
      <c r="N12" s="599"/>
      <c r="O12" s="599"/>
    </row>
    <row r="13" spans="1:15" ht="15.75">
      <c r="A13" s="355">
        <v>4.2</v>
      </c>
      <c r="B13" s="357" t="s">
        <v>784</v>
      </c>
      <c r="C13" s="613">
        <v>0</v>
      </c>
      <c r="D13" s="613">
        <v>0</v>
      </c>
      <c r="E13" s="615">
        <f t="shared" si="0"/>
        <v>0</v>
      </c>
      <c r="F13" s="613">
        <v>0</v>
      </c>
      <c r="G13" s="613">
        <v>0</v>
      </c>
      <c r="H13" s="616">
        <f t="shared" si="1"/>
        <v>0</v>
      </c>
      <c r="J13" s="599"/>
      <c r="K13" s="599"/>
      <c r="L13" s="599"/>
      <c r="M13" s="599"/>
      <c r="N13" s="599"/>
      <c r="O13" s="599"/>
    </row>
    <row r="14" spans="1:15" ht="15.75">
      <c r="A14" s="355">
        <v>5</v>
      </c>
      <c r="B14" s="358" t="s">
        <v>785</v>
      </c>
      <c r="C14" s="613">
        <f>C15+C16+C17+C23+C24+C25+C26</f>
        <v>305093877.26989383</v>
      </c>
      <c r="D14" s="613">
        <f>D15+D16+D17+D23+D24+D25+D26</f>
        <v>2469195119.8632512</v>
      </c>
      <c r="E14" s="615">
        <f t="shared" si="0"/>
        <v>2774288997.1331449</v>
      </c>
      <c r="F14" s="613">
        <f>F15+F16+F17+F23+F24+F25+F26</f>
        <v>346167061.18935168</v>
      </c>
      <c r="G14" s="613">
        <f>G15+G16+G17+G23+G24+G25+G26</f>
        <v>2952523789.9883842</v>
      </c>
      <c r="H14" s="616">
        <f t="shared" si="1"/>
        <v>3298690851.1777358</v>
      </c>
      <c r="J14" s="599"/>
      <c r="K14" s="599"/>
      <c r="L14" s="599"/>
      <c r="M14" s="599"/>
      <c r="N14" s="599"/>
      <c r="O14" s="599"/>
    </row>
    <row r="15" spans="1:15" ht="15.75">
      <c r="A15" s="355">
        <v>5.0999999999999996</v>
      </c>
      <c r="B15" s="359" t="s">
        <v>786</v>
      </c>
      <c r="C15" s="613">
        <v>52714876.224085607</v>
      </c>
      <c r="D15" s="613">
        <v>54396097.202481002</v>
      </c>
      <c r="E15" s="615">
        <f t="shared" si="0"/>
        <v>107110973.4265666</v>
      </c>
      <c r="F15" s="613">
        <v>47461964.460000001</v>
      </c>
      <c r="G15" s="613">
        <v>30259237.089816004</v>
      </c>
      <c r="H15" s="616">
        <f t="shared" si="1"/>
        <v>77721201.549816012</v>
      </c>
      <c r="J15" s="599"/>
      <c r="K15" s="599"/>
      <c r="L15" s="599"/>
      <c r="M15" s="599"/>
      <c r="N15" s="599"/>
      <c r="O15" s="599"/>
    </row>
    <row r="16" spans="1:15" ht="15.75">
      <c r="A16" s="355">
        <v>5.2</v>
      </c>
      <c r="B16" s="359" t="s">
        <v>787</v>
      </c>
      <c r="C16" s="613">
        <v>0</v>
      </c>
      <c r="D16" s="613">
        <v>0</v>
      </c>
      <c r="E16" s="615">
        <f t="shared" si="0"/>
        <v>0</v>
      </c>
      <c r="F16" s="613">
        <v>0</v>
      </c>
      <c r="G16" s="613">
        <v>0</v>
      </c>
      <c r="H16" s="616">
        <f t="shared" si="1"/>
        <v>0</v>
      </c>
      <c r="J16" s="599"/>
      <c r="K16" s="599"/>
      <c r="L16" s="599"/>
      <c r="M16" s="599"/>
      <c r="N16" s="599"/>
      <c r="O16" s="599"/>
    </row>
    <row r="17" spans="1:15" ht="15.75">
      <c r="A17" s="355">
        <v>5.3</v>
      </c>
      <c r="B17" s="359" t="s">
        <v>788</v>
      </c>
      <c r="C17" s="613">
        <f>C18+C19+C20+C21+C22</f>
        <v>9891145.5999999996</v>
      </c>
      <c r="D17" s="613">
        <f>D18+D19+D20+D21+D22</f>
        <v>1803200047.3307204</v>
      </c>
      <c r="E17" s="615">
        <f t="shared" si="0"/>
        <v>1813091192.9307203</v>
      </c>
      <c r="F17" s="613">
        <v>5985943.1999999993</v>
      </c>
      <c r="G17" s="613">
        <v>1880384215.4807286</v>
      </c>
      <c r="H17" s="616">
        <f t="shared" si="1"/>
        <v>1886370158.6807287</v>
      </c>
      <c r="J17" s="599"/>
      <c r="K17" s="599"/>
      <c r="L17" s="599"/>
      <c r="M17" s="599"/>
      <c r="N17" s="599"/>
      <c r="O17" s="599"/>
    </row>
    <row r="18" spans="1:15" ht="15.75">
      <c r="A18" s="355" t="s">
        <v>169</v>
      </c>
      <c r="B18" s="360" t="s">
        <v>789</v>
      </c>
      <c r="C18" s="613">
        <v>0</v>
      </c>
      <c r="D18" s="613">
        <v>236475732.72735354</v>
      </c>
      <c r="E18" s="615">
        <f t="shared" si="0"/>
        <v>236475732.72735354</v>
      </c>
      <c r="F18" s="613">
        <v>138903.59999999998</v>
      </c>
      <c r="G18" s="613">
        <v>206977581.18895555</v>
      </c>
      <c r="H18" s="616">
        <f t="shared" si="1"/>
        <v>207116484.78895554</v>
      </c>
      <c r="J18" s="599"/>
      <c r="K18" s="599"/>
      <c r="L18" s="599"/>
      <c r="M18" s="599"/>
      <c r="N18" s="599"/>
      <c r="O18" s="599"/>
    </row>
    <row r="19" spans="1:15" ht="15.75">
      <c r="A19" s="355" t="s">
        <v>170</v>
      </c>
      <c r="B19" s="361" t="s">
        <v>790</v>
      </c>
      <c r="C19" s="613">
        <v>4848820.8</v>
      </c>
      <c r="D19" s="613">
        <v>764458668.18915701</v>
      </c>
      <c r="E19" s="615">
        <f t="shared" si="0"/>
        <v>769307488.98915696</v>
      </c>
      <c r="F19" s="613">
        <v>803461.99999999988</v>
      </c>
      <c r="G19" s="613">
        <v>855311332.7311039</v>
      </c>
      <c r="H19" s="616">
        <f t="shared" si="1"/>
        <v>856114794.7311039</v>
      </c>
      <c r="J19" s="599"/>
      <c r="K19" s="599"/>
      <c r="L19" s="599"/>
      <c r="M19" s="599"/>
      <c r="N19" s="599"/>
      <c r="O19" s="599"/>
    </row>
    <row r="20" spans="1:15" ht="15.75">
      <c r="A20" s="355" t="s">
        <v>171</v>
      </c>
      <c r="B20" s="361" t="s">
        <v>791</v>
      </c>
      <c r="C20" s="613">
        <v>0</v>
      </c>
      <c r="D20" s="613">
        <v>147051591.5484429</v>
      </c>
      <c r="E20" s="615">
        <f t="shared" si="0"/>
        <v>147051591.5484429</v>
      </c>
      <c r="F20" s="613">
        <v>0</v>
      </c>
      <c r="G20" s="613">
        <v>161112524.65904525</v>
      </c>
      <c r="H20" s="616">
        <f t="shared" si="1"/>
        <v>161112524.65904525</v>
      </c>
      <c r="J20" s="599"/>
      <c r="K20" s="599"/>
      <c r="L20" s="599"/>
      <c r="M20" s="599"/>
      <c r="N20" s="599"/>
      <c r="O20" s="599"/>
    </row>
    <row r="21" spans="1:15" ht="15.75">
      <c r="A21" s="355" t="s">
        <v>172</v>
      </c>
      <c r="B21" s="361" t="s">
        <v>792</v>
      </c>
      <c r="C21" s="613">
        <v>5042324.8</v>
      </c>
      <c r="D21" s="613">
        <v>611595936.53214109</v>
      </c>
      <c r="E21" s="615">
        <f t="shared" si="0"/>
        <v>616638261.33214104</v>
      </c>
      <c r="F21" s="613">
        <v>5043577.5999999996</v>
      </c>
      <c r="G21" s="613">
        <v>615679499.87286067</v>
      </c>
      <c r="H21" s="616">
        <f t="shared" si="1"/>
        <v>620723077.47286069</v>
      </c>
      <c r="J21" s="599"/>
      <c r="K21" s="599"/>
      <c r="L21" s="599"/>
      <c r="M21" s="599"/>
      <c r="N21" s="599"/>
      <c r="O21" s="599"/>
    </row>
    <row r="22" spans="1:15" ht="15.75">
      <c r="A22" s="355" t="s">
        <v>173</v>
      </c>
      <c r="B22" s="361" t="s">
        <v>510</v>
      </c>
      <c r="C22" s="613">
        <v>0</v>
      </c>
      <c r="D22" s="613">
        <v>43618118.333625883</v>
      </c>
      <c r="E22" s="615">
        <f t="shared" si="0"/>
        <v>43618118.333625883</v>
      </c>
      <c r="F22" s="613">
        <v>0</v>
      </c>
      <c r="G22" s="613">
        <v>41303277.028763361</v>
      </c>
      <c r="H22" s="616">
        <f t="shared" si="1"/>
        <v>41303277.028763361</v>
      </c>
      <c r="J22" s="599"/>
      <c r="K22" s="599"/>
      <c r="L22" s="599"/>
      <c r="M22" s="599"/>
      <c r="N22" s="599"/>
      <c r="O22" s="599"/>
    </row>
    <row r="23" spans="1:15" ht="15.75">
      <c r="A23" s="355">
        <v>5.4</v>
      </c>
      <c r="B23" s="359" t="s">
        <v>793</v>
      </c>
      <c r="C23" s="613">
        <v>171073289.44580823</v>
      </c>
      <c r="D23" s="613">
        <v>450568472.58714998</v>
      </c>
      <c r="E23" s="615">
        <f t="shared" si="0"/>
        <v>621641762.03295827</v>
      </c>
      <c r="F23" s="613">
        <v>218504587.52935165</v>
      </c>
      <c r="G23" s="613">
        <v>373118073.34639931</v>
      </c>
      <c r="H23" s="616">
        <f t="shared" si="1"/>
        <v>591622660.87575102</v>
      </c>
      <c r="J23" s="599"/>
      <c r="K23" s="599"/>
      <c r="L23" s="599"/>
      <c r="M23" s="599"/>
      <c r="N23" s="599"/>
      <c r="O23" s="599"/>
    </row>
    <row r="24" spans="1:15" ht="15.75">
      <c r="A24" s="355">
        <v>5.5</v>
      </c>
      <c r="B24" s="359" t="s">
        <v>794</v>
      </c>
      <c r="C24" s="613">
        <v>19126543</v>
      </c>
      <c r="D24" s="613">
        <v>137912720.7906</v>
      </c>
      <c r="E24" s="615">
        <f t="shared" si="0"/>
        <v>157039263.7906</v>
      </c>
      <c r="F24" s="613">
        <v>19126543</v>
      </c>
      <c r="G24" s="613">
        <v>630960899.46384001</v>
      </c>
      <c r="H24" s="616">
        <f t="shared" si="1"/>
        <v>650087442.46384001</v>
      </c>
      <c r="J24" s="599"/>
      <c r="K24" s="599"/>
      <c r="L24" s="599"/>
      <c r="M24" s="599"/>
      <c r="N24" s="599"/>
      <c r="O24" s="599"/>
    </row>
    <row r="25" spans="1:15" ht="15.75">
      <c r="A25" s="355">
        <v>5.6</v>
      </c>
      <c r="B25" s="359" t="s">
        <v>795</v>
      </c>
      <c r="C25" s="613">
        <v>0</v>
      </c>
      <c r="D25" s="613">
        <v>3967950.0000000005</v>
      </c>
      <c r="E25" s="615">
        <f t="shared" si="0"/>
        <v>3967950.0000000005</v>
      </c>
      <c r="F25" s="613">
        <v>0</v>
      </c>
      <c r="G25" s="613">
        <v>4085399.9999999995</v>
      </c>
      <c r="H25" s="616">
        <f t="shared" si="1"/>
        <v>4085399.9999999995</v>
      </c>
      <c r="J25" s="599"/>
      <c r="K25" s="599"/>
      <c r="L25" s="599"/>
      <c r="M25" s="599"/>
      <c r="N25" s="599"/>
      <c r="O25" s="599"/>
    </row>
    <row r="26" spans="1:15" ht="15.75">
      <c r="A26" s="355">
        <v>5.7</v>
      </c>
      <c r="B26" s="359" t="s">
        <v>510</v>
      </c>
      <c r="C26" s="613">
        <v>52288023</v>
      </c>
      <c r="D26" s="613">
        <v>19149831.952300012</v>
      </c>
      <c r="E26" s="615">
        <f t="shared" si="0"/>
        <v>71437854.952300012</v>
      </c>
      <c r="F26" s="613">
        <v>55088023</v>
      </c>
      <c r="G26" s="613">
        <v>33715964.607599974</v>
      </c>
      <c r="H26" s="616">
        <f t="shared" si="1"/>
        <v>88803987.607599974</v>
      </c>
      <c r="J26" s="599"/>
      <c r="K26" s="599"/>
      <c r="L26" s="599"/>
      <c r="M26" s="599"/>
      <c r="N26" s="599"/>
      <c r="O26" s="599"/>
    </row>
    <row r="27" spans="1:15" ht="15.75">
      <c r="A27" s="355">
        <v>6</v>
      </c>
      <c r="B27" s="358" t="s">
        <v>796</v>
      </c>
      <c r="C27" s="613">
        <v>19146618.770000003</v>
      </c>
      <c r="D27" s="613">
        <v>24245395.654328004</v>
      </c>
      <c r="E27" s="615">
        <f t="shared" si="0"/>
        <v>43392014.424328007</v>
      </c>
      <c r="F27" s="613">
        <v>17891576.160000004</v>
      </c>
      <c r="G27" s="613">
        <v>21128879.126841996</v>
      </c>
      <c r="H27" s="616">
        <f t="shared" si="1"/>
        <v>39020455.286842003</v>
      </c>
      <c r="J27" s="599"/>
      <c r="K27" s="599"/>
      <c r="L27" s="599"/>
      <c r="M27" s="599"/>
      <c r="N27" s="599"/>
      <c r="O27" s="599"/>
    </row>
    <row r="28" spans="1:15" ht="15.75">
      <c r="A28" s="355">
        <v>7</v>
      </c>
      <c r="B28" s="358" t="s">
        <v>797</v>
      </c>
      <c r="C28" s="613">
        <v>52871835.210000001</v>
      </c>
      <c r="D28" s="613">
        <v>118496403.19</v>
      </c>
      <c r="E28" s="615">
        <f t="shared" si="0"/>
        <v>171368238.40000001</v>
      </c>
      <c r="F28" s="613">
        <v>60444715.280000001</v>
      </c>
      <c r="G28" s="613">
        <v>105130008.61999999</v>
      </c>
      <c r="H28" s="616">
        <f t="shared" si="1"/>
        <v>165574723.89999998</v>
      </c>
      <c r="J28" s="599"/>
      <c r="K28" s="599"/>
      <c r="L28" s="599"/>
      <c r="M28" s="599"/>
      <c r="N28" s="599"/>
      <c r="O28" s="599"/>
    </row>
    <row r="29" spans="1:15" ht="15.75">
      <c r="A29" s="355">
        <v>8</v>
      </c>
      <c r="B29" s="358" t="s">
        <v>798</v>
      </c>
      <c r="C29" s="613">
        <v>0</v>
      </c>
      <c r="D29" s="613">
        <v>5730846.1799999997</v>
      </c>
      <c r="E29" s="615">
        <f t="shared" si="0"/>
        <v>5730846.1799999997</v>
      </c>
      <c r="F29" s="613">
        <v>0</v>
      </c>
      <c r="G29" s="613">
        <v>0</v>
      </c>
      <c r="H29" s="616">
        <f t="shared" si="1"/>
        <v>0</v>
      </c>
      <c r="J29" s="599"/>
      <c r="K29" s="599"/>
      <c r="L29" s="599"/>
      <c r="M29" s="599"/>
      <c r="N29" s="599"/>
      <c r="O29" s="599"/>
    </row>
    <row r="30" spans="1:15" ht="15.75">
      <c r="A30" s="355">
        <v>9</v>
      </c>
      <c r="B30" s="356" t="s">
        <v>174</v>
      </c>
      <c r="C30" s="613">
        <f>C31+C32+C33+C34+C35+C36+C37</f>
        <v>0</v>
      </c>
      <c r="D30" s="613">
        <f>D31+D32+D33+D34+D35+D36+D37</f>
        <v>0</v>
      </c>
      <c r="E30" s="615">
        <f t="shared" si="0"/>
        <v>0</v>
      </c>
      <c r="F30" s="613">
        <f>F31+F32+F33+F34+F35+F36+F37</f>
        <v>0</v>
      </c>
      <c r="G30" s="613">
        <f>G31+G32+G33+G34+G35+G36+G37</f>
        <v>0</v>
      </c>
      <c r="H30" s="616">
        <f t="shared" si="1"/>
        <v>0</v>
      </c>
      <c r="J30" s="599"/>
      <c r="K30" s="599"/>
      <c r="L30" s="599"/>
      <c r="M30" s="599"/>
      <c r="N30" s="599"/>
      <c r="O30" s="599"/>
    </row>
    <row r="31" spans="1:15" ht="25.5">
      <c r="A31" s="355">
        <v>9.1</v>
      </c>
      <c r="B31" s="357" t="s">
        <v>799</v>
      </c>
      <c r="C31" s="613">
        <v>0</v>
      </c>
      <c r="D31" s="613">
        <v>0</v>
      </c>
      <c r="E31" s="615">
        <f t="shared" si="0"/>
        <v>0</v>
      </c>
      <c r="F31" s="613">
        <v>0</v>
      </c>
      <c r="G31" s="613">
        <v>0</v>
      </c>
      <c r="H31" s="616">
        <f t="shared" si="1"/>
        <v>0</v>
      </c>
      <c r="J31" s="599"/>
      <c r="K31" s="599"/>
      <c r="L31" s="599"/>
      <c r="M31" s="599"/>
      <c r="N31" s="599"/>
      <c r="O31" s="599"/>
    </row>
    <row r="32" spans="1:15" ht="25.5">
      <c r="A32" s="355">
        <v>9.1999999999999993</v>
      </c>
      <c r="B32" s="357" t="s">
        <v>800</v>
      </c>
      <c r="C32" s="613">
        <v>0</v>
      </c>
      <c r="D32" s="613">
        <v>0</v>
      </c>
      <c r="E32" s="615">
        <f t="shared" si="0"/>
        <v>0</v>
      </c>
      <c r="F32" s="613">
        <v>0</v>
      </c>
      <c r="G32" s="613">
        <v>0</v>
      </c>
      <c r="H32" s="616">
        <f t="shared" si="1"/>
        <v>0</v>
      </c>
      <c r="J32" s="599"/>
      <c r="K32" s="599"/>
      <c r="L32" s="599"/>
      <c r="M32" s="599"/>
      <c r="N32" s="599"/>
      <c r="O32" s="599"/>
    </row>
    <row r="33" spans="1:15" ht="25.5">
      <c r="A33" s="355">
        <v>9.3000000000000007</v>
      </c>
      <c r="B33" s="357" t="s">
        <v>801</v>
      </c>
      <c r="C33" s="613">
        <v>0</v>
      </c>
      <c r="D33" s="613">
        <v>0</v>
      </c>
      <c r="E33" s="615">
        <f t="shared" si="0"/>
        <v>0</v>
      </c>
      <c r="F33" s="613">
        <v>0</v>
      </c>
      <c r="G33" s="613">
        <v>0</v>
      </c>
      <c r="H33" s="616">
        <f t="shared" si="1"/>
        <v>0</v>
      </c>
      <c r="J33" s="599"/>
      <c r="K33" s="599"/>
      <c r="L33" s="599"/>
      <c r="M33" s="599"/>
      <c r="N33" s="599"/>
      <c r="O33" s="599"/>
    </row>
    <row r="34" spans="1:15" ht="15.75">
      <c r="A34" s="355">
        <v>9.4</v>
      </c>
      <c r="B34" s="357" t="s">
        <v>802</v>
      </c>
      <c r="C34" s="613">
        <v>0</v>
      </c>
      <c r="D34" s="613">
        <v>0</v>
      </c>
      <c r="E34" s="615">
        <f t="shared" si="0"/>
        <v>0</v>
      </c>
      <c r="F34" s="613">
        <v>0</v>
      </c>
      <c r="G34" s="613">
        <v>0</v>
      </c>
      <c r="H34" s="616">
        <f t="shared" si="1"/>
        <v>0</v>
      </c>
      <c r="J34" s="599"/>
      <c r="K34" s="599"/>
      <c r="L34" s="599"/>
      <c r="M34" s="599"/>
      <c r="N34" s="599"/>
      <c r="O34" s="599"/>
    </row>
    <row r="35" spans="1:15" ht="15.75">
      <c r="A35" s="355">
        <v>9.5</v>
      </c>
      <c r="B35" s="357" t="s">
        <v>803</v>
      </c>
      <c r="C35" s="613">
        <v>0</v>
      </c>
      <c r="D35" s="613">
        <v>0</v>
      </c>
      <c r="E35" s="615">
        <f t="shared" si="0"/>
        <v>0</v>
      </c>
      <c r="F35" s="613">
        <v>0</v>
      </c>
      <c r="G35" s="613">
        <v>0</v>
      </c>
      <c r="H35" s="616">
        <f t="shared" si="1"/>
        <v>0</v>
      </c>
      <c r="J35" s="599"/>
      <c r="K35" s="599"/>
      <c r="L35" s="599"/>
      <c r="M35" s="599"/>
      <c r="N35" s="599"/>
      <c r="O35" s="599"/>
    </row>
    <row r="36" spans="1:15" ht="25.5">
      <c r="A36" s="355">
        <v>9.6</v>
      </c>
      <c r="B36" s="357" t="s">
        <v>804</v>
      </c>
      <c r="C36" s="613">
        <v>0</v>
      </c>
      <c r="D36" s="613">
        <v>0</v>
      </c>
      <c r="E36" s="615">
        <f t="shared" si="0"/>
        <v>0</v>
      </c>
      <c r="F36" s="613">
        <v>0</v>
      </c>
      <c r="G36" s="613">
        <v>0</v>
      </c>
      <c r="H36" s="616">
        <f t="shared" si="1"/>
        <v>0</v>
      </c>
      <c r="J36" s="599"/>
      <c r="K36" s="599"/>
      <c r="L36" s="599"/>
      <c r="M36" s="599"/>
      <c r="N36" s="599"/>
      <c r="O36" s="599"/>
    </row>
    <row r="37" spans="1:15" ht="25.5">
      <c r="A37" s="355">
        <v>9.6999999999999993</v>
      </c>
      <c r="B37" s="357" t="s">
        <v>805</v>
      </c>
      <c r="C37" s="613">
        <v>0</v>
      </c>
      <c r="D37" s="613">
        <v>0</v>
      </c>
      <c r="E37" s="615">
        <f t="shared" si="0"/>
        <v>0</v>
      </c>
      <c r="F37" s="613">
        <v>0</v>
      </c>
      <c r="G37" s="613">
        <v>0</v>
      </c>
      <c r="H37" s="616">
        <f t="shared" si="1"/>
        <v>0</v>
      </c>
      <c r="J37" s="599"/>
      <c r="K37" s="599"/>
      <c r="L37" s="599"/>
      <c r="M37" s="599"/>
      <c r="N37" s="599"/>
      <c r="O37" s="599"/>
    </row>
    <row r="38" spans="1:15" ht="15.75">
      <c r="A38" s="355">
        <v>10</v>
      </c>
      <c r="B38" s="358" t="s">
        <v>806</v>
      </c>
      <c r="C38" s="617">
        <f>C41+C42</f>
        <v>47046956.299431756</v>
      </c>
      <c r="D38" s="617">
        <f>D41+D42</f>
        <v>76001269.671253994</v>
      </c>
      <c r="E38" s="615">
        <f t="shared" si="0"/>
        <v>123048225.97068575</v>
      </c>
      <c r="F38" s="617">
        <f>F41+F42</f>
        <v>29544417.669431753</v>
      </c>
      <c r="G38" s="617">
        <f>G41+G42</f>
        <v>81771268.414534003</v>
      </c>
      <c r="H38" s="616">
        <f t="shared" si="1"/>
        <v>111315686.08396575</v>
      </c>
      <c r="J38" s="599"/>
      <c r="K38" s="599"/>
      <c r="L38" s="599"/>
      <c r="M38" s="599"/>
      <c r="N38" s="599"/>
      <c r="O38" s="599"/>
    </row>
    <row r="39" spans="1:15" ht="15.75">
      <c r="A39" s="355">
        <v>10.1</v>
      </c>
      <c r="B39" s="357" t="s">
        <v>807</v>
      </c>
      <c r="C39" s="613">
        <v>0</v>
      </c>
      <c r="D39" s="613">
        <v>0</v>
      </c>
      <c r="E39" s="615">
        <f t="shared" si="0"/>
        <v>0</v>
      </c>
      <c r="F39" s="613">
        <v>0</v>
      </c>
      <c r="G39" s="613">
        <v>248186.38100000002</v>
      </c>
      <c r="H39" s="616">
        <f t="shared" si="1"/>
        <v>248186.38100000002</v>
      </c>
      <c r="J39" s="599"/>
      <c r="K39" s="599"/>
      <c r="L39" s="599"/>
      <c r="M39" s="599"/>
      <c r="N39" s="599"/>
      <c r="O39" s="599"/>
    </row>
    <row r="40" spans="1:15" ht="25.5">
      <c r="A40" s="355">
        <v>10.199999999999999</v>
      </c>
      <c r="B40" s="357" t="s">
        <v>808</v>
      </c>
      <c r="C40" s="613">
        <v>0</v>
      </c>
      <c r="D40" s="613">
        <v>0</v>
      </c>
      <c r="E40" s="615">
        <f t="shared" si="0"/>
        <v>0</v>
      </c>
      <c r="F40" s="613">
        <v>0</v>
      </c>
      <c r="G40" s="613">
        <v>0</v>
      </c>
      <c r="H40" s="616">
        <f t="shared" si="1"/>
        <v>0</v>
      </c>
      <c r="J40" s="599"/>
      <c r="K40" s="599"/>
      <c r="L40" s="599"/>
      <c r="M40" s="599"/>
      <c r="N40" s="599"/>
      <c r="O40" s="599"/>
    </row>
    <row r="41" spans="1:15" ht="25.5">
      <c r="A41" s="355">
        <v>10.3</v>
      </c>
      <c r="B41" s="357" t="s">
        <v>809</v>
      </c>
      <c r="C41" s="613">
        <v>23654260.230000004</v>
      </c>
      <c r="D41" s="613">
        <v>31894168.825399995</v>
      </c>
      <c r="E41" s="615">
        <f t="shared" si="0"/>
        <v>55548429.055399999</v>
      </c>
      <c r="F41" s="613">
        <v>12623203.960000003</v>
      </c>
      <c r="G41" s="613">
        <v>33105845.374499988</v>
      </c>
      <c r="H41" s="616">
        <f t="shared" si="1"/>
        <v>45729049.334499992</v>
      </c>
      <c r="J41" s="599"/>
      <c r="K41" s="599"/>
      <c r="L41" s="599"/>
      <c r="M41" s="599"/>
      <c r="N41" s="599"/>
      <c r="O41" s="599"/>
    </row>
    <row r="42" spans="1:15" ht="25.5">
      <c r="A42" s="355">
        <v>10.4</v>
      </c>
      <c r="B42" s="357" t="s">
        <v>810</v>
      </c>
      <c r="C42" s="613">
        <v>23392696.069431752</v>
      </c>
      <c r="D42" s="613">
        <v>44107100.845853999</v>
      </c>
      <c r="E42" s="615">
        <f t="shared" si="0"/>
        <v>67499796.915285751</v>
      </c>
      <c r="F42" s="613">
        <v>16921213.709431753</v>
      </c>
      <c r="G42" s="613">
        <v>48665423.040034011</v>
      </c>
      <c r="H42" s="616">
        <f t="shared" si="1"/>
        <v>65586636.749465764</v>
      </c>
      <c r="J42" s="599"/>
      <c r="K42" s="599"/>
      <c r="L42" s="599"/>
      <c r="M42" s="599"/>
      <c r="N42" s="599"/>
      <c r="O42" s="599"/>
    </row>
    <row r="43" spans="1:15" ht="15.75">
      <c r="A43" s="355">
        <v>11</v>
      </c>
      <c r="B43" s="362" t="s">
        <v>175</v>
      </c>
      <c r="C43" s="613">
        <v>0</v>
      </c>
      <c r="D43" s="613">
        <v>0</v>
      </c>
      <c r="E43" s="615">
        <f t="shared" si="0"/>
        <v>0</v>
      </c>
      <c r="F43" s="613">
        <v>0</v>
      </c>
      <c r="G43" s="613">
        <v>0</v>
      </c>
      <c r="H43" s="616">
        <f t="shared" si="1"/>
        <v>0</v>
      </c>
      <c r="J43" s="599"/>
      <c r="K43" s="599"/>
      <c r="L43" s="599"/>
      <c r="M43" s="599"/>
      <c r="N43" s="599"/>
      <c r="O43" s="599"/>
    </row>
    <row r="44" spans="1:15" ht="15.75">
      <c r="C44" s="618"/>
      <c r="D44" s="618"/>
      <c r="E44" s="618"/>
      <c r="F44" s="618"/>
      <c r="G44" s="618"/>
      <c r="H44" s="618"/>
    </row>
    <row r="45" spans="1:15" ht="15.75">
      <c r="C45" s="618"/>
      <c r="D45" s="618"/>
      <c r="E45" s="618"/>
      <c r="F45" s="618"/>
      <c r="G45" s="618"/>
      <c r="H45" s="618"/>
    </row>
    <row r="46" spans="1:15" ht="15.75">
      <c r="C46" s="618"/>
      <c r="D46" s="618"/>
      <c r="E46" s="618"/>
      <c r="F46" s="618"/>
      <c r="G46" s="618"/>
      <c r="H46" s="618"/>
    </row>
    <row r="47" spans="1:15" ht="15.75">
      <c r="C47" s="618"/>
      <c r="D47" s="618"/>
      <c r="E47" s="618"/>
      <c r="F47" s="618"/>
      <c r="G47" s="618"/>
      <c r="H47" s="61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M18"/>
  <sheetViews>
    <sheetView showGridLines="0" zoomScale="80" zoomScaleNormal="80" workbookViewId="0">
      <pane xSplit="1" ySplit="4" topLeftCell="B5" activePane="bottomRight" state="frozen"/>
      <selection activeCell="L18" sqref="L18"/>
      <selection pane="topRight" activeCell="L18" sqref="L18"/>
      <selection pane="bottomLeft" activeCell="L18" sqref="L18"/>
      <selection pane="bottomRight"/>
    </sheetView>
  </sheetViews>
  <sheetFormatPr defaultColWidth="9.28515625" defaultRowHeight="12.75"/>
  <cols>
    <col min="1" max="1" width="9.5703125" style="1" bestFit="1" customWidth="1"/>
    <col min="2" max="2" width="93.5703125" style="1" customWidth="1"/>
    <col min="3" max="4" width="14.85546875" style="1" bestFit="1" customWidth="1"/>
    <col min="5" max="7" width="14.85546875" style="8" bestFit="1" customWidth="1"/>
    <col min="8" max="11" width="9.7109375" style="8" customWidth="1"/>
    <col min="12" max="12" width="14.42578125" style="8" bestFit="1" customWidth="1"/>
    <col min="13" max="13" width="14.85546875" style="8" bestFit="1" customWidth="1"/>
    <col min="14" max="16384" width="9.28515625" style="8"/>
  </cols>
  <sheetData>
    <row r="1" spans="1:13" ht="15">
      <c r="A1" s="13" t="s">
        <v>97</v>
      </c>
      <c r="B1" s="12" t="str">
        <f>Info!C2</f>
        <v>სს "ბანკი ქართუ"</v>
      </c>
      <c r="C1" s="12"/>
    </row>
    <row r="2" spans="1:13" ht="15">
      <c r="A2" s="13" t="s">
        <v>98</v>
      </c>
      <c r="B2" s="593">
        <f>'1. key ratios'!B2</f>
        <v>46203</v>
      </c>
      <c r="C2" s="12"/>
    </row>
    <row r="3" spans="1:13" ht="15">
      <c r="A3" s="13"/>
      <c r="B3" s="12"/>
      <c r="C3" s="12"/>
    </row>
    <row r="4" spans="1:13" ht="15" customHeight="1" thickBot="1">
      <c r="A4" s="117" t="s">
        <v>242</v>
      </c>
      <c r="B4" s="118" t="s">
        <v>96</v>
      </c>
      <c r="C4" s="119" t="s">
        <v>76</v>
      </c>
    </row>
    <row r="5" spans="1:13" ht="15" customHeight="1">
      <c r="A5" s="115" t="s">
        <v>25</v>
      </c>
      <c r="B5" s="116"/>
      <c r="C5" s="236" t="str">
        <f>INT((MONTH($B$2))/3)&amp;"Q"&amp;"-"&amp;YEAR($B$2)</f>
        <v>2Q-2026</v>
      </c>
      <c r="D5" s="236" t="str">
        <f>IF(INT(MONTH($B$2))=3, "4"&amp;"Q"&amp;"-"&amp;YEAR($B$2)-1, IF(INT(MONTH($B$2))=6, "1"&amp;"Q"&amp;"-"&amp;YEAR($B$2), IF(INT(MONTH($B$2))=9, "2"&amp;"Q"&amp;"-"&amp;YEAR($B$2),IF(INT(MONTH($B$2))=12, "3"&amp;"Q"&amp;"-"&amp;YEAR($B$2), 0))))</f>
        <v>1Q-2026</v>
      </c>
      <c r="E5" s="236" t="str">
        <f>IF(INT(MONTH($B$2))=3, "3"&amp;"Q"&amp;"-"&amp;YEAR($B$2)-1, IF(INT(MONTH($B$2))=6, "4"&amp;"Q"&amp;"-"&amp;YEAR($B$2)-1, IF(INT(MONTH($B$2))=9, "1"&amp;"Q"&amp;"-"&amp;YEAR($B$2),IF(INT(MONTH($B$2))=12, "2"&amp;"Q"&amp;"-"&amp;YEAR($B$2), 0))))</f>
        <v>4Q-2025</v>
      </c>
      <c r="F5" s="236" t="str">
        <f>IF(INT(MONTH($B$2))=3, "2"&amp;"Q"&amp;"-"&amp;YEAR($B$2)-1, IF(INT(MONTH($B$2))=6, "3"&amp;"Q"&amp;"-"&amp;YEAR($B$2)-1, IF(INT(MONTH($B$2))=9, "4"&amp;"Q"&amp;"-"&amp;YEAR($B$2)-1,IF(INT(MONTH($B$2))=12, "1"&amp;"Q"&amp;"-"&amp;YEAR($B$2), 0))))</f>
        <v>3Q-2025</v>
      </c>
      <c r="G5" s="236" t="str">
        <f>IF(INT(MONTH($B$2))=3, "1"&amp;"Q"&amp;"-"&amp;YEAR($B$2)-1, IF(INT(MONTH($B$2))=6, "2"&amp;"Q"&amp;"-"&amp;YEAR($B$2)-1, IF(INT(MONTH($B$2))=9, "3"&amp;"Q"&amp;"-"&amp;YEAR($B$2)-1,IF(INT(MONTH($B$2))=12, "4"&amp;"Q"&amp;"-"&amp;YEAR($B$2)-1, 0))))</f>
        <v>2Q-2025</v>
      </c>
    </row>
    <row r="6" spans="1:13" ht="15" customHeight="1">
      <c r="A6" s="203">
        <v>1</v>
      </c>
      <c r="B6" s="227" t="s">
        <v>101</v>
      </c>
      <c r="C6" s="620">
        <f>C7+C9+C10</f>
        <v>1666617515.2695148</v>
      </c>
      <c r="D6" s="621">
        <f>D7+D9+D10</f>
        <v>1656973107.3861859</v>
      </c>
      <c r="E6" s="622">
        <f t="shared" ref="E6:G6" si="0">E7+E9+E10</f>
        <v>1700891732.9755478</v>
      </c>
      <c r="F6" s="620">
        <f t="shared" si="0"/>
        <v>1583275996.1325924</v>
      </c>
      <c r="G6" s="623">
        <f t="shared" si="0"/>
        <v>1546178675.9586229</v>
      </c>
      <c r="I6" s="619"/>
      <c r="J6" s="619"/>
      <c r="K6" s="619"/>
      <c r="L6" s="619"/>
      <c r="M6" s="619"/>
    </row>
    <row r="7" spans="1:13" ht="15" customHeight="1">
      <c r="A7" s="203">
        <v>1.1000000000000001</v>
      </c>
      <c r="B7" s="204" t="s">
        <v>995</v>
      </c>
      <c r="C7" s="624">
        <v>1553709355.6798348</v>
      </c>
      <c r="D7" s="625">
        <v>1550520591.9364321</v>
      </c>
      <c r="E7" s="624">
        <v>1595673814.2037368</v>
      </c>
      <c r="F7" s="624">
        <v>1474941429.1883688</v>
      </c>
      <c r="G7" s="626">
        <v>1439561050.5917597</v>
      </c>
      <c r="I7" s="619"/>
      <c r="J7" s="619"/>
      <c r="K7" s="619"/>
      <c r="L7" s="619"/>
      <c r="M7" s="619"/>
    </row>
    <row r="8" spans="1:13" ht="25.5">
      <c r="A8" s="203" t="s">
        <v>146</v>
      </c>
      <c r="B8" s="205" t="s">
        <v>239</v>
      </c>
      <c r="C8" s="624">
        <v>23818250</v>
      </c>
      <c r="D8" s="625">
        <v>23818250</v>
      </c>
      <c r="E8" s="624">
        <v>23818250</v>
      </c>
      <c r="F8" s="624">
        <v>24430750</v>
      </c>
      <c r="G8" s="626">
        <v>24430750</v>
      </c>
      <c r="I8" s="619"/>
      <c r="J8" s="619"/>
      <c r="K8" s="619"/>
      <c r="L8" s="619"/>
      <c r="M8" s="619"/>
    </row>
    <row r="9" spans="1:13" ht="15" customHeight="1">
      <c r="A9" s="203">
        <v>1.2</v>
      </c>
      <c r="B9" s="204" t="s">
        <v>21</v>
      </c>
      <c r="C9" s="624">
        <v>112908159.58968005</v>
      </c>
      <c r="D9" s="625">
        <v>106452515.44975366</v>
      </c>
      <c r="E9" s="624">
        <v>105217918.77181093</v>
      </c>
      <c r="F9" s="624">
        <v>108334566.94422363</v>
      </c>
      <c r="G9" s="626">
        <v>106617625.36686328</v>
      </c>
      <c r="I9" s="619"/>
      <c r="J9" s="619"/>
      <c r="K9" s="619"/>
      <c r="L9" s="619"/>
      <c r="M9" s="619"/>
    </row>
    <row r="10" spans="1:13" ht="15" customHeight="1">
      <c r="A10" s="203">
        <v>1.3</v>
      </c>
      <c r="B10" s="228" t="s">
        <v>73</v>
      </c>
      <c r="C10" s="624">
        <v>0</v>
      </c>
      <c r="D10" s="625">
        <v>0</v>
      </c>
      <c r="E10" s="624">
        <v>0</v>
      </c>
      <c r="F10" s="624">
        <v>0</v>
      </c>
      <c r="G10" s="626">
        <v>0</v>
      </c>
      <c r="I10" s="619"/>
      <c r="J10" s="619"/>
      <c r="K10" s="619"/>
      <c r="L10" s="619"/>
      <c r="M10" s="619"/>
    </row>
    <row r="11" spans="1:13" ht="15" customHeight="1">
      <c r="A11" s="203">
        <v>2</v>
      </c>
      <c r="B11" s="227" t="s">
        <v>102</v>
      </c>
      <c r="C11" s="624">
        <v>11987418.331157332</v>
      </c>
      <c r="D11" s="625">
        <v>14034817.810596703</v>
      </c>
      <c r="E11" s="624">
        <v>11887321.144393528</v>
      </c>
      <c r="F11" s="624">
        <v>13442670.803512827</v>
      </c>
      <c r="G11" s="626">
        <v>9408596.4323391113</v>
      </c>
      <c r="I11" s="619"/>
      <c r="J11" s="619"/>
      <c r="K11" s="619"/>
      <c r="L11" s="619"/>
      <c r="M11" s="619"/>
    </row>
    <row r="12" spans="1:13" ht="15" customHeight="1">
      <c r="A12" s="203">
        <v>3</v>
      </c>
      <c r="B12" s="227" t="s">
        <v>100</v>
      </c>
      <c r="C12" s="624">
        <v>182185714.47006807</v>
      </c>
      <c r="D12" s="625">
        <v>182185714.47006807</v>
      </c>
      <c r="E12" s="624">
        <v>182185714.47006807</v>
      </c>
      <c r="F12" s="624">
        <v>158841985.05413476</v>
      </c>
      <c r="G12" s="626">
        <v>158841985.05413476</v>
      </c>
      <c r="I12" s="619"/>
      <c r="J12" s="619"/>
      <c r="K12" s="619"/>
      <c r="L12" s="619"/>
      <c r="M12" s="619"/>
    </row>
    <row r="13" spans="1:13" ht="15" customHeight="1" thickBot="1">
      <c r="A13" s="63">
        <v>4</v>
      </c>
      <c r="B13" s="229" t="s">
        <v>147</v>
      </c>
      <c r="C13" s="627">
        <f>C6+C11+C12</f>
        <v>1860790648.0707402</v>
      </c>
      <c r="D13" s="628">
        <f>D6+D11+D12</f>
        <v>1853193639.6668506</v>
      </c>
      <c r="E13" s="629">
        <f t="shared" ref="E13:G13" si="1">E6+E11+E12</f>
        <v>1894964768.5900092</v>
      </c>
      <c r="F13" s="627">
        <f t="shared" si="1"/>
        <v>1755560651.9902401</v>
      </c>
      <c r="G13" s="630">
        <f t="shared" si="1"/>
        <v>1714429257.445097</v>
      </c>
      <c r="I13" s="619"/>
      <c r="J13" s="619"/>
      <c r="K13" s="619"/>
      <c r="L13" s="619"/>
      <c r="M13" s="619"/>
    </row>
    <row r="14" spans="1:13">
      <c r="B14" s="17"/>
    </row>
    <row r="15" spans="1:13">
      <c r="B15" s="17"/>
    </row>
    <row r="16" spans="1:13">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activeCell="B11" sqref="B11"/>
    </sheetView>
  </sheetViews>
  <sheetFormatPr defaultRowHeight="15"/>
  <cols>
    <col min="1" max="1" width="9.5703125" style="1" bestFit="1" customWidth="1"/>
    <col min="2" max="2" width="58.7109375" style="1" customWidth="1"/>
    <col min="3" max="3" width="99.5703125" style="1" customWidth="1"/>
  </cols>
  <sheetData>
    <row r="1" spans="1:8">
      <c r="A1" s="1" t="s">
        <v>97</v>
      </c>
      <c r="B1" s="1" t="str">
        <f>Info!C2</f>
        <v>სს "ბანკი ქართუ"</v>
      </c>
    </row>
    <row r="2" spans="1:8">
      <c r="A2" s="1" t="s">
        <v>98</v>
      </c>
      <c r="B2" s="593">
        <f>'1. key ratios'!B2</f>
        <v>46203</v>
      </c>
    </row>
    <row r="4" spans="1:8" ht="31.5" customHeight="1" thickBot="1">
      <c r="A4" s="131" t="s">
        <v>243</v>
      </c>
      <c r="B4" s="23" t="s">
        <v>80</v>
      </c>
      <c r="C4" s="9"/>
    </row>
    <row r="5" spans="1:8" ht="15.75">
      <c r="A5" s="7"/>
      <c r="B5" s="223" t="s">
        <v>81</v>
      </c>
      <c r="C5" s="234" t="s">
        <v>419</v>
      </c>
    </row>
    <row r="6" spans="1:8">
      <c r="A6" s="10">
        <v>1</v>
      </c>
      <c r="B6" s="24" t="s">
        <v>1006</v>
      </c>
      <c r="C6" s="230" t="s">
        <v>1007</v>
      </c>
    </row>
    <row r="7" spans="1:8">
      <c r="A7" s="10">
        <v>2</v>
      </c>
      <c r="B7" s="24" t="s">
        <v>1008</v>
      </c>
      <c r="C7" s="230" t="s">
        <v>1009</v>
      </c>
    </row>
    <row r="8" spans="1:8">
      <c r="A8" s="10">
        <v>3</v>
      </c>
      <c r="B8" s="24" t="s">
        <v>1010</v>
      </c>
      <c r="C8" s="230" t="s">
        <v>1011</v>
      </c>
    </row>
    <row r="9" spans="1:8">
      <c r="A9" s="10">
        <v>4</v>
      </c>
      <c r="B9" s="24" t="s">
        <v>1012</v>
      </c>
      <c r="C9" s="230" t="s">
        <v>1009</v>
      </c>
    </row>
    <row r="10" spans="1:8">
      <c r="A10" s="10">
        <v>5</v>
      </c>
      <c r="B10" s="24" t="s">
        <v>1013</v>
      </c>
      <c r="C10" s="230" t="s">
        <v>1011</v>
      </c>
    </row>
    <row r="11" spans="1:8">
      <c r="A11" s="10">
        <v>6</v>
      </c>
      <c r="B11" s="24"/>
      <c r="C11" s="230"/>
    </row>
    <row r="12" spans="1:8">
      <c r="A12" s="10">
        <v>7</v>
      </c>
      <c r="B12" s="24"/>
      <c r="C12" s="230"/>
      <c r="H12" s="2"/>
    </row>
    <row r="13" spans="1:8">
      <c r="A13" s="10">
        <v>8</v>
      </c>
      <c r="B13" s="24"/>
      <c r="C13" s="230"/>
    </row>
    <row r="14" spans="1:8">
      <c r="A14" s="10">
        <v>9</v>
      </c>
      <c r="B14" s="24"/>
      <c r="C14" s="230"/>
    </row>
    <row r="15" spans="1:8">
      <c r="A15" s="10">
        <v>10</v>
      </c>
      <c r="B15" s="24"/>
      <c r="C15" s="230"/>
    </row>
    <row r="16" spans="1:8">
      <c r="A16" s="10"/>
      <c r="B16" s="748"/>
      <c r="C16" s="749"/>
    </row>
    <row r="17" spans="1:3">
      <c r="A17" s="10"/>
      <c r="B17" s="224" t="s">
        <v>82</v>
      </c>
      <c r="C17" s="235" t="s">
        <v>420</v>
      </c>
    </row>
    <row r="18" spans="1:3" ht="15.75">
      <c r="A18" s="10">
        <v>1</v>
      </c>
      <c r="B18" s="20" t="s">
        <v>1014</v>
      </c>
      <c r="C18" s="232" t="s">
        <v>1015</v>
      </c>
    </row>
    <row r="19" spans="1:3" ht="15.75">
      <c r="A19" s="10">
        <v>2</v>
      </c>
      <c r="B19" s="20" t="s">
        <v>1016</v>
      </c>
      <c r="C19" s="232" t="s">
        <v>1017</v>
      </c>
    </row>
    <row r="20" spans="1:3" ht="15.75">
      <c r="A20" s="10">
        <v>3</v>
      </c>
      <c r="B20" s="20" t="s">
        <v>1018</v>
      </c>
      <c r="C20" s="232" t="s">
        <v>1019</v>
      </c>
    </row>
    <row r="21" spans="1:3" ht="15.75">
      <c r="A21" s="10">
        <v>4</v>
      </c>
      <c r="B21" s="20" t="s">
        <v>1020</v>
      </c>
      <c r="C21" s="232" t="s">
        <v>1021</v>
      </c>
    </row>
    <row r="22" spans="1:3" ht="15.75">
      <c r="A22" s="10">
        <v>5</v>
      </c>
      <c r="B22" s="20" t="s">
        <v>1022</v>
      </c>
      <c r="C22" s="232" t="s">
        <v>1023</v>
      </c>
    </row>
    <row r="23" spans="1:3" ht="15.75">
      <c r="A23" s="10">
        <v>6</v>
      </c>
      <c r="B23" s="20" t="s">
        <v>1024</v>
      </c>
      <c r="C23" s="232" t="s">
        <v>1025</v>
      </c>
    </row>
    <row r="24" spans="1:3" ht="15.75">
      <c r="A24" s="10">
        <v>7</v>
      </c>
      <c r="B24" s="20"/>
      <c r="C24" s="232"/>
    </row>
    <row r="25" spans="1:3" ht="15.75">
      <c r="A25" s="10">
        <v>8</v>
      </c>
      <c r="B25" s="20"/>
      <c r="C25" s="232"/>
    </row>
    <row r="26" spans="1:3" ht="15.75">
      <c r="A26" s="10">
        <v>9</v>
      </c>
      <c r="B26" s="20"/>
      <c r="C26" s="232"/>
    </row>
    <row r="27" spans="1:3" ht="15.75" customHeight="1">
      <c r="A27" s="10">
        <v>10</v>
      </c>
      <c r="B27" s="20"/>
      <c r="C27" s="233"/>
    </row>
    <row r="28" spans="1:3" ht="15.75" customHeight="1">
      <c r="A28" s="10"/>
      <c r="B28" s="20"/>
      <c r="C28" s="21"/>
    </row>
    <row r="29" spans="1:3" ht="30" customHeight="1">
      <c r="A29" s="10"/>
      <c r="B29" s="750" t="s">
        <v>83</v>
      </c>
      <c r="C29" s="751"/>
    </row>
    <row r="30" spans="1:3">
      <c r="A30" s="10">
        <v>1</v>
      </c>
      <c r="B30" s="24" t="s">
        <v>1026</v>
      </c>
      <c r="C30" s="631">
        <v>1</v>
      </c>
    </row>
    <row r="31" spans="1:3" ht="15.75" customHeight="1">
      <c r="A31" s="10"/>
      <c r="B31" s="24"/>
      <c r="C31" s="25"/>
    </row>
    <row r="32" spans="1:3" ht="29.25" customHeight="1">
      <c r="A32" s="10"/>
      <c r="B32" s="750" t="s">
        <v>163</v>
      </c>
      <c r="C32" s="751"/>
    </row>
    <row r="33" spans="1:3">
      <c r="A33" s="10">
        <v>1</v>
      </c>
      <c r="B33" s="24" t="s">
        <v>1027</v>
      </c>
      <c r="C33" s="632">
        <v>0.35</v>
      </c>
    </row>
    <row r="34" spans="1:3" ht="16.5" thickBot="1">
      <c r="A34" s="11"/>
      <c r="B34" s="26"/>
      <c r="C34" s="231"/>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I53"/>
  <sheetViews>
    <sheetView showGridLines="0" zoomScale="80" zoomScaleNormal="80" workbookViewId="0">
      <pane xSplit="1" ySplit="5" topLeftCell="B6" activePane="bottomRight" state="frozen"/>
      <selection activeCell="B2" sqref="B2"/>
      <selection pane="topRight" activeCell="B2" sqref="B2"/>
      <selection pane="bottomLeft" activeCell="B2" sqref="B2"/>
      <selection pane="bottomRight"/>
    </sheetView>
  </sheetViews>
  <sheetFormatPr defaultRowHeight="15"/>
  <cols>
    <col min="1" max="1" width="9.5703125" style="1" bestFit="1" customWidth="1"/>
    <col min="2" max="2" width="47.5703125" style="1" customWidth="1"/>
    <col min="3" max="3" width="28" style="1" customWidth="1"/>
    <col min="4" max="4" width="25.7109375" style="1" customWidth="1"/>
    <col min="5" max="5" width="18.7109375" style="1" customWidth="1"/>
    <col min="6" max="6" width="12" bestFit="1" customWidth="1"/>
    <col min="7" max="7" width="17" bestFit="1" customWidth="1"/>
  </cols>
  <sheetData>
    <row r="1" spans="1:9" ht="15.75">
      <c r="A1" s="13" t="s">
        <v>97</v>
      </c>
      <c r="B1" s="12" t="str">
        <f>Info!C2</f>
        <v>სს "ბანკი ქართუ"</v>
      </c>
    </row>
    <row r="2" spans="1:9" s="13" customFormat="1" ht="15.75" customHeight="1">
      <c r="A2" s="13" t="s">
        <v>98</v>
      </c>
      <c r="B2" s="593">
        <f>'1. key ratios'!B2</f>
        <v>46203</v>
      </c>
    </row>
    <row r="3" spans="1:9" s="13" customFormat="1" ht="15.75" customHeight="1"/>
    <row r="4" spans="1:9" s="13" customFormat="1" ht="15.75" customHeight="1" thickBot="1">
      <c r="A4" s="132" t="s">
        <v>244</v>
      </c>
      <c r="B4" s="133" t="s">
        <v>157</v>
      </c>
      <c r="C4" s="97"/>
      <c r="D4" s="97"/>
      <c r="E4" s="98" t="s">
        <v>76</v>
      </c>
    </row>
    <row r="5" spans="1:9" s="59" customFormat="1" ht="17.649999999999999" customHeight="1">
      <c r="A5" s="181"/>
      <c r="B5" s="182"/>
      <c r="C5" s="96" t="s">
        <v>0</v>
      </c>
      <c r="D5" s="96" t="s">
        <v>1</v>
      </c>
      <c r="E5" s="183" t="s">
        <v>2</v>
      </c>
    </row>
    <row r="6" spans="1:9" ht="14.65" customHeight="1">
      <c r="A6" s="184"/>
      <c r="B6" s="752" t="s">
        <v>133</v>
      </c>
      <c r="C6" s="752" t="s">
        <v>824</v>
      </c>
      <c r="D6" s="753" t="s">
        <v>132</v>
      </c>
      <c r="E6" s="754"/>
    </row>
    <row r="7" spans="1:9" ht="99.6" customHeight="1">
      <c r="A7" s="184"/>
      <c r="B7" s="752"/>
      <c r="C7" s="752"/>
      <c r="D7" s="179" t="s">
        <v>131</v>
      </c>
      <c r="E7" s="180" t="s">
        <v>341</v>
      </c>
    </row>
    <row r="8" spans="1:9" ht="22.5" customHeight="1">
      <c r="A8" s="365">
        <v>1</v>
      </c>
      <c r="B8" s="318" t="s">
        <v>811</v>
      </c>
      <c r="C8" s="635">
        <f>SUM(C9:C11)</f>
        <v>615691920.78769982</v>
      </c>
      <c r="D8" s="635">
        <f t="shared" ref="D8:E8" si="0">SUM(D9:D11)</f>
        <v>0</v>
      </c>
      <c r="E8" s="635">
        <f t="shared" si="0"/>
        <v>615691920.78769982</v>
      </c>
      <c r="G8" s="633"/>
      <c r="H8" s="633"/>
      <c r="I8" s="633"/>
    </row>
    <row r="9" spans="1:9">
      <c r="A9" s="365">
        <v>1.1000000000000001</v>
      </c>
      <c r="B9" s="319" t="s">
        <v>85</v>
      </c>
      <c r="C9" s="635">
        <v>50852616.654200003</v>
      </c>
      <c r="D9" s="635">
        <v>0</v>
      </c>
      <c r="E9" s="635">
        <v>50852616.654200003</v>
      </c>
      <c r="G9" s="633"/>
      <c r="H9" s="633"/>
      <c r="I9" s="633"/>
    </row>
    <row r="10" spans="1:9">
      <c r="A10" s="365">
        <v>1.2</v>
      </c>
      <c r="B10" s="319" t="s">
        <v>86</v>
      </c>
      <c r="C10" s="635">
        <v>205495531.61367998</v>
      </c>
      <c r="D10" s="635">
        <v>0</v>
      </c>
      <c r="E10" s="635">
        <v>205495531.61367998</v>
      </c>
      <c r="G10" s="633"/>
      <c r="H10" s="633"/>
      <c r="I10" s="633"/>
    </row>
    <row r="11" spans="1:9">
      <c r="A11" s="365">
        <v>1.3</v>
      </c>
      <c r="B11" s="319" t="s">
        <v>87</v>
      </c>
      <c r="C11" s="635">
        <v>359343772.51981986</v>
      </c>
      <c r="D11" s="635">
        <v>0</v>
      </c>
      <c r="E11" s="635">
        <v>359343772.51981986</v>
      </c>
      <c r="G11" s="633"/>
      <c r="H11" s="633"/>
      <c r="I11" s="633"/>
    </row>
    <row r="12" spans="1:9">
      <c r="A12" s="365">
        <v>2</v>
      </c>
      <c r="B12" s="320" t="s">
        <v>698</v>
      </c>
      <c r="C12" s="635">
        <v>0</v>
      </c>
      <c r="D12" s="635">
        <v>0</v>
      </c>
      <c r="E12" s="635">
        <v>0</v>
      </c>
      <c r="G12" s="633"/>
      <c r="H12" s="633"/>
      <c r="I12" s="633"/>
    </row>
    <row r="13" spans="1:9" ht="21">
      <c r="A13" s="365">
        <v>2.1</v>
      </c>
      <c r="B13" s="321" t="s">
        <v>699</v>
      </c>
      <c r="C13" s="635">
        <v>0</v>
      </c>
      <c r="D13" s="635">
        <v>0</v>
      </c>
      <c r="E13" s="635">
        <v>0</v>
      </c>
      <c r="G13" s="633"/>
      <c r="H13" s="633"/>
      <c r="I13" s="633"/>
    </row>
    <row r="14" spans="1:9" ht="34.15" customHeight="1">
      <c r="A14" s="365">
        <v>3</v>
      </c>
      <c r="B14" s="322" t="s">
        <v>700</v>
      </c>
      <c r="C14" s="635">
        <v>0</v>
      </c>
      <c r="D14" s="635">
        <v>0</v>
      </c>
      <c r="E14" s="635">
        <v>0</v>
      </c>
      <c r="G14" s="633"/>
      <c r="H14" s="633"/>
      <c r="I14" s="633"/>
    </row>
    <row r="15" spans="1:9" ht="32.65" customHeight="1">
      <c r="A15" s="365">
        <v>4</v>
      </c>
      <c r="B15" s="323" t="s">
        <v>701</v>
      </c>
      <c r="C15" s="635">
        <v>0</v>
      </c>
      <c r="D15" s="635">
        <v>0</v>
      </c>
      <c r="E15" s="635">
        <v>0</v>
      </c>
      <c r="G15" s="633"/>
      <c r="H15" s="633"/>
      <c r="I15" s="633"/>
    </row>
    <row r="16" spans="1:9" ht="22.9" customHeight="1">
      <c r="A16" s="365">
        <v>5</v>
      </c>
      <c r="B16" s="323" t="s">
        <v>702</v>
      </c>
      <c r="C16" s="635">
        <f>SUM(C17:C19)</f>
        <v>175637.53</v>
      </c>
      <c r="D16" s="635">
        <f t="shared" ref="D16:E16" si="1">SUM(D17:D19)</f>
        <v>0</v>
      </c>
      <c r="E16" s="635">
        <f t="shared" si="1"/>
        <v>175637.53</v>
      </c>
      <c r="G16" s="633"/>
      <c r="H16" s="633"/>
      <c r="I16" s="633"/>
    </row>
    <row r="17" spans="1:9">
      <c r="A17" s="365">
        <v>5.0999999999999996</v>
      </c>
      <c r="B17" s="324" t="s">
        <v>703</v>
      </c>
      <c r="C17" s="635">
        <v>175637.53</v>
      </c>
      <c r="D17" s="635">
        <v>0</v>
      </c>
      <c r="E17" s="635">
        <v>175637.53</v>
      </c>
      <c r="G17" s="633"/>
      <c r="H17" s="633"/>
      <c r="I17" s="633"/>
    </row>
    <row r="18" spans="1:9">
      <c r="A18" s="365">
        <v>5.2</v>
      </c>
      <c r="B18" s="324" t="s">
        <v>538</v>
      </c>
      <c r="C18" s="635">
        <v>0</v>
      </c>
      <c r="D18" s="635">
        <v>0</v>
      </c>
      <c r="E18" s="635">
        <v>0</v>
      </c>
      <c r="G18" s="633"/>
      <c r="H18" s="633"/>
      <c r="I18" s="633"/>
    </row>
    <row r="19" spans="1:9">
      <c r="A19" s="365">
        <v>5.3</v>
      </c>
      <c r="B19" s="324" t="s">
        <v>704</v>
      </c>
      <c r="C19" s="635">
        <v>0</v>
      </c>
      <c r="D19" s="635">
        <v>0</v>
      </c>
      <c r="E19" s="635">
        <v>0</v>
      </c>
      <c r="G19" s="633"/>
      <c r="H19" s="633"/>
      <c r="I19" s="633"/>
    </row>
    <row r="20" spans="1:9" ht="21">
      <c r="A20" s="365">
        <v>6</v>
      </c>
      <c r="B20" s="322" t="s">
        <v>705</v>
      </c>
      <c r="C20" s="635">
        <f>SUM(C21:C22)</f>
        <v>1243189625.7433209</v>
      </c>
      <c r="D20" s="635">
        <f t="shared" ref="D20:E20" si="2">SUM(D21:D22)</f>
        <v>0</v>
      </c>
      <c r="E20" s="635">
        <f t="shared" si="2"/>
        <v>1243189625.7433209</v>
      </c>
      <c r="G20" s="633"/>
      <c r="H20" s="633"/>
      <c r="I20" s="633"/>
    </row>
    <row r="21" spans="1:9">
      <c r="A21" s="365">
        <v>6.1</v>
      </c>
      <c r="B21" s="324" t="s">
        <v>538</v>
      </c>
      <c r="C21" s="635">
        <v>76138034.165068105</v>
      </c>
      <c r="D21" s="635">
        <v>0</v>
      </c>
      <c r="E21" s="635">
        <v>76138034.165068105</v>
      </c>
      <c r="G21" s="633"/>
      <c r="H21" s="633"/>
      <c r="I21" s="633"/>
    </row>
    <row r="22" spans="1:9">
      <c r="A22" s="365">
        <v>6.2</v>
      </c>
      <c r="B22" s="324" t="s">
        <v>704</v>
      </c>
      <c r="C22" s="635">
        <v>1167051591.5782528</v>
      </c>
      <c r="D22" s="635">
        <v>0</v>
      </c>
      <c r="E22" s="635">
        <v>1167051591.5782528</v>
      </c>
      <c r="G22" s="633"/>
      <c r="H22" s="633"/>
      <c r="I22" s="633"/>
    </row>
    <row r="23" spans="1:9" ht="21">
      <c r="A23" s="365">
        <v>7</v>
      </c>
      <c r="B23" s="325" t="s">
        <v>706</v>
      </c>
      <c r="C23" s="635">
        <v>9527300</v>
      </c>
      <c r="D23" s="635">
        <v>0</v>
      </c>
      <c r="E23" s="635">
        <v>9527300</v>
      </c>
      <c r="G23" s="633"/>
      <c r="H23" s="633"/>
      <c r="I23" s="633"/>
    </row>
    <row r="24" spans="1:9" ht="21">
      <c r="A24" s="365">
        <v>8</v>
      </c>
      <c r="B24" s="326" t="s">
        <v>707</v>
      </c>
      <c r="C24" s="635">
        <v>0</v>
      </c>
      <c r="D24" s="635">
        <v>0</v>
      </c>
      <c r="E24" s="635">
        <v>0</v>
      </c>
      <c r="G24" s="633"/>
      <c r="H24" s="633"/>
      <c r="I24" s="633"/>
    </row>
    <row r="25" spans="1:9">
      <c r="A25" s="365">
        <v>9</v>
      </c>
      <c r="B25" s="323" t="s">
        <v>708</v>
      </c>
      <c r="C25" s="636">
        <f>SUM(C26:C27)</f>
        <v>24912541.56258833</v>
      </c>
      <c r="D25" s="636">
        <f t="shared" ref="D25:E25" si="3">SUM(D26:D27)</f>
        <v>0</v>
      </c>
      <c r="E25" s="636">
        <f t="shared" si="3"/>
        <v>24912541.56258833</v>
      </c>
      <c r="G25" s="633"/>
      <c r="H25" s="633"/>
      <c r="I25" s="633"/>
    </row>
    <row r="26" spans="1:9">
      <c r="A26" s="365">
        <v>9.1</v>
      </c>
      <c r="B26" s="327" t="s">
        <v>709</v>
      </c>
      <c r="C26" s="635">
        <v>24912541.56258833</v>
      </c>
      <c r="D26" s="635">
        <v>0</v>
      </c>
      <c r="E26" s="635">
        <v>24912541.56258833</v>
      </c>
      <c r="G26" s="633"/>
      <c r="H26" s="633"/>
      <c r="I26" s="633"/>
    </row>
    <row r="27" spans="1:9">
      <c r="A27" s="365">
        <v>9.1999999999999993</v>
      </c>
      <c r="B27" s="327" t="s">
        <v>710</v>
      </c>
      <c r="C27" s="635">
        <v>0</v>
      </c>
      <c r="D27" s="635">
        <v>0</v>
      </c>
      <c r="E27" s="635">
        <v>0</v>
      </c>
      <c r="G27" s="633"/>
      <c r="H27" s="633"/>
      <c r="I27" s="633"/>
    </row>
    <row r="28" spans="1:9">
      <c r="A28" s="365">
        <v>10</v>
      </c>
      <c r="B28" s="323" t="s">
        <v>36</v>
      </c>
      <c r="C28" s="636">
        <f>SUM(C29:C30)</f>
        <v>15458606.34</v>
      </c>
      <c r="D28" s="636">
        <f t="shared" ref="D28:E28" si="4">SUM(D29:D30)</f>
        <v>15458606.34</v>
      </c>
      <c r="E28" s="636">
        <f t="shared" si="4"/>
        <v>0</v>
      </c>
      <c r="G28" s="633"/>
      <c r="H28" s="633"/>
      <c r="I28" s="633"/>
    </row>
    <row r="29" spans="1:9">
      <c r="A29" s="365">
        <v>10.1</v>
      </c>
      <c r="B29" s="327" t="s">
        <v>711</v>
      </c>
      <c r="C29" s="635">
        <v>0</v>
      </c>
      <c r="D29" s="635">
        <v>0</v>
      </c>
      <c r="E29" s="635">
        <v>0</v>
      </c>
      <c r="G29" s="633"/>
      <c r="H29" s="633"/>
      <c r="I29" s="633"/>
    </row>
    <row r="30" spans="1:9">
      <c r="A30" s="365">
        <v>10.199999999999999</v>
      </c>
      <c r="B30" s="327" t="s">
        <v>712</v>
      </c>
      <c r="C30" s="635">
        <v>15458606.34</v>
      </c>
      <c r="D30" s="635">
        <v>15458606.34</v>
      </c>
      <c r="E30" s="635">
        <v>0</v>
      </c>
      <c r="G30" s="633"/>
      <c r="H30" s="633"/>
      <c r="I30" s="633"/>
    </row>
    <row r="31" spans="1:9">
      <c r="A31" s="365">
        <v>11</v>
      </c>
      <c r="B31" s="323" t="s">
        <v>713</v>
      </c>
      <c r="C31" s="636">
        <f>SUM(C32:C33)</f>
        <v>3764221.6954356106</v>
      </c>
      <c r="D31" s="636">
        <f t="shared" ref="D31:E31" si="5">SUM(D32:D33)</f>
        <v>0</v>
      </c>
      <c r="E31" s="636">
        <f t="shared" si="5"/>
        <v>3764221.6954356106</v>
      </c>
      <c r="G31" s="633"/>
      <c r="H31" s="633"/>
      <c r="I31" s="633"/>
    </row>
    <row r="32" spans="1:9">
      <c r="A32" s="365">
        <v>11.1</v>
      </c>
      <c r="B32" s="327" t="s">
        <v>714</v>
      </c>
      <c r="C32" s="635">
        <v>3764221.6954356106</v>
      </c>
      <c r="D32" s="635">
        <v>0</v>
      </c>
      <c r="E32" s="635">
        <v>3764221.6954356106</v>
      </c>
      <c r="G32" s="633"/>
      <c r="H32" s="633"/>
      <c r="I32" s="633"/>
    </row>
    <row r="33" spans="1:9">
      <c r="A33" s="365">
        <v>11.2</v>
      </c>
      <c r="B33" s="327" t="s">
        <v>715</v>
      </c>
      <c r="C33" s="635">
        <v>0</v>
      </c>
      <c r="D33" s="635">
        <v>0</v>
      </c>
      <c r="E33" s="635">
        <v>0</v>
      </c>
      <c r="G33" s="633"/>
      <c r="H33" s="633"/>
      <c r="I33" s="633"/>
    </row>
    <row r="34" spans="1:9">
      <c r="A34" s="365">
        <v>13</v>
      </c>
      <c r="B34" s="323" t="s">
        <v>88</v>
      </c>
      <c r="C34" s="635">
        <v>49563728.32447987</v>
      </c>
      <c r="D34" s="635">
        <v>0</v>
      </c>
      <c r="E34" s="635">
        <v>49563728.32447987</v>
      </c>
      <c r="G34" s="633"/>
      <c r="H34" s="633"/>
      <c r="I34" s="633"/>
    </row>
    <row r="35" spans="1:9">
      <c r="A35" s="365">
        <v>13.1</v>
      </c>
      <c r="B35" s="328" t="s">
        <v>716</v>
      </c>
      <c r="C35" s="635">
        <v>47213611.428850867</v>
      </c>
      <c r="D35" s="635">
        <v>0</v>
      </c>
      <c r="E35" s="635">
        <v>47213611.428850867</v>
      </c>
      <c r="G35" s="633"/>
      <c r="H35" s="633"/>
      <c r="I35" s="633"/>
    </row>
    <row r="36" spans="1:9">
      <c r="A36" s="365">
        <v>13.2</v>
      </c>
      <c r="B36" s="328" t="s">
        <v>717</v>
      </c>
      <c r="C36" s="635">
        <v>0</v>
      </c>
      <c r="D36" s="635">
        <v>0</v>
      </c>
      <c r="E36" s="635">
        <v>0</v>
      </c>
      <c r="G36" s="633"/>
      <c r="H36" s="633"/>
      <c r="I36" s="633"/>
    </row>
    <row r="37" spans="1:9" ht="39" thickBot="1">
      <c r="A37" s="185"/>
      <c r="B37" s="186" t="s">
        <v>308</v>
      </c>
      <c r="C37" s="637">
        <f>SUM(C8,C12,C14,C15,C16,C20,C23,C24,C25,C28,C31,C34)</f>
        <v>1962283581.9835243</v>
      </c>
      <c r="D37" s="637">
        <f t="shared" ref="D37:E37" si="6">SUM(D8,D12,D14,D15,D16,D20,D23,D24,D25,D28,D31,D34)</f>
        <v>15458606.34</v>
      </c>
      <c r="E37" s="637">
        <f t="shared" si="6"/>
        <v>1946824975.6435244</v>
      </c>
      <c r="G37" s="633"/>
      <c r="H37" s="633"/>
      <c r="I37" s="633"/>
    </row>
    <row r="38" spans="1:9">
      <c r="A38"/>
      <c r="B38"/>
      <c r="C38"/>
      <c r="D38"/>
      <c r="E38"/>
    </row>
    <row r="39" spans="1:9">
      <c r="A39"/>
      <c r="B39"/>
      <c r="C39"/>
      <c r="D39"/>
      <c r="E39"/>
    </row>
    <row r="41" spans="1:9" s="1" customFormat="1">
      <c r="B41" s="28"/>
      <c r="F41"/>
      <c r="G41"/>
    </row>
    <row r="42" spans="1:9" s="1" customFormat="1">
      <c r="B42" s="29"/>
      <c r="F42"/>
      <c r="G42"/>
    </row>
    <row r="43" spans="1:9" s="1" customFormat="1">
      <c r="B43" s="28"/>
      <c r="F43"/>
      <c r="G43"/>
    </row>
    <row r="44" spans="1:9" s="1" customFormat="1">
      <c r="B44" s="28"/>
      <c r="F44"/>
      <c r="G44"/>
    </row>
    <row r="45" spans="1:9" s="1" customFormat="1">
      <c r="B45" s="28"/>
      <c r="F45"/>
      <c r="G45"/>
    </row>
    <row r="46" spans="1:9" s="1" customFormat="1">
      <c r="B46" s="28"/>
      <c r="F46"/>
      <c r="G46"/>
    </row>
    <row r="47" spans="1:9" s="1" customFormat="1">
      <c r="B47" s="28"/>
      <c r="F47"/>
      <c r="G47"/>
    </row>
    <row r="48" spans="1:9" s="1" customFormat="1">
      <c r="B48" s="29"/>
      <c r="F48"/>
      <c r="G48"/>
    </row>
    <row r="49" spans="2:7" s="1" customFormat="1">
      <c r="B49" s="29"/>
      <c r="F49"/>
      <c r="G49"/>
    </row>
    <row r="50" spans="2:7" s="1" customFormat="1">
      <c r="B50" s="29"/>
      <c r="F50"/>
      <c r="G50"/>
    </row>
    <row r="51" spans="2:7" s="1" customFormat="1">
      <c r="B51" s="29"/>
      <c r="F51"/>
      <c r="G51"/>
    </row>
    <row r="52" spans="2:7" s="1" customFormat="1">
      <c r="B52" s="29"/>
      <c r="F52"/>
      <c r="G52"/>
    </row>
    <row r="53" spans="2:7" s="1" customFormat="1">
      <c r="B53" s="29"/>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RowHeight="15" outlineLevelRow="1"/>
  <cols>
    <col min="1" max="1" width="9.5703125" style="1" bestFit="1" customWidth="1"/>
    <col min="2" max="2" width="114.28515625" style="1"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3" t="s">
        <v>97</v>
      </c>
      <c r="B1" s="12" t="str">
        <f>Info!C2</f>
        <v>სს "ბანკი ქართუ"</v>
      </c>
    </row>
    <row r="2" spans="1:6" s="13" customFormat="1" ht="15.75" customHeight="1">
      <c r="A2" s="13" t="s">
        <v>98</v>
      </c>
      <c r="B2" s="593">
        <f>'1. key ratios'!B2</f>
        <v>46203</v>
      </c>
      <c r="C2"/>
      <c r="D2"/>
      <c r="E2"/>
      <c r="F2"/>
    </row>
    <row r="3" spans="1:6" s="13" customFormat="1" ht="15.75" customHeight="1">
      <c r="C3"/>
      <c r="D3"/>
      <c r="E3"/>
      <c r="F3"/>
    </row>
    <row r="4" spans="1:6" s="13" customFormat="1" ht="26.25" thickBot="1">
      <c r="A4" s="13" t="s">
        <v>245</v>
      </c>
      <c r="B4" s="104" t="s">
        <v>160</v>
      </c>
      <c r="C4" s="98" t="s">
        <v>76</v>
      </c>
      <c r="D4"/>
      <c r="E4"/>
      <c r="F4"/>
    </row>
    <row r="5" spans="1:6">
      <c r="A5" s="99">
        <v>1</v>
      </c>
      <c r="B5" s="100" t="s">
        <v>695</v>
      </c>
      <c r="C5" s="137">
        <f>'7. LI1'!E37</f>
        <v>1946824975.6435244</v>
      </c>
      <c r="E5" s="599"/>
    </row>
    <row r="6" spans="1:6">
      <c r="A6" s="58">
        <v>2.1</v>
      </c>
      <c r="B6" s="106" t="s">
        <v>829</v>
      </c>
      <c r="C6" s="638">
        <v>219789177.62567317</v>
      </c>
      <c r="E6" s="599"/>
    </row>
    <row r="7" spans="1:6" s="2" customFormat="1" ht="25.5" outlineLevel="1">
      <c r="A7" s="105">
        <v>2.2000000000000002</v>
      </c>
      <c r="B7" s="101" t="s">
        <v>830</v>
      </c>
      <c r="C7" s="638">
        <v>0</v>
      </c>
      <c r="E7" s="599"/>
    </row>
    <row r="8" spans="1:6" s="2" customFormat="1" ht="26.25">
      <c r="A8" s="105">
        <v>3</v>
      </c>
      <c r="B8" s="102" t="s">
        <v>696</v>
      </c>
      <c r="C8" s="138">
        <f>SUM(C5:C7)</f>
        <v>2166614153.2691975</v>
      </c>
      <c r="E8" s="599"/>
    </row>
    <row r="9" spans="1:6">
      <c r="A9" s="58">
        <v>4</v>
      </c>
      <c r="B9" s="109" t="s">
        <v>158</v>
      </c>
      <c r="C9" s="638">
        <v>0</v>
      </c>
      <c r="E9" s="599"/>
    </row>
    <row r="10" spans="1:6" s="2" customFormat="1" ht="25.5" outlineLevel="1">
      <c r="A10" s="105">
        <v>5.0999999999999996</v>
      </c>
      <c r="B10" s="101" t="s">
        <v>164</v>
      </c>
      <c r="C10" s="638">
        <v>-98344057.95534724</v>
      </c>
      <c r="E10" s="599"/>
    </row>
    <row r="11" spans="1:6" s="2" customFormat="1" ht="25.5" outlineLevel="1">
      <c r="A11" s="105">
        <v>5.2</v>
      </c>
      <c r="B11" s="101" t="s">
        <v>165</v>
      </c>
      <c r="C11" s="638">
        <v>0</v>
      </c>
      <c r="E11" s="599"/>
    </row>
    <row r="12" spans="1:6" s="2" customFormat="1">
      <c r="A12" s="105">
        <v>6</v>
      </c>
      <c r="B12" s="107" t="s">
        <v>996</v>
      </c>
      <c r="C12" s="638">
        <v>0</v>
      </c>
      <c r="E12" s="599"/>
    </row>
    <row r="13" spans="1:6" s="2" customFormat="1" ht="15.75" thickBot="1">
      <c r="A13" s="108">
        <v>7</v>
      </c>
      <c r="B13" s="103" t="s">
        <v>159</v>
      </c>
      <c r="C13" s="139">
        <f>SUM(C8:C12)</f>
        <v>2068270095.3138502</v>
      </c>
      <c r="E13" s="599"/>
    </row>
    <row r="15" spans="1:6">
      <c r="B15" s="17"/>
    </row>
    <row r="17" spans="2:9" s="1" customFormat="1">
      <c r="B17" s="30"/>
      <c r="C17"/>
      <c r="D17"/>
      <c r="E17"/>
      <c r="F17"/>
      <c r="G17"/>
      <c r="H17"/>
      <c r="I17"/>
    </row>
    <row r="18" spans="2:9" s="1" customFormat="1">
      <c r="B18" s="27"/>
      <c r="C18"/>
      <c r="D18"/>
      <c r="E18"/>
      <c r="F18"/>
      <c r="G18"/>
      <c r="H18"/>
      <c r="I18"/>
    </row>
    <row r="19" spans="2:9" s="1" customFormat="1">
      <c r="B19" s="27"/>
      <c r="C19"/>
      <c r="D19"/>
      <c r="E19"/>
      <c r="F19"/>
      <c r="G19"/>
      <c r="H19"/>
      <c r="I19"/>
    </row>
    <row r="20" spans="2:9" s="1" customFormat="1">
      <c r="B20" s="29"/>
      <c r="C20"/>
      <c r="D20"/>
      <c r="E20"/>
      <c r="F20"/>
      <c r="G20"/>
      <c r="H20"/>
      <c r="I20"/>
    </row>
    <row r="21" spans="2:9" s="1" customFormat="1">
      <c r="B21" s="28"/>
      <c r="C21"/>
      <c r="D21"/>
      <c r="E21"/>
      <c r="F21"/>
      <c r="G21"/>
      <c r="H21"/>
      <c r="I21"/>
    </row>
    <row r="22" spans="2:9" s="1" customFormat="1">
      <c r="B22" s="29"/>
      <c r="C22"/>
      <c r="D22"/>
      <c r="E22"/>
      <c r="F22"/>
      <c r="G22"/>
      <c r="H22"/>
      <c r="I22"/>
    </row>
    <row r="23" spans="2:9" s="1" customFormat="1">
      <c r="B23" s="28"/>
      <c r="C23"/>
      <c r="D23"/>
      <c r="E23"/>
      <c r="F23"/>
      <c r="G23"/>
      <c r="H23"/>
      <c r="I23"/>
    </row>
    <row r="24" spans="2:9" s="1" customFormat="1">
      <c r="B24" s="28"/>
      <c r="C24"/>
      <c r="D24"/>
      <c r="E24"/>
      <c r="F24"/>
      <c r="G24"/>
      <c r="H24"/>
      <c r="I24"/>
    </row>
    <row r="25" spans="2:9" s="1" customFormat="1">
      <c r="B25" s="28"/>
      <c r="C25"/>
      <c r="D25"/>
      <c r="E25"/>
      <c r="F25"/>
      <c r="G25"/>
      <c r="H25"/>
      <c r="I25"/>
    </row>
    <row r="26" spans="2:9" s="1" customFormat="1">
      <c r="B26" s="28"/>
      <c r="C26"/>
      <c r="D26"/>
      <c r="E26"/>
      <c r="F26"/>
      <c r="G26"/>
      <c r="H26"/>
      <c r="I26"/>
    </row>
    <row r="27" spans="2:9" s="1" customFormat="1">
      <c r="B27" s="28"/>
      <c r="C27"/>
      <c r="D27"/>
      <c r="E27"/>
      <c r="F27"/>
      <c r="G27"/>
      <c r="H27"/>
      <c r="I27"/>
    </row>
    <row r="28" spans="2:9" s="1" customFormat="1">
      <c r="B28" s="29"/>
      <c r="C28"/>
      <c r="D28"/>
      <c r="E28"/>
      <c r="F28"/>
      <c r="G28"/>
      <c r="H28"/>
      <c r="I28"/>
    </row>
    <row r="29" spans="2:9" s="1" customFormat="1">
      <c r="B29" s="29"/>
      <c r="C29"/>
      <c r="D29"/>
      <c r="E29"/>
      <c r="F29"/>
      <c r="G29"/>
      <c r="H29"/>
      <c r="I29"/>
    </row>
    <row r="30" spans="2:9" s="1" customFormat="1">
      <c r="B30" s="29"/>
      <c r="C30"/>
      <c r="D30"/>
      <c r="E30"/>
      <c r="F30"/>
      <c r="G30"/>
      <c r="H30"/>
      <c r="I30"/>
    </row>
    <row r="31" spans="2:9" s="1" customFormat="1">
      <c r="B31" s="29"/>
      <c r="C31"/>
      <c r="D31"/>
      <c r="E31"/>
      <c r="F31"/>
      <c r="G31"/>
      <c r="H31"/>
      <c r="I31"/>
    </row>
    <row r="32" spans="2:9" s="1" customFormat="1">
      <c r="B32" s="29"/>
      <c r="C32"/>
      <c r="D32"/>
      <c r="E32"/>
      <c r="F32"/>
      <c r="G32"/>
      <c r="H32"/>
      <c r="I32"/>
    </row>
    <row r="33" spans="2:9" s="1" customFormat="1">
      <c r="B33" s="29"/>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CA02C2B3-6690-489B-845B-648AF82E8F0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2026-07-29T07:20:25Z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