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13_ncr:1_{830789BB-9A50-4D91-A080-0B4E718F32C6}" xr6:coauthVersionLast="47" xr6:coauthVersionMax="47" xr10:uidLastSave="{00000000-0000-0000-0000-000000000000}"/>
  <bookViews>
    <workbookView xWindow="-120" yWindow="-120" windowWidth="29040" windowHeight="15720"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definedNames>
    <definedName name="_cur1">#REF!</definedName>
    <definedName name="_cur2">#REF!</definedName>
    <definedName name="_xlnm._FilterDatabase" localSheetId="32" hidden="1">Instruction!$A$108:$C$112</definedName>
    <definedName name="_sum1">#REF!</definedName>
    <definedName name="_sum2">#REF!</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#REF!</definedName>
    <definedName name="date1">#REF!</definedName>
    <definedName name="L_FORMULAS_GEO">#REF!</definedName>
    <definedName name="Sheet" localSheetId="11">#REF!</definedName>
    <definedName name="Sheet" localSheetId="12">#REF!</definedName>
    <definedName name="Sheet">#REF!</definedName>
    <definedName name="საკრედიტო" localSheetId="11">#REF!</definedName>
    <definedName name="საკრედიტო" localSheetId="12">#REF!</definedName>
    <definedName name="საკრედიტო">#REF!</definedName>
    <definedName name="ფაილი" localSheetId="11">#REF!</definedName>
    <definedName name="ფაილი" localSheetId="12">#REF!</definedName>
    <definedName name="ფაილი">#REF!</definedName>
    <definedName name="ცვლილება_კორექტირება_რეგულაციაში" localSheetId="11">#REF!</definedName>
    <definedName name="ცვლილება_კორექტირება_რეგულაციაში" localSheetId="12">#REF!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9" i="92" l="1"/>
  <c r="L33" i="102" l="1"/>
  <c r="I33" i="102"/>
  <c r="G33" i="102"/>
  <c r="D33" i="102" l="1"/>
  <c r="K33" i="102"/>
  <c r="H33" i="102"/>
  <c r="J33" i="102"/>
  <c r="F33" i="102"/>
  <c r="E33" i="102"/>
  <c r="C33" i="102"/>
  <c r="B2" i="107" l="1"/>
  <c r="B1" i="107"/>
  <c r="B1" i="37"/>
  <c r="B2" i="37"/>
  <c r="K24" i="36"/>
  <c r="K23" i="36"/>
  <c r="J23" i="36"/>
  <c r="I23" i="36"/>
  <c r="H23" i="36"/>
  <c r="H11" i="74"/>
  <c r="H9" i="74" l="1"/>
  <c r="H10" i="74"/>
  <c r="H18" i="74"/>
  <c r="F17" i="94"/>
  <c r="G17" i="94"/>
  <c r="H15" i="74"/>
  <c r="H19" i="74"/>
  <c r="F23" i="36"/>
  <c r="I24" i="36"/>
  <c r="K25" i="36"/>
  <c r="G23" i="36"/>
  <c r="H12" i="74"/>
  <c r="H16" i="74"/>
  <c r="F24" i="36"/>
  <c r="G24" i="36"/>
  <c r="H24" i="36"/>
  <c r="H20" i="74"/>
  <c r="C22" i="74"/>
  <c r="J24" i="36"/>
  <c r="J25" i="36" l="1"/>
  <c r="I25" i="36"/>
  <c r="F25" i="36"/>
  <c r="G25" i="36"/>
  <c r="H25" i="36"/>
  <c r="C31" i="79"/>
  <c r="G59" i="92" l="1"/>
  <c r="C38" i="94"/>
  <c r="Q33" i="37" l="1"/>
  <c r="I33" i="37"/>
  <c r="Q32" i="37"/>
  <c r="I32" i="37"/>
  <c r="Q31" i="37"/>
  <c r="I31" i="37"/>
  <c r="I30" i="37"/>
  <c r="Q29" i="37"/>
  <c r="I29" i="37"/>
  <c r="Q28" i="37"/>
  <c r="I28" i="37"/>
  <c r="Q27" i="37"/>
  <c r="Q26" i="37" s="1"/>
  <c r="I27" i="37"/>
  <c r="I26" i="37"/>
  <c r="Q25" i="37"/>
  <c r="I25" i="37"/>
  <c r="Q24" i="37"/>
  <c r="I24" i="37"/>
  <c r="Q23" i="37"/>
  <c r="I23" i="37"/>
  <c r="I22" i="37"/>
  <c r="Q21" i="37"/>
  <c r="I21" i="37"/>
  <c r="Q20" i="37"/>
  <c r="I20" i="37"/>
  <c r="Q19" i="37"/>
  <c r="I19" i="37"/>
  <c r="I18" i="37"/>
  <c r="Q17" i="37"/>
  <c r="I17" i="37"/>
  <c r="Q16" i="37"/>
  <c r="I16" i="37"/>
  <c r="Q15" i="37"/>
  <c r="I15" i="37"/>
  <c r="I14" i="37"/>
  <c r="Q13" i="37"/>
  <c r="I13" i="37"/>
  <c r="Q12" i="37"/>
  <c r="I12" i="37"/>
  <c r="Q11" i="37"/>
  <c r="I11" i="37"/>
  <c r="I10" i="37"/>
  <c r="P9" i="37"/>
  <c r="O9" i="37"/>
  <c r="N9" i="37"/>
  <c r="M9" i="37"/>
  <c r="L9" i="37"/>
  <c r="K9" i="37"/>
  <c r="J9" i="37"/>
  <c r="G9" i="37"/>
  <c r="F9" i="37"/>
  <c r="I9" i="37" s="1"/>
  <c r="C9" i="37"/>
  <c r="P8" i="37"/>
  <c r="O8" i="37"/>
  <c r="N8" i="37"/>
  <c r="M8" i="37"/>
  <c r="L8" i="37"/>
  <c r="K8" i="37"/>
  <c r="J8" i="37"/>
  <c r="G8" i="37"/>
  <c r="F8" i="37"/>
  <c r="I8" i="37" s="1"/>
  <c r="C8" i="37"/>
  <c r="P7" i="37"/>
  <c r="O7" i="37"/>
  <c r="N7" i="37"/>
  <c r="M7" i="37"/>
  <c r="L7" i="37"/>
  <c r="K7" i="37"/>
  <c r="J7" i="37"/>
  <c r="J6" i="37" s="1"/>
  <c r="J34" i="37" s="1"/>
  <c r="G7" i="37"/>
  <c r="G6" i="37" s="1"/>
  <c r="G34" i="37" s="1"/>
  <c r="C11" i="79" s="1"/>
  <c r="F7" i="37"/>
  <c r="F6" i="37" s="1"/>
  <c r="F34" i="37" s="1"/>
  <c r="C7" i="37"/>
  <c r="C6" i="37" s="1"/>
  <c r="C34" i="37" s="1"/>
  <c r="E6" i="37"/>
  <c r="E34" i="37" s="1"/>
  <c r="C13" i="79" s="1"/>
  <c r="D6" i="37"/>
  <c r="D34" i="37" s="1"/>
  <c r="C26" i="79"/>
  <c r="C22" i="79"/>
  <c r="C8" i="79"/>
  <c r="Q30" i="37" l="1"/>
  <c r="P6" i="37"/>
  <c r="P34" i="37" s="1"/>
  <c r="L6" i="37"/>
  <c r="L34" i="37" s="1"/>
  <c r="O6" i="37"/>
  <c r="O34" i="37" s="1"/>
  <c r="K6" i="37"/>
  <c r="K34" i="37" s="1"/>
  <c r="N6" i="37"/>
  <c r="N34" i="37" s="1"/>
  <c r="Q18" i="37"/>
  <c r="M6" i="37"/>
  <c r="M34" i="37" s="1"/>
  <c r="Q9" i="37"/>
  <c r="Q14" i="37"/>
  <c r="I34" i="37"/>
  <c r="C12" i="79" s="1"/>
  <c r="C10" i="79"/>
  <c r="I7" i="37"/>
  <c r="I6" i="37" s="1"/>
  <c r="Q10" i="37"/>
  <c r="Q22" i="37"/>
  <c r="Q8" i="37"/>
  <c r="Q7" i="37"/>
  <c r="Q6" i="37" l="1"/>
  <c r="Q34" i="37" s="1"/>
  <c r="C14" i="79"/>
  <c r="F6" i="107"/>
  <c r="E6" i="107"/>
  <c r="D6" i="107"/>
  <c r="C6" i="107"/>
  <c r="C32" i="79" l="1"/>
  <c r="H8" i="74"/>
  <c r="G38" i="94"/>
  <c r="F38" i="94"/>
  <c r="C34" i="79" l="1"/>
  <c r="D38" i="94"/>
  <c r="B2" i="106" l="1"/>
  <c r="B1" i="106"/>
  <c r="B1" i="105"/>
  <c r="B2" i="105"/>
  <c r="B19" i="105" l="1"/>
  <c r="E12" i="106"/>
  <c r="D12" i="106"/>
  <c r="C12" i="106"/>
  <c r="B12" i="106"/>
  <c r="E11" i="106"/>
  <c r="D11" i="106"/>
  <c r="C11" i="106"/>
  <c r="B11" i="106"/>
  <c r="E10" i="106"/>
  <c r="D10" i="106"/>
  <c r="C10" i="106"/>
  <c r="B10" i="106"/>
  <c r="F9" i="106"/>
  <c r="E9" i="106"/>
  <c r="D9" i="106"/>
  <c r="C9" i="106"/>
  <c r="B9" i="106"/>
  <c r="B11" i="105"/>
  <c r="F10" i="106" l="1"/>
  <c r="F12" i="106"/>
  <c r="F11" i="106"/>
  <c r="C22" i="95" l="1"/>
  <c r="H21" i="95"/>
  <c r="B1" i="94" l="1"/>
  <c r="B1" i="93"/>
  <c r="B1" i="92"/>
  <c r="B1" i="104" l="1"/>
  <c r="B1" i="103"/>
  <c r="B1" i="102"/>
  <c r="B1" i="101"/>
  <c r="B1" i="100"/>
  <c r="B1" i="99"/>
  <c r="B1" i="98"/>
  <c r="B1" i="97"/>
  <c r="B1" i="96"/>
  <c r="B1" i="95"/>
  <c r="C10" i="99" l="1"/>
  <c r="C18" i="99"/>
  <c r="C7" i="98"/>
  <c r="D7" i="98"/>
  <c r="C10" i="98"/>
  <c r="D10"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D15" i="98" l="1"/>
  <c r="C15" i="98"/>
  <c r="H34" i="97"/>
  <c r="H21" i="96"/>
  <c r="H22" i="95"/>
  <c r="C62" i="69"/>
  <c r="C58" i="69"/>
  <c r="C46" i="69"/>
  <c r="C40" i="69"/>
  <c r="C29" i="69"/>
  <c r="C26" i="69"/>
  <c r="C23" i="69"/>
  <c r="C18" i="69"/>
  <c r="C14" i="69"/>
  <c r="C6" i="69"/>
  <c r="D8" i="72"/>
  <c r="E8" i="72"/>
  <c r="D16" i="72"/>
  <c r="E16" i="72"/>
  <c r="D20" i="72"/>
  <c r="E20" i="72"/>
  <c r="D25" i="72"/>
  <c r="E25" i="72"/>
  <c r="D28" i="72"/>
  <c r="E28" i="72"/>
  <c r="D31" i="72"/>
  <c r="E31" i="72"/>
  <c r="C31" i="72"/>
  <c r="C28" i="72"/>
  <c r="C25" i="72"/>
  <c r="C20" i="72"/>
  <c r="C16" i="72"/>
  <c r="C8" i="72"/>
  <c r="C67" i="69" l="1"/>
  <c r="C52" i="69"/>
  <c r="C35" i="69"/>
  <c r="C37" i="72"/>
  <c r="D37" i="72"/>
  <c r="E37" i="72"/>
  <c r="H43" i="94"/>
  <c r="E43" i="94"/>
  <c r="H42" i="94"/>
  <c r="E42" i="94"/>
  <c r="H41" i="94"/>
  <c r="E41" i="94"/>
  <c r="H40" i="94"/>
  <c r="E40" i="94"/>
  <c r="H39" i="94"/>
  <c r="E39" i="94"/>
  <c r="E38" i="94"/>
  <c r="H37" i="94"/>
  <c r="E37" i="94"/>
  <c r="H36" i="94"/>
  <c r="E36" i="94"/>
  <c r="H35" i="94"/>
  <c r="E35" i="94"/>
  <c r="H34" i="94"/>
  <c r="E34" i="94"/>
  <c r="H33" i="94"/>
  <c r="E33" i="94"/>
  <c r="H32" i="94"/>
  <c r="E32" i="94"/>
  <c r="H31" i="94"/>
  <c r="E31" i="94"/>
  <c r="G30" i="94"/>
  <c r="F30" i="94"/>
  <c r="D30" i="94"/>
  <c r="C30" i="94"/>
  <c r="H17" i="94"/>
  <c r="H10" i="94"/>
  <c r="E10" i="94"/>
  <c r="H9" i="94"/>
  <c r="E9" i="94"/>
  <c r="G8" i="94"/>
  <c r="F8" i="94"/>
  <c r="D8" i="94"/>
  <c r="C8" i="94"/>
  <c r="H7" i="94"/>
  <c r="E7" i="94"/>
  <c r="H6" i="94"/>
  <c r="E6" i="94"/>
  <c r="H44" i="93"/>
  <c r="E44" i="93"/>
  <c r="H42" i="93"/>
  <c r="E42" i="93"/>
  <c r="H41" i="93"/>
  <c r="E41" i="93"/>
  <c r="H40" i="93"/>
  <c r="E40" i="93"/>
  <c r="H39" i="93"/>
  <c r="E39" i="93"/>
  <c r="H38" i="93"/>
  <c r="E38" i="93"/>
  <c r="G37" i="93"/>
  <c r="F37" i="93"/>
  <c r="D37" i="93"/>
  <c r="C37" i="93"/>
  <c r="H36" i="93"/>
  <c r="E36" i="93"/>
  <c r="H35" i="93"/>
  <c r="E35" i="93"/>
  <c r="G34" i="93"/>
  <c r="F34" i="93"/>
  <c r="D34" i="93"/>
  <c r="C34" i="93"/>
  <c r="H33" i="93"/>
  <c r="E33" i="93"/>
  <c r="H32" i="93"/>
  <c r="E32" i="93"/>
  <c r="H31" i="93"/>
  <c r="E31" i="93"/>
  <c r="H30" i="93"/>
  <c r="E30" i="93"/>
  <c r="G29" i="93"/>
  <c r="F29" i="93"/>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F13" i="93"/>
  <c r="D13" i="93"/>
  <c r="C13" i="93"/>
  <c r="H12" i="93"/>
  <c r="E12" i="93"/>
  <c r="H11" i="93"/>
  <c r="E11" i="93"/>
  <c r="H10" i="93"/>
  <c r="E10" i="93"/>
  <c r="H9" i="93"/>
  <c r="E9" i="93"/>
  <c r="H8" i="93"/>
  <c r="E8" i="93"/>
  <c r="H7" i="93"/>
  <c r="E7" i="93"/>
  <c r="G6" i="93"/>
  <c r="F6" i="93"/>
  <c r="D6" i="93"/>
  <c r="C6" i="93"/>
  <c r="G68" i="92"/>
  <c r="F68" i="92"/>
  <c r="H67" i="92"/>
  <c r="E67" i="92"/>
  <c r="H66" i="92"/>
  <c r="E66" i="92"/>
  <c r="H65" i="92"/>
  <c r="E65" i="92"/>
  <c r="H64" i="92"/>
  <c r="E64" i="92"/>
  <c r="H63" i="92"/>
  <c r="D63" i="92"/>
  <c r="C63" i="92"/>
  <c r="H62" i="92"/>
  <c r="E62" i="92"/>
  <c r="H61" i="92"/>
  <c r="E61" i="92"/>
  <c r="H60" i="92"/>
  <c r="E60" i="92"/>
  <c r="H59" i="92"/>
  <c r="D59" i="92"/>
  <c r="C59" i="92"/>
  <c r="H58" i="92"/>
  <c r="E58" i="92"/>
  <c r="H57" i="92"/>
  <c r="E57" i="92"/>
  <c r="H56" i="92"/>
  <c r="E56" i="92"/>
  <c r="H55" i="92"/>
  <c r="E55" i="92"/>
  <c r="H52" i="92"/>
  <c r="E52" i="92"/>
  <c r="H51" i="92"/>
  <c r="E51" i="92"/>
  <c r="H50" i="92"/>
  <c r="E50" i="92"/>
  <c r="H49" i="92"/>
  <c r="E49" i="92"/>
  <c r="H48" i="92"/>
  <c r="E48" i="92"/>
  <c r="G47" i="92"/>
  <c r="F47" i="92"/>
  <c r="D47" i="92"/>
  <c r="C47" i="92"/>
  <c r="H46" i="92"/>
  <c r="E46" i="92"/>
  <c r="H45" i="92"/>
  <c r="E45" i="92"/>
  <c r="H44" i="92"/>
  <c r="E44" i="92"/>
  <c r="H43" i="92"/>
  <c r="E43" i="92"/>
  <c r="H42" i="92"/>
  <c r="E42" i="92"/>
  <c r="G41" i="92"/>
  <c r="F41" i="92"/>
  <c r="D41" i="92"/>
  <c r="C41" i="92"/>
  <c r="H40" i="92"/>
  <c r="E40" i="92"/>
  <c r="H39" i="92"/>
  <c r="E39" i="92"/>
  <c r="H38" i="92"/>
  <c r="E38" i="92"/>
  <c r="H35" i="92"/>
  <c r="E35" i="92"/>
  <c r="H34" i="92"/>
  <c r="E34" i="92"/>
  <c r="H33" i="92"/>
  <c r="E33" i="92"/>
  <c r="H32" i="92"/>
  <c r="E32" i="92"/>
  <c r="H31" i="92"/>
  <c r="E31" i="92"/>
  <c r="G30" i="92"/>
  <c r="F30" i="92"/>
  <c r="D30" i="92"/>
  <c r="C30" i="92"/>
  <c r="H29" i="92"/>
  <c r="E29" i="92"/>
  <c r="H28" i="92"/>
  <c r="E28" i="92"/>
  <c r="G27" i="92"/>
  <c r="F27" i="92"/>
  <c r="D27" i="92"/>
  <c r="C27" i="92"/>
  <c r="H26" i="92"/>
  <c r="E26" i="92"/>
  <c r="H25" i="92"/>
  <c r="E25" i="92"/>
  <c r="G24" i="92"/>
  <c r="F24" i="92"/>
  <c r="D24" i="92"/>
  <c r="C24" i="92"/>
  <c r="H23" i="92"/>
  <c r="E23" i="92"/>
  <c r="H22" i="92"/>
  <c r="E22" i="92"/>
  <c r="H21" i="92"/>
  <c r="E21" i="92"/>
  <c r="H20" i="92"/>
  <c r="E20" i="92"/>
  <c r="G19" i="92"/>
  <c r="F19" i="92"/>
  <c r="D19" i="92"/>
  <c r="C19" i="92"/>
  <c r="H18" i="92"/>
  <c r="E18" i="92"/>
  <c r="H17" i="92"/>
  <c r="E17" i="92"/>
  <c r="H16" i="92"/>
  <c r="E16" i="92"/>
  <c r="G15" i="92"/>
  <c r="F15" i="92"/>
  <c r="D15" i="92"/>
  <c r="C15" i="92"/>
  <c r="H14" i="92"/>
  <c r="E14" i="92"/>
  <c r="H13" i="92"/>
  <c r="E13" i="92"/>
  <c r="H12" i="92"/>
  <c r="E12" i="92"/>
  <c r="H11" i="92"/>
  <c r="E11" i="92"/>
  <c r="H10" i="92"/>
  <c r="E10" i="92"/>
  <c r="H9" i="92"/>
  <c r="E9" i="92"/>
  <c r="H8" i="92"/>
  <c r="E8" i="92"/>
  <c r="G7" i="92"/>
  <c r="F7" i="92"/>
  <c r="D7" i="92"/>
  <c r="C7" i="92"/>
  <c r="C68" i="69" l="1"/>
  <c r="H37" i="93"/>
  <c r="E37" i="93"/>
  <c r="H34" i="93"/>
  <c r="E34" i="93"/>
  <c r="E29" i="93"/>
  <c r="H13" i="93"/>
  <c r="E13" i="93"/>
  <c r="E63" i="92"/>
  <c r="C68" i="92"/>
  <c r="D68" i="92"/>
  <c r="H47" i="92"/>
  <c r="E47" i="92"/>
  <c r="H41" i="92"/>
  <c r="E30" i="92"/>
  <c r="H27" i="92"/>
  <c r="E27" i="92"/>
  <c r="H19" i="92"/>
  <c r="E19" i="92"/>
  <c r="H15" i="92"/>
  <c r="E15" i="92"/>
  <c r="H7" i="92"/>
  <c r="E24" i="92"/>
  <c r="E59" i="92"/>
  <c r="E68" i="92"/>
  <c r="C43" i="93"/>
  <c r="E6" i="93"/>
  <c r="F43" i="93"/>
  <c r="G43" i="93"/>
  <c r="H30" i="94"/>
  <c r="C36" i="92"/>
  <c r="D53" i="92"/>
  <c r="H30" i="92"/>
  <c r="G53" i="92"/>
  <c r="D36" i="92"/>
  <c r="H29" i="93"/>
  <c r="E41" i="92"/>
  <c r="G36" i="92"/>
  <c r="F36" i="92"/>
  <c r="H8" i="94"/>
  <c r="E8" i="94"/>
  <c r="H38" i="94"/>
  <c r="E30" i="94"/>
  <c r="H6" i="93"/>
  <c r="D43" i="93"/>
  <c r="C53" i="92"/>
  <c r="H68" i="92"/>
  <c r="F53" i="92"/>
  <c r="F69" i="92" s="1"/>
  <c r="E7" i="92"/>
  <c r="H24" i="92"/>
  <c r="G69" i="92" l="1"/>
  <c r="H29" i="94"/>
  <c r="E29" i="94"/>
  <c r="C45" i="93"/>
  <c r="D45" i="93"/>
  <c r="G45" i="93"/>
  <c r="F45" i="93"/>
  <c r="H69" i="92"/>
  <c r="H53" i="92"/>
  <c r="D69" i="92"/>
  <c r="H36" i="92"/>
  <c r="E36" i="92"/>
  <c r="H43" i="93"/>
  <c r="E43" i="93"/>
  <c r="C69" i="92"/>
  <c r="E53" i="92"/>
  <c r="H28" i="94" l="1"/>
  <c r="E28" i="94"/>
  <c r="E45" i="93"/>
  <c r="H45" i="93"/>
  <c r="E69" i="92"/>
  <c r="B1" i="80"/>
  <c r="E33" i="80"/>
  <c r="D33" i="80"/>
  <c r="C33" i="80"/>
  <c r="G24" i="80"/>
  <c r="F24" i="80"/>
  <c r="E24" i="80"/>
  <c r="D24" i="80"/>
  <c r="C24" i="80"/>
  <c r="G18" i="80"/>
  <c r="F18" i="80"/>
  <c r="E18" i="80"/>
  <c r="D18" i="80"/>
  <c r="C18" i="80"/>
  <c r="G14" i="80"/>
  <c r="F14" i="80"/>
  <c r="E14" i="80"/>
  <c r="D14" i="80"/>
  <c r="C14" i="80"/>
  <c r="G11" i="80"/>
  <c r="F11" i="80"/>
  <c r="E11" i="80"/>
  <c r="D11" i="80"/>
  <c r="C11" i="80"/>
  <c r="G8" i="80"/>
  <c r="F8" i="80"/>
  <c r="E8" i="80"/>
  <c r="D8" i="80"/>
  <c r="C8" i="80"/>
  <c r="H27" i="94" l="1"/>
  <c r="E27" i="94"/>
  <c r="G21" i="80"/>
  <c r="G6" i="71"/>
  <c r="F6" i="71"/>
  <c r="E6" i="71"/>
  <c r="D6" i="71"/>
  <c r="C6" i="71"/>
  <c r="D13" i="71" l="1"/>
  <c r="F13" i="71"/>
  <c r="E13" i="71"/>
  <c r="G13" i="71"/>
  <c r="C13" i="71"/>
  <c r="H26" i="94"/>
  <c r="E26" i="94"/>
  <c r="B1" i="79"/>
  <c r="B1" i="36"/>
  <c r="B1" i="74"/>
  <c r="B1" i="64"/>
  <c r="B1" i="35"/>
  <c r="B1" i="69"/>
  <c r="B1" i="77"/>
  <c r="B1" i="28"/>
  <c r="B1" i="73"/>
  <c r="B1" i="72"/>
  <c r="B1" i="52"/>
  <c r="B1" i="71"/>
  <c r="B1" i="6"/>
  <c r="B18" i="105" l="1"/>
  <c r="H25" i="94"/>
  <c r="E25" i="94"/>
  <c r="C21" i="77"/>
  <c r="D16" i="77"/>
  <c r="D17" i="77"/>
  <c r="D15" i="77"/>
  <c r="D12" i="77"/>
  <c r="D13" i="77"/>
  <c r="D11" i="77"/>
  <c r="D8" i="77"/>
  <c r="D9" i="77"/>
  <c r="D7" i="77"/>
  <c r="C20" i="77"/>
  <c r="C19" i="77"/>
  <c r="H24" i="94" l="1"/>
  <c r="E24" i="94"/>
  <c r="D21" i="77"/>
  <c r="D19" i="77"/>
  <c r="D20" i="77"/>
  <c r="H23" i="94" l="1"/>
  <c r="E23" i="94"/>
  <c r="H14" i="74"/>
  <c r="H22" i="94" l="1"/>
  <c r="E22" i="94"/>
  <c r="C5" i="73"/>
  <c r="H21" i="94" l="1"/>
  <c r="E21" i="94"/>
  <c r="S21" i="35"/>
  <c r="S20" i="35"/>
  <c r="S19" i="35"/>
  <c r="S18" i="35"/>
  <c r="S17" i="35"/>
  <c r="S16" i="35"/>
  <c r="S15" i="35"/>
  <c r="S14" i="35"/>
  <c r="S13" i="35"/>
  <c r="S12" i="35"/>
  <c r="S11" i="35"/>
  <c r="S10" i="35"/>
  <c r="S9" i="35"/>
  <c r="S8" i="35"/>
  <c r="H20" i="94" l="1"/>
  <c r="E20" i="94"/>
  <c r="S22" i="35"/>
  <c r="H19" i="94" l="1"/>
  <c r="E19" i="94"/>
  <c r="D22" i="35"/>
  <c r="E22" i="35"/>
  <c r="F22" i="35"/>
  <c r="G22" i="35"/>
  <c r="H22" i="35"/>
  <c r="I22" i="35"/>
  <c r="J22" i="35"/>
  <c r="K22" i="35"/>
  <c r="L22" i="35"/>
  <c r="M22" i="35"/>
  <c r="N22" i="35"/>
  <c r="O22" i="35"/>
  <c r="P22" i="35"/>
  <c r="Q22" i="35"/>
  <c r="R22" i="35"/>
  <c r="C22" i="35"/>
  <c r="H18" i="94" l="1"/>
  <c r="E18" i="94"/>
  <c r="C17" i="94"/>
  <c r="D17" i="94"/>
  <c r="G22" i="74"/>
  <c r="F22" i="74"/>
  <c r="H16" i="94" l="1"/>
  <c r="E17" i="94"/>
  <c r="V7" i="64"/>
  <c r="H13" i="74"/>
  <c r="H17" i="74"/>
  <c r="H21" i="74"/>
  <c r="G14" i="94" l="1"/>
  <c r="H15" i="94"/>
  <c r="F14" i="94"/>
  <c r="E16" i="94"/>
  <c r="T21" i="64"/>
  <c r="U21" i="64"/>
  <c r="V9" i="64"/>
  <c r="H14" i="94" l="1"/>
  <c r="D14" i="94"/>
  <c r="C14" i="94"/>
  <c r="E15" i="94"/>
  <c r="D22" i="74"/>
  <c r="E22" i="74"/>
  <c r="H22" i="74" l="1"/>
  <c r="H13" i="94"/>
  <c r="E14" i="94"/>
  <c r="C8" i="73"/>
  <c r="C44" i="28"/>
  <c r="C13" i="73" l="1"/>
  <c r="H12" i="94"/>
  <c r="F11" i="94"/>
  <c r="G11" i="94"/>
  <c r="E13" i="94"/>
  <c r="C32" i="28"/>
  <c r="C31" i="28" l="1"/>
  <c r="H11" i="94"/>
  <c r="D11" i="94"/>
  <c r="C11" i="94"/>
  <c r="E12" i="94"/>
  <c r="C21" i="64"/>
  <c r="D21" i="64"/>
  <c r="E21" i="64"/>
  <c r="F21" i="64"/>
  <c r="G21" i="64"/>
  <c r="H21" i="64"/>
  <c r="I21" i="64"/>
  <c r="J21" i="64"/>
  <c r="K21" i="64"/>
  <c r="L21" i="64"/>
  <c r="M21" i="64"/>
  <c r="N21" i="64"/>
  <c r="O21" i="64"/>
  <c r="P21" i="64"/>
  <c r="Q21" i="64"/>
  <c r="R21" i="64"/>
  <c r="S21" i="64"/>
  <c r="E11" i="94" l="1"/>
  <c r="V8" i="64"/>
  <c r="V10" i="64"/>
  <c r="V11" i="64"/>
  <c r="V12" i="64"/>
  <c r="V13" i="64"/>
  <c r="V14" i="64"/>
  <c r="V15" i="64"/>
  <c r="V16" i="64"/>
  <c r="V17" i="64"/>
  <c r="V18" i="64"/>
  <c r="V19" i="64"/>
  <c r="V20" i="64"/>
  <c r="V21" i="64" l="1"/>
  <c r="C48" i="28" l="1"/>
  <c r="C36" i="28"/>
  <c r="C12" i="28"/>
  <c r="C53" i="28" l="1"/>
  <c r="B10" i="105"/>
  <c r="C42" i="28"/>
  <c r="B9" i="105"/>
  <c r="C6" i="28"/>
  <c r="C29" i="28" l="1"/>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8" i="105" l="1"/>
  <c r="B7" i="105" s="1"/>
  <c r="C5" i="71"/>
  <c r="E5" i="71"/>
  <c r="F5" i="71"/>
  <c r="D5" i="71"/>
  <c r="B6" i="105" l="1"/>
  <c r="B16" i="105"/>
  <c r="B14" i="105" s="1"/>
  <c r="B21" i="105" l="1"/>
  <c r="B22" i="105"/>
  <c r="B23" i="105"/>
  <c r="F33" i="80" l="1"/>
  <c r="G33" i="80" l="1"/>
  <c r="G37" i="80" l="1"/>
  <c r="G39" i="8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<sst xmlns="http://schemas.openxmlformats.org/spreadsheetml/2006/main" count="1643" uniqueCount="1031">
  <si>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</si>
  <si>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</si>
  <si>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</si>
  <si>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</si>
  <si>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</si>
  <si>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</si>
  <si>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</si>
  <si>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</si>
  <si>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</si>
  <si>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</si>
  <si>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</si>
  <si>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</si>
  <si>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</si>
  <si>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</si>
  <si>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</si>
  <si>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</si>
  <si>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</si>
  <si>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</si>
  <si>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</si>
  <si>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</si>
  <si>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</si>
  <si>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</si>
  <si>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</si>
  <si>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</si>
  <si>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</si>
  <si>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</si>
  <si>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</si>
  <si>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</si>
  <si>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</si>
  <si>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</si>
  <si>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</si>
  <si>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</si>
  <si>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</si>
  <si>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</si>
  <si>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</si>
  <si>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</si>
  <si>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</si>
  <si>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</si>
  <si>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</si>
  <si>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</si>
  <si>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</si>
  <si>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</si>
  <si>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</si>
  <si>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</si>
  <si>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</si>
  <si>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</si>
  <si>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</si>
  <si>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</si>
  <si>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</si>
  <si>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</si>
  <si>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</si>
  <si>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</si>
  <si>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</si>
  <si>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</si>
  <si>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</si>
  <si>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</si>
  <si>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</si>
  <si>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</si>
  <si>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</si>
  <si>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</si>
  <si>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</si>
  <si>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</si>
  <si>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</si>
  <si>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</si>
  <si>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</si>
  <si>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</si>
  <si>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</si>
  <si>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</si>
  <si>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</si>
  <si>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</si>
  <si>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</si>
  <si>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</si>
  <si>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</si>
  <si>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</si>
  <si>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</si>
  <si>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</si>
  <si>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</si>
  <si>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</si>
  <si>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</si>
  <si>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</si>
  <si>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</si>
  <si>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</si>
  <si>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</si>
  <si>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</si>
  <si>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</si>
  <si>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</si>
  <si>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</si>
  <si>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</si>
  <si>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</si>
  <si>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</si>
  <si>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</si>
  <si>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</si>
  <si>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</si>
  <si>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</si>
  <si>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</si>
  <si>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</si>
  <si>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</si>
  <si>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</si>
  <si>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</si>
  <si>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</si>
  <si>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</si>
  <si>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</si>
  <si>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</si>
  <si>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</si>
  <si>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</si>
  <si>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</si>
  <si>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</si>
  <si>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</si>
  <si>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</si>
  <si>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</si>
  <si>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</si>
  <si>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</si>
  <si>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</si>
  <si>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</si>
  <si>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</si>
  <si>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</si>
  <si>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</si>
  <si>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</si>
  <si>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</si>
  <si>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</si>
  <si>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</si>
  <si>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</si>
  <si>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</si>
  <si>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</si>
  <si>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</si>
  <si>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</si>
  <si>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</si>
  <si>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</si>
  <si>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</si>
  <si>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</si>
  <si>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</si>
  <si>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</si>
  <si>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</si>
  <si>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</si>
  <si>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</si>
  <si>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</si>
  <si>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</si>
  <si>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</si>
  <si>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</si>
  <si>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</si>
  <si>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</si>
  <si>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</si>
  <si>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</si>
  <si>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</si>
  <si>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</si>
  <si>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</si>
  <si>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</si>
  <si>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</si>
  <si>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</si>
  <si>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</si>
  <si>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</si>
  <si>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</si>
  <si>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</si>
  <si>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</si>
  <si>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</si>
  <si>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</si>
  <si>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</si>
  <si>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</si>
  <si>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</si>
  <si>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</si>
  <si>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</si>
  <si>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</si>
  <si>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</si>
  <si>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</si>
  <si>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</si>
  <si>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</si>
  <si>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</si>
  <si>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</si>
  <si>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</si>
  <si>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</si>
  <si>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</si>
  <si>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</si>
  <si>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</si>
  <si>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</si>
  <si>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</si>
  <si>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</si>
  <si>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</si>
  <si>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</si>
  <si>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</si>
  <si>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</si>
  <si>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</si>
  <si>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</si>
  <si>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</si>
  <si>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</si>
  <si>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</si>
  <si>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</si>
  <si>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</si>
  <si>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</si>
  <si>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</si>
  <si>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</si>
  <si>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</si>
  <si>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</si>
  <si>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</si>
  <si>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</si>
  <si>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</si>
  <si>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</si>
  <si>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</si>
  <si>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</si>
  <si>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</si>
  <si>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</si>
  <si>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</si>
  <si>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</si>
  <si>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</si>
  <si>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</si>
  <si>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</si>
  <si>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</si>
  <si>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</si>
  <si>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</si>
  <si>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</si>
  <si>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</si>
  <si>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</si>
  <si>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</si>
  <si>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</si>
  <si>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</si>
  <si>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</si>
  <si>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</si>
  <si>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</si>
  <si>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</si>
  <si>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</si>
  <si>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</si>
  <si>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</si>
  <si>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</si>
  <si>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</si>
  <si>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</si>
  <si>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</si>
  <si>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</si>
  <si>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</si>
  <si>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</si>
  <si>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</si>
  <si>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</si>
  <si>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</si>
  <si>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</si>
  <si>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</si>
  <si>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</si>
  <si>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</si>
  <si>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</si>
  <si>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</si>
  <si>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</si>
  <si>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</si>
  <si>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</si>
  <si>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</si>
  <si>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</si>
  <si>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</si>
  <si>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</si>
  <si>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</si>
  <si>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</si>
  <si>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</si>
  <si>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</si>
  <si>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</si>
  <si>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</si>
  <si>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</si>
  <si>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</si>
  <si>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</si>
  <si>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</si>
  <si>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</si>
  <si>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</si>
  <si>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</si>
  <si>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</si>
  <si>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</si>
  <si>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</si>
  <si>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</si>
  <si>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</si>
  <si>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</si>
  <si>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</si>
  <si>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</si>
  <si>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</si>
  <si>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</si>
  <si>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</si>
  <si>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</si>
  <si>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</si>
  <si>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</si>
  <si>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</si>
  <si>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</si>
  <si>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</si>
  <si>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</si>
  <si>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</si>
  <si>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</si>
  <si>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</si>
  <si>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</si>
  <si>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</si>
  <si>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</si>
  <si>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</si>
  <si>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</si>
  <si>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</si>
  <si>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</si>
  <si>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</si>
  <si>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</si>
  <si>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</si>
  <si>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</si>
  <si>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</si>
  <si>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</si>
  <si>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</si>
  <si>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</si>
  <si>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</si>
  <si>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</si>
  <si>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</si>
  <si>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</si>
  <si>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</si>
  <si>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</si>
  <si>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</si>
  <si>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</si>
  <si>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</si>
  <si>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</si>
  <si>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</si>
  <si>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</si>
  <si>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</si>
  <si>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</si>
  <si>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</si>
  <si>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</si>
  <si>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</si>
  <si>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</si>
  <si>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</si>
  <si>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</si>
  <si>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</si>
  <si>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</si>
  <si>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</si>
  <si>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</si>
  <si>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</si>
  <si>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</si>
  <si>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</si>
  <si>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</si>
  <si>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</si>
  <si>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</si>
  <si>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</si>
  <si>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</si>
  <si>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</si>
  <si>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</si>
  <si>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</si>
  <si>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</si>
  <si>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</si>
  <si>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</si>
  <si>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</si>
  <si>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</si>
  <si>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</si>
  <si>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</si>
  <si>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</si>
  <si>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</si>
  <si>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</si>
  <si>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</si>
  <si>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</si>
  <si>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</si>
  <si>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</si>
  <si>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</si>
  <si>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</si>
  <si>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</si>
  <si>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</si>
  <si>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</si>
  <si>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</si>
  <si>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</si>
  <si>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</si>
  <si>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</si>
  <si>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</si>
  <si>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</si>
  <si>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</si>
  <si>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</si>
  <si>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</si>
  <si>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</si>
  <si>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</si>
  <si>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</si>
  <si>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</si>
  <si>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</si>
  <si>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</si>
  <si>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</si>
  <si>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</si>
  <si>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</si>
  <si>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</si>
  <si>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</si>
  <si>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</si>
  <si>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</si>
  <si>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</si>
  <si>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</si>
  <si>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</si>
  <si>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</si>
  <si>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</si>
  <si>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</si>
  <si>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</si>
  <si>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</si>
  <si>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</si>
  <si>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</si>
  <si>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</si>
  <si>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</si>
  <si>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</si>
  <si>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</si>
  <si>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</si>
  <si>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</si>
  <si>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</si>
  <si>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</si>
  <si>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</si>
  <si>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</si>
  <si>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</si>
  <si>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</si>
  <si>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</si>
  <si>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</si>
  <si>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</si>
  <si>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</si>
  <si>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</si>
  <si>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</si>
  <si>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</si>
  <si>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</si>
  <si>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</si>
  <si>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</si>
  <si>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</si>
  <si>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</si>
  <si>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</si>
  <si>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</si>
  <si>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</si>
  <si>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</si>
  <si>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</si>
  <si>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</si>
  <si>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</si>
  <si>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</si>
  <si>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</si>
  <si>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</si>
  <si>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</si>
  <si>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</si>
  <si>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</si>
  <si>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</si>
  <si>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</si>
  <si>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</si>
  <si>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</si>
  <si>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</si>
  <si>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</si>
  <si>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</si>
  <si>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</si>
  <si>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</si>
  <si>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</si>
  <si>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</si>
  <si>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</si>
  <si>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</si>
  <si>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</si>
  <si>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</si>
  <si>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</si>
  <si>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</si>
  <si>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</si>
  <si>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</si>
  <si>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</si>
  <si>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</si>
  <si>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</si>
  <si>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</si>
  <si>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</si>
  <si>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</si>
  <si>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</si>
  <si>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</si>
  <si>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</si>
  <si>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</si>
  <si>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</si>
  <si>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</si>
  <si>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</si>
  <si>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</si>
  <si>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</si>
  <si>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</si>
  <si>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</si>
  <si>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</si>
  <si>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</si>
  <si>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</si>
  <si>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</si>
  <si>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</si>
  <si>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</si>
  <si>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</si>
  <si>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</si>
  <si>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</si>
  <si>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</si>
  <si>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</si>
  <si>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</si>
  <si>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</si>
  <si>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</si>
  <si>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</si>
  <si>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</si>
  <si>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</si>
  <si>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</si>
  <si>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</si>
  <si>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</si>
  <si>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</si>
  <si>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</si>
  <si>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</si>
  <si>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</si>
  <si>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</si>
  <si>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</si>
  <si>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</si>
  <si>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</si>
  <si>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</si>
  <si>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</si>
  <si>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</si>
  <si>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</si>
  <si>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</si>
  <si>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</si>
  <si>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</si>
  <si>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</si>
  <si>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</si>
  <si>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</si>
  <si>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</si>
  <si>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</si>
  <si>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</si>
  <si>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</si>
  <si>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</si>
  <si>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</si>
  <si>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</si>
  <si>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</si>
  <si>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</si>
  <si>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</si>
  <si>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</si>
  <si>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</si>
  <si>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</si>
  <si>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</si>
  <si>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</si>
  <si>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</si>
  <si>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</si>
  <si>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</si>
  <si>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</si>
  <si>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</si>
  <si>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</si>
  <si>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</si>
  <si>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</si>
  <si>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</si>
  <si>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</si>
  <si>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</si>
  <si>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</si>
  <si>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</si>
  <si>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</si>
  <si>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</si>
  <si>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</si>
  <si>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</si>
  <si>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</si>
  <si>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</si>
  <si>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</si>
  <si>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</si>
  <si>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</si>
  <si>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</si>
  <si>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</si>
  <si>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</si>
  <si>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</si>
  <si>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</si>
  <si>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</si>
  <si>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</si>
  <si>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</si>
  <si>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</si>
  <si>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</si>
  <si>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</si>
  <si>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</si>
  <si>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</si>
  <si>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</si>
  <si>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</si>
  <si>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</si>
  <si>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</si>
  <si>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</si>
  <si>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</si>
  <si>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</si>
  <si>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</si>
  <si>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</si>
  <si>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</si>
  <si>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</si>
  <si>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</si>
  <si>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</si>
  <si>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</si>
  <si>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</si>
  <si>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</si>
  <si>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</si>
  <si>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</si>
  <si>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</si>
  <si>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</si>
  <si>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</si>
  <si>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</si>
  <si>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</si>
  <si>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</si>
  <si>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</si>
  <si>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</si>
  <si>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</si>
  <si>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</si>
  <si>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</si>
  <si>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</si>
  <si>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</si>
  <si>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</si>
  <si>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</si>
  <si>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</si>
  <si>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</si>
  <si>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</si>
  <si>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</si>
  <si>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</si>
  <si>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</si>
  <si>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</si>
  <si>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</si>
  <si>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</si>
  <si>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</si>
  <si>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</si>
  <si>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</si>
  <si>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</si>
  <si>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</si>
  <si>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</si>
  <si>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</si>
  <si>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</si>
  <si>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</si>
  <si>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</si>
  <si>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</si>
  <si>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</si>
  <si>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</si>
  <si>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</si>
  <si>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</si>
  <si>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</si>
  <si>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</si>
  <si>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</si>
  <si>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</si>
  <si>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</si>
  <si>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</si>
  <si>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</si>
  <si>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</si>
  <si>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</si>
  <si>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</si>
  <si>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</si>
  <si>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</si>
  <si>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</si>
  <si>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</si>
  <si>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</si>
  <si>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</si>
  <si>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</si>
  <si>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</si>
  <si>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</si>
  <si>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</si>
  <si>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</si>
  <si>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</si>
  <si>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</si>
  <si>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</si>
  <si>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</si>
  <si>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</si>
  <si>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</si>
  <si>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</si>
  <si>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</si>
  <si>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</si>
  <si>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</si>
  <si>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</si>
  <si>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</si>
  <si>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</si>
  <si>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</si>
  <si>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</si>
  <si>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</si>
  <si>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</si>
  <si>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</si>
  <si>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</si>
  <si>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</si>
  <si>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</si>
  <si>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</si>
  <si>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</si>
  <si>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</si>
  <si>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</si>
  <si>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</si>
  <si>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</si>
  <si>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</si>
  <si>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</si>
  <si>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</si>
  <si>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</si>
  <si>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</si>
  <si>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</si>
  <si>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</si>
  <si>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</si>
  <si>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</si>
  <si>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</si>
  <si>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</si>
  <si>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</si>
  <si>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</si>
  <si>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</si>
  <si>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</si>
  <si>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</si>
  <si>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</si>
  <si>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</si>
  <si>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</si>
  <si>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</si>
  <si>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</si>
  <si>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</si>
  <si>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</si>
  <si>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</si>
  <si>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</si>
  <si>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</si>
  <si>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</si>
  <si>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</si>
  <si>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</si>
  <si>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</si>
  <si>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</si>
  <si>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</si>
  <si>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</si>
  <si>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</si>
  <si>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</si>
  <si>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</si>
  <si>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</si>
  <si>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</si>
  <si>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</si>
  <si>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</si>
  <si>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</si>
  <si>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</si>
  <si>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</si>
  <si>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</si>
  <si>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</si>
  <si>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</si>
  <si>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</si>
  <si>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</si>
  <si>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</si>
  <si>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</si>
  <si>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</si>
  <si>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</si>
  <si>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</si>
  <si>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</si>
  <si>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</si>
  <si>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</si>
  <si>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</si>
  <si>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</si>
  <si>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</si>
  <si>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</si>
  <si>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</si>
  <si>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</si>
  <si>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</si>
  <si>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</si>
  <si>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</si>
  <si>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</si>
  <si>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</si>
  <si>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</si>
  <si>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</si>
  <si>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</si>
  <si>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</si>
  <si>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</si>
  <si>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</si>
  <si>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</si>
  <si>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</si>
  <si>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</si>
  <si>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</si>
  <si>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</si>
  <si>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</si>
  <si>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</si>
  <si>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</si>
  <si>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</si>
  <si>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</si>
  <si>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</si>
  <si>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</si>
  <si>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</si>
  <si>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</si>
  <si>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</si>
  <si>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</si>
  <si>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</si>
  <si>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</si>
  <si>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</si>
  <si>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</si>
  <si>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</si>
  <si>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</si>
  <si>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</si>
  <si>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</si>
  <si>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</si>
  <si>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</si>
  <si>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</si>
  <si>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</si>
  <si>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</si>
  <si>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</si>
  <si>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</si>
  <si>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</si>
  <si>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</si>
  <si>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</si>
  <si>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</si>
  <si>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</si>
  <si>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</si>
  <si>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</si>
  <si>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</si>
  <si>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</si>
  <si>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</si>
  <si>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</si>
  <si>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</si>
  <si>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</si>
  <si>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</si>
  <si>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</si>
  <si>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</si>
  <si>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</si>
  <si>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</si>
  <si>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</si>
  <si>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</si>
  <si>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</si>
  <si>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</si>
  <si>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</si>
  <si>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</si>
  <si>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</si>
  <si>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</si>
  <si>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</si>
  <si>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</si>
  <si>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</si>
  <si>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</si>
  <si>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</si>
  <si>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</si>
  <si>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</si>
  <si>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</si>
  <si>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</si>
  <si>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</si>
  <si>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</si>
  <si>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</si>
  <si>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</si>
  <si>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</si>
  <si>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</si>
  <si>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</si>
  <si>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</si>
  <si>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</si>
  <si>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</si>
  <si>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</si>
  <si>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</si>
  <si>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</si>
  <si>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</si>
  <si>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</si>
  <si>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</si>
  <si>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</si>
  <si>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</si>
  <si>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</si>
  <si>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</si>
  <si>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</si>
  <si>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</si>
  <si>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</si>
  <si>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</si>
  <si>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</si>
  <si>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</si>
  <si>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</si>
  <si>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</si>
  <si>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</si>
  <si>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</si>
  <si>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</si>
  <si>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</si>
  <si>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</si>
  <si>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</si>
  <si>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</si>
  <si>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</si>
  <si>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</si>
  <si>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</si>
  <si>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</si>
  <si>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</si>
  <si>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</si>
  <si>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</si>
  <si>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</si>
  <si>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</si>
  <si>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</si>
  <si>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</si>
  <si>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</si>
  <si>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</si>
  <si>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</si>
  <si>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</si>
  <si>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</si>
  <si>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</si>
  <si>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</si>
  <si>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</si>
  <si>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</si>
  <si>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</si>
  <si>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</si>
  <si>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</si>
  <si>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</si>
  <si>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</si>
  <si>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</si>
  <si>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</si>
  <si>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</si>
  <si>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</si>
  <si>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</si>
  <si>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</si>
  <si>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</si>
  <si>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</si>
  <si>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</si>
  <si>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</si>
  <si>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</si>
  <si>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</si>
  <si>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</si>
  <si>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</si>
  <si>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</si>
  <si>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</si>
  <si>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</si>
  <si>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</si>
  <si>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</si>
  <si>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</si>
  <si>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</si>
  <si>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</si>
  <si>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</si>
  <si>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</si>
  <si>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</si>
  <si>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</si>
  <si>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</si>
  <si>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</si>
  <si>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</si>
  <si>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</si>
  <si>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</si>
  <si>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</si>
  <si>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</si>
  <si>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</si>
  <si>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</si>
  <si>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</si>
  <si>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</si>
  <si>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</si>
  <si>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</si>
  <si>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</si>
  <si>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</si>
  <si>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</si>
  <si>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</si>
  <si>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</si>
  <si>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</si>
  <si>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</si>
  <si>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</si>
  <si>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</si>
  <si>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</si>
  <si>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</si>
  <si>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</si>
  <si>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</si>
  <si>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</si>
  <si>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</si>
  <si>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</si>
  <si>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</si>
  <si>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</si>
  <si>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</si>
  <si>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</si>
  <si>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</si>
  <si>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</si>
  <si>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</si>
  <si>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</si>
  <si>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</si>
  <si>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</si>
  <si>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</si>
  <si>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</si>
  <si>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</si>
  <si>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</si>
  <si>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</si>
  <si>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</si>
  <si>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</si>
  <si>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</si>
  <si>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</si>
  <si>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</si>
  <si>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</si>
  <si>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</si>
  <si>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</si>
  <si>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</si>
  <si>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</si>
  <si>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</si>
  <si>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</si>
  <si>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</si>
  <si>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</si>
  <si>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</si>
  <si>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</si>
  <si>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</si>
  <si>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</si>
  <si>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</si>
  <si>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</si>
  <si>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</si>
  <si>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</si>
  <si>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</si>
  <si>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</si>
  <si>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</si>
  <si>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</si>
  <si>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</si>
  <si>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</si>
  <si>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</si>
  <si>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</si>
  <si>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</si>
  <si>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</si>
  <si>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</si>
  <si>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</si>
  <si>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</si>
  <si>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</si>
  <si>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</si>
  <si>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</si>
  <si>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</si>
  <si>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</si>
  <si>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</si>
  <si>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</si>
  <si>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</si>
  <si>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</si>
  <si>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</si>
  <si>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</si>
  <si>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</si>
  <si>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</si>
  <si>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</si>
  <si>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</si>
  <si>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</si>
  <si>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</si>
  <si>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</si>
  <si>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</si>
  <si>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</si>
  <si>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</si>
  <si>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</si>
  <si>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</si>
  <si>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</si>
  <si>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</si>
  <si>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</si>
  <si>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</si>
  <si>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</si>
  <si>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</si>
  <si>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</si>
  <si>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</si>
  <si>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</si>
  <si>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</si>
  <si>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</si>
  <si>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</si>
  <si>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</si>
  <si>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</si>
  <si>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</si>
  <si>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</si>
  <si>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</si>
  <si>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</si>
  <si>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</si>
  <si>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</si>
  <si>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</si>
  <si>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</si>
  <si>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</si>
  <si>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</si>
  <si>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</si>
  <si>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</si>
  <si>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</si>
  <si>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"ბანკი ქართუ"</t>
  </si>
  <si>
    <t>ნ. ხაინდრავა</t>
  </si>
  <si>
    <t>ზ.გელენიძე</t>
  </si>
  <si>
    <t>www.cartubank.ge</t>
  </si>
  <si>
    <t xml:space="preserve">                                                                             საბალანსო აქტივები                                                                                                         
                                                                                                                                                                                                                                                                                                            რისკის კლასები</t>
  </si>
  <si>
    <t>ნატო ხაინდრავა</t>
  </si>
  <si>
    <t>არადამოუკიდებელი თავმჯდომარე</t>
  </si>
  <si>
    <t>ლაშა მეგრელიძე</t>
  </si>
  <si>
    <t>დამოუკიდებელი წევრი</t>
  </si>
  <si>
    <t xml:space="preserve">ბესიკ დემეტრაშვილი                                                                                  </t>
  </si>
  <si>
    <t>არადამოუკიდებელი წევრი</t>
  </si>
  <si>
    <t>ზაზა ვერძეული</t>
  </si>
  <si>
    <t>ზურაბ გელენიძე</t>
  </si>
  <si>
    <t>გენერალური დირექტორი</t>
  </si>
  <si>
    <t>გივი ლებანიძე</t>
  </si>
  <si>
    <t>გენერალური დირექტორის მოადგილე - ფინანსური დირექტორი</t>
  </si>
  <si>
    <t>ბექა კვარაცხელია</t>
  </si>
  <si>
    <t>გენერალური დირექტორის მოადგილე - რისკების დირექტორი</t>
  </si>
  <si>
    <t>ზურაბ გოგუა</t>
  </si>
  <si>
    <t>გენერალური დირექტორის მოადგილე - კომერციული დირექტორი</t>
  </si>
  <si>
    <t>გიორგი კორსანტია</t>
  </si>
  <si>
    <t>გენერალური დირექტორის მოადგილე - ინფორმაციული ტექნოლოგიების დირექტორი</t>
  </si>
  <si>
    <t>ვახტანგ მაჭავარიანი</t>
  </si>
  <si>
    <t xml:space="preserve">
გენერალური დირექტორის მოადგილე - ადმინისტრაციული დირექტორი</t>
  </si>
  <si>
    <t xml:space="preserve">ა(ა)იპ საერთაშორისო საქველმოქმედო ფონდი "ქართუ"                                                     </t>
  </si>
  <si>
    <t xml:space="preserve">უტა ივანიშვილი </t>
  </si>
  <si>
    <t>ცხრილი 9 (Capital), N28 &amp; N38</t>
  </si>
  <si>
    <t xml:space="preserve"> ცხრილი 9 (Capital), N2</t>
  </si>
  <si>
    <t>ცხრილი 9 (Capital), N27</t>
  </si>
  <si>
    <t xml:space="preserve"> ცხრილი 9 (Capital), N5 &amp; N6</t>
  </si>
  <si>
    <t>ირინე ქინქლაძე</t>
  </si>
  <si>
    <t xml:space="preserve"> ცხრილი 9 (Capital), N8 &amp; N4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</si>
</sst>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_(* #,##0.0_);_(* \(#,##0.0\);_(* &quot;-&quot;??_);_(@_)"/>
  </numFmts>
  <fonts count="16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1">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8" fontId="40"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8" fontId="40"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9" fontId="40"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0" fontId="38" fillId="63" borderId="37" applyNumberFormat="0" applyAlignment="0" applyProtection="0"/>
    <xf numFmtId="0" fontId="41" fillId="64" borderId="38" applyNumberFormat="0" applyAlignment="0" applyProtection="0"/>
    <xf numFmtId="0" fontId="42" fillId="9" borderId="33"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0" fontId="41"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0" fontId="42" fillId="9" borderId="33"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0" fontId="41" fillId="64"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0" applyFont="0" applyFill="0" applyBorder="0" applyAlignment="0" applyProtection="0"/>
    <xf numFmtId="180"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8" applyNumberFormat="0" applyAlignment="0" applyProtection="0">
      <alignment horizontal="left" vertical="center"/>
    </xf>
    <xf numFmtId="0" fontId="54" fillId="0" borderId="28" applyNumberFormat="0" applyAlignment="0" applyProtection="0">
      <alignment horizontal="left" vertical="center"/>
    </xf>
    <xf numFmtId="168" fontId="54" fillId="0" borderId="28"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0" applyNumberFormat="0" applyFill="0" applyAlignment="0" applyProtection="0"/>
    <xf numFmtId="169" fontId="55" fillId="0" borderId="40" applyNumberFormat="0" applyFill="0" applyAlignment="0" applyProtection="0"/>
    <xf numFmtId="0"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0" fontId="55" fillId="0" borderId="40" applyNumberFormat="0" applyFill="0" applyAlignment="0" applyProtection="0"/>
    <xf numFmtId="0" fontId="56" fillId="0" borderId="41" applyNumberFormat="0" applyFill="0" applyAlignment="0" applyProtection="0"/>
    <xf numFmtId="169"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0" fontId="57" fillId="0" borderId="42" applyNumberFormat="0" applyFill="0" applyAlignment="0" applyProtection="0"/>
    <xf numFmtId="169" fontId="57" fillId="0" borderId="42" applyNumberFormat="0" applyFill="0" applyAlignment="0" applyProtection="0"/>
    <xf numFmtId="0" fontId="57" fillId="0" borderId="42" applyNumberFormat="0" applyFill="0" applyAlignment="0" applyProtection="0"/>
    <xf numFmtId="168" fontId="57" fillId="0" borderId="42" applyNumberFormat="0" applyFill="0" applyAlignment="0" applyProtection="0"/>
    <xf numFmtId="0" fontId="57" fillId="0" borderId="42" applyNumberFormat="0" applyFill="0" applyAlignment="0" applyProtection="0"/>
    <xf numFmtId="168" fontId="57" fillId="0" borderId="42"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0" fontId="57" fillId="0" borderId="42"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8" fontId="68"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8" fontId="68"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9" fontId="68"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0" fontId="66" fillId="42" borderId="37" applyNumberFormat="0" applyAlignment="0" applyProtection="0"/>
    <xf numFmtId="3" fontId="2"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3" applyNumberFormat="0" applyFill="0" applyAlignment="0" applyProtection="0"/>
    <xf numFmtId="0" fontId="70" fillId="0" borderId="32"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0" fontId="69" fillId="0" borderId="43"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0" fontId="69"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4"/>
    <xf numFmtId="169" fontId="26" fillId="0" borderId="44"/>
    <xf numFmtId="168" fontId="26"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168" fontId="2" fillId="0" borderId="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7" fillId="73" borderId="45" applyNumberFormat="0" applyFont="0" applyAlignment="0" applyProtection="0"/>
    <xf numFmtId="168" fontId="2" fillId="0" borderId="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169" fontId="2" fillId="0" borderId="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 fillId="0" borderId="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168" fontId="2" fillId="0" borderId="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2" fillId="0" borderId="0"/>
    <xf numFmtId="0" fontId="82" fillId="0" borderId="0"/>
    <xf numFmtId="168" fontId="82" fillId="0" borderId="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8" fontId="85"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8" fontId="85"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9" fontId="85"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0" fontId="83" fillId="63" borderId="46"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8" fontId="94"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8" fontId="94"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9" fontId="94"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0" fontId="47" fillId="0" borderId="47" applyNumberFormat="0" applyFill="0" applyAlignment="0" applyProtection="0"/>
    <xf numFmtId="0" fontId="25" fillId="0" borderId="48"/>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3" applyNumberFormat="0" applyFill="0" applyAlignment="0" applyProtection="0"/>
    <xf numFmtId="168" fontId="94" fillId="0" borderId="103" applyNumberFormat="0" applyFill="0" applyAlignment="0" applyProtection="0"/>
    <xf numFmtId="169" fontId="94" fillId="0" borderId="103" applyNumberFormat="0" applyFill="0" applyAlignment="0" applyProtection="0"/>
    <xf numFmtId="168" fontId="94" fillId="0" borderId="103" applyNumberFormat="0" applyFill="0" applyAlignment="0" applyProtection="0"/>
    <xf numFmtId="168" fontId="94" fillId="0" borderId="103" applyNumberFormat="0" applyFill="0" applyAlignment="0" applyProtection="0"/>
    <xf numFmtId="169" fontId="94" fillId="0" borderId="103" applyNumberFormat="0" applyFill="0" applyAlignment="0" applyProtection="0"/>
    <xf numFmtId="168" fontId="94" fillId="0" borderId="103" applyNumberFormat="0" applyFill="0" applyAlignment="0" applyProtection="0"/>
    <xf numFmtId="168" fontId="94" fillId="0" borderId="103" applyNumberFormat="0" applyFill="0" applyAlignment="0" applyProtection="0"/>
    <xf numFmtId="169" fontId="94" fillId="0" borderId="103" applyNumberFormat="0" applyFill="0" applyAlignment="0" applyProtection="0"/>
    <xf numFmtId="168" fontId="94" fillId="0" borderId="103" applyNumberFormat="0" applyFill="0" applyAlignment="0" applyProtection="0"/>
    <xf numFmtId="168" fontId="94" fillId="0" borderId="103" applyNumberFormat="0" applyFill="0" applyAlignment="0" applyProtection="0"/>
    <xf numFmtId="169" fontId="94" fillId="0" borderId="103" applyNumberFormat="0" applyFill="0" applyAlignment="0" applyProtection="0"/>
    <xf numFmtId="168"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69"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68"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68"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88" fontId="2" fillId="69" borderId="97" applyFont="0">
      <alignment horizontal="right" vertical="center"/>
    </xf>
    <xf numFmtId="3" fontId="2" fillId="69" borderId="97" applyFont="0">
      <alignment horizontal="right" vertical="center"/>
    </xf>
    <xf numFmtId="0" fontId="83" fillId="63" borderId="102" applyNumberFormat="0" applyAlignment="0" applyProtection="0"/>
    <xf numFmtId="168" fontId="85" fillId="63" borderId="102" applyNumberFormat="0" applyAlignment="0" applyProtection="0"/>
    <xf numFmtId="169" fontId="85" fillId="63" borderId="102" applyNumberFormat="0" applyAlignment="0" applyProtection="0"/>
    <xf numFmtId="168" fontId="85" fillId="63" borderId="102" applyNumberFormat="0" applyAlignment="0" applyProtection="0"/>
    <xf numFmtId="168" fontId="85" fillId="63" borderId="102" applyNumberFormat="0" applyAlignment="0" applyProtection="0"/>
    <xf numFmtId="169" fontId="85" fillId="63" borderId="102" applyNumberFormat="0" applyAlignment="0" applyProtection="0"/>
    <xf numFmtId="168" fontId="85" fillId="63" borderId="102" applyNumberFormat="0" applyAlignment="0" applyProtection="0"/>
    <xf numFmtId="168" fontId="85" fillId="63" borderId="102" applyNumberFormat="0" applyAlignment="0" applyProtection="0"/>
    <xf numFmtId="169" fontId="85" fillId="63" borderId="102" applyNumberFormat="0" applyAlignment="0" applyProtection="0"/>
    <xf numFmtId="168" fontId="85" fillId="63" borderId="102" applyNumberFormat="0" applyAlignment="0" applyProtection="0"/>
    <xf numFmtId="168" fontId="85" fillId="63" borderId="102" applyNumberFormat="0" applyAlignment="0" applyProtection="0"/>
    <xf numFmtId="169" fontId="85" fillId="63" borderId="102" applyNumberFormat="0" applyAlignment="0" applyProtection="0"/>
    <xf numFmtId="168"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69"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68"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68"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3" fontId="2" fillId="74" borderId="97" applyFont="0">
      <alignment horizontal="right" vertical="center"/>
      <protection locked="0"/>
    </xf>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3" fontId="2" fillId="71" borderId="97" applyFont="0">
      <alignment horizontal="right" vertical="center"/>
      <protection locked="0"/>
    </xf>
    <xf numFmtId="0" fontId="66" fillId="42" borderId="100" applyNumberFormat="0" applyAlignment="0" applyProtection="0"/>
    <xf numFmtId="168" fontId="68" fillId="42" borderId="100" applyNumberFormat="0" applyAlignment="0" applyProtection="0"/>
    <xf numFmtId="169" fontId="68" fillId="42" borderId="100" applyNumberFormat="0" applyAlignment="0" applyProtection="0"/>
    <xf numFmtId="168" fontId="68" fillId="42" borderId="100" applyNumberFormat="0" applyAlignment="0" applyProtection="0"/>
    <xf numFmtId="168" fontId="68" fillId="42" borderId="100" applyNumberFormat="0" applyAlignment="0" applyProtection="0"/>
    <xf numFmtId="169" fontId="68" fillId="42" borderId="100" applyNumberFormat="0" applyAlignment="0" applyProtection="0"/>
    <xf numFmtId="168" fontId="68" fillId="42" borderId="100" applyNumberFormat="0" applyAlignment="0" applyProtection="0"/>
    <xf numFmtId="168" fontId="68" fillId="42" borderId="100" applyNumberFormat="0" applyAlignment="0" applyProtection="0"/>
    <xf numFmtId="169" fontId="68" fillId="42" borderId="100" applyNumberFormat="0" applyAlignment="0" applyProtection="0"/>
    <xf numFmtId="168" fontId="68" fillId="42" borderId="100" applyNumberFormat="0" applyAlignment="0" applyProtection="0"/>
    <xf numFmtId="168" fontId="68" fillId="42" borderId="100" applyNumberFormat="0" applyAlignment="0" applyProtection="0"/>
    <xf numFmtId="169" fontId="68" fillId="42" borderId="100" applyNumberFormat="0" applyAlignment="0" applyProtection="0"/>
    <xf numFmtId="168"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69"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68"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68"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2" fillId="70" borderId="98" applyNumberFormat="0" applyFont="0" applyBorder="0" applyProtection="0">
      <alignment horizontal="left" vertical="center"/>
    </xf>
    <xf numFmtId="9" fontId="2" fillId="70" borderId="97" applyFont="0" applyProtection="0">
      <alignment horizontal="right" vertical="center"/>
    </xf>
    <xf numFmtId="3" fontId="2" fillId="70" borderId="97" applyFont="0" applyProtection="0">
      <alignment horizontal="right" vertical="center"/>
    </xf>
    <xf numFmtId="0" fontId="62" fillId="69" borderId="98" applyFont="0" applyBorder="0">
      <alignment horizontal="center" wrapText="1"/>
    </xf>
    <xf numFmtId="168" fontId="54" fillId="0" borderId="95">
      <alignment horizontal="left" vertical="center"/>
    </xf>
    <xf numFmtId="0" fontId="54" fillId="0" borderId="95">
      <alignment horizontal="left" vertical="center"/>
    </xf>
    <xf numFmtId="0" fontId="54" fillId="0" borderId="95">
      <alignment horizontal="left" vertical="center"/>
    </xf>
    <xf numFmtId="0" fontId="2" fillId="68" borderId="97" applyNumberFormat="0" applyFont="0" applyBorder="0" applyProtection="0">
      <alignment horizontal="center" vertical="center"/>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8" fillId="63" borderId="100" applyNumberFormat="0" applyAlignment="0" applyProtection="0"/>
    <xf numFmtId="168" fontId="40" fillId="63" borderId="100" applyNumberFormat="0" applyAlignment="0" applyProtection="0"/>
    <xf numFmtId="169" fontId="40" fillId="63" borderId="100" applyNumberFormat="0" applyAlignment="0" applyProtection="0"/>
    <xf numFmtId="168" fontId="40" fillId="63" borderId="100" applyNumberFormat="0" applyAlignment="0" applyProtection="0"/>
    <xf numFmtId="168" fontId="40" fillId="63" borderId="100" applyNumberFormat="0" applyAlignment="0" applyProtection="0"/>
    <xf numFmtId="169" fontId="40" fillId="63" borderId="100" applyNumberFormat="0" applyAlignment="0" applyProtection="0"/>
    <xf numFmtId="168" fontId="40" fillId="63" borderId="100" applyNumberFormat="0" applyAlignment="0" applyProtection="0"/>
    <xf numFmtId="168" fontId="40" fillId="63" borderId="100" applyNumberFormat="0" applyAlignment="0" applyProtection="0"/>
    <xf numFmtId="169" fontId="40" fillId="63" borderId="100" applyNumberFormat="0" applyAlignment="0" applyProtection="0"/>
    <xf numFmtId="168" fontId="40" fillId="63" borderId="100" applyNumberFormat="0" applyAlignment="0" applyProtection="0"/>
    <xf numFmtId="168" fontId="40" fillId="63" borderId="100" applyNumberFormat="0" applyAlignment="0" applyProtection="0"/>
    <xf numFmtId="169" fontId="40" fillId="63" borderId="100" applyNumberFormat="0" applyAlignment="0" applyProtection="0"/>
    <xf numFmtId="168"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69"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68"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68"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1" fillId="0" borderId="0"/>
    <xf numFmtId="169" fontId="26" fillId="36" borderId="0"/>
    <xf numFmtId="0" fontId="2" fillId="0" borderId="0">
      <alignment vertical="center"/>
    </xf>
    <xf numFmtId="166" fontId="1" fillId="0" borderId="0" applyFont="0" applyFill="0" applyBorder="0" applyAlignment="0" applyProtection="0"/>
    <xf numFmtId="0" fontId="129" fillId="0" borderId="0"/>
    <xf numFmtId="0" fontId="1" fillId="0" borderId="0"/>
    <xf numFmtId="0" fontId="1" fillId="0" borderId="0"/>
  </cellStyleXfs>
  <cellXfs count="928">
    <xf numFmtId="0" fontId="0" fillId="0" borderId="0" xfId="0"/>
    <xf numFmtId="0" fontId="4" fillId="0" borderId="0" xfId="0" applyFont="1"/>
    <xf numFmtId="0" fontId="0" fillId="0" borderId="0" xfId="0" applyAlignment="1">
      <alignment wrapText="1"/>
    </xf>
    <xf numFmtId="167" fontId="3" fillId="0" borderId="0" xfId="0" applyNumberFormat="1" applyFont="1" applyAlignment="1">
      <alignment horizontal="center"/>
    </xf>
    <xf numFmtId="167" fontId="0" fillId="0" borderId="0" xfId="0" applyNumberFormat="1" applyAlignment="1">
      <alignment horizontal="center"/>
    </xf>
    <xf numFmtId="167" fontId="5" fillId="0" borderId="0" xfId="0" applyNumberFormat="1" applyFont="1" applyAlignment="1">
      <alignment horizontal="center"/>
    </xf>
    <xf numFmtId="0" fontId="4" fillId="0" borderId="3" xfId="0" applyFont="1" applyBorder="1"/>
    <xf numFmtId="0" fontId="9" fillId="0" borderId="15" xfId="0" applyFont="1" applyBorder="1"/>
    <xf numFmtId="0" fontId="12" fillId="0" borderId="0" xfId="0" applyFont="1"/>
    <xf numFmtId="0" fontId="9" fillId="0" borderId="0" xfId="0" applyFont="1" applyAlignment="1">
      <alignment horizontal="right" wrapText="1"/>
    </xf>
    <xf numFmtId="0" fontId="9" fillId="0" borderId="18" xfId="0" applyFont="1" applyBorder="1" applyAlignment="1">
      <alignment vertical="center"/>
    </xf>
    <xf numFmtId="0" fontId="9" fillId="0" borderId="21" xfId="0" applyFont="1" applyBorder="1"/>
    <xf numFmtId="0" fontId="7" fillId="0" borderId="0" xfId="0" applyFont="1"/>
    <xf numFmtId="0" fontId="9" fillId="0" borderId="0" xfId="11" applyFont="1"/>
    <xf numFmtId="0" fontId="9" fillId="0" borderId="0" xfId="0" applyFont="1"/>
    <xf numFmtId="0" fontId="9" fillId="0" borderId="0" xfId="0" applyFont="1" applyAlignment="1">
      <alignment horizontal="right"/>
    </xf>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xf numFmtId="0" fontId="9" fillId="0" borderId="8" xfId="0" applyFont="1" applyBorder="1" applyAlignment="1">
      <alignment wrapText="1"/>
    </xf>
    <xf numFmtId="0" fontId="9" fillId="0" borderId="20" xfId="0" applyFont="1" applyBorder="1" applyAlignment="1">
      <alignment wrapText="1"/>
    </xf>
    <xf numFmtId="0" fontId="6" fillId="0" borderId="0" xfId="0" applyFont="1" applyAlignment="1">
      <alignment horizontal="center"/>
    </xf>
    <xf numFmtId="0" fontId="10" fillId="0" borderId="0" xfId="0" applyFont="1" applyAlignment="1">
      <alignment horizontal="center" wrapText="1"/>
    </xf>
    <xf numFmtId="0" fontId="13" fillId="0" borderId="8" xfId="0" applyFont="1" applyBorder="1" applyAlignment="1">
      <alignment wrapText="1"/>
    </xf>
    <xf numFmtId="0" fontId="13" fillId="0" borderId="24"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8"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164" fontId="7" fillId="3" borderId="3" xfId="1" applyNumberFormat="1" applyFont="1" applyFill="1" applyBorder="1" applyAlignment="1" applyProtection="1">
      <alignment horizontal="center" vertical="center" wrapText="1"/>
      <protection locked="0"/>
    </xf>
    <xf numFmtId="164" fontId="7" fillId="3" borderId="18"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0" fontId="4" fillId="0" borderId="15" xfId="0" applyFont="1" applyBorder="1"/>
    <xf numFmtId="0" fontId="4" fillId="0" borderId="17" xfId="0" applyFont="1" applyBorder="1"/>
    <xf numFmtId="0" fontId="7" fillId="3" borderId="21" xfId="9" applyFont="1" applyFill="1" applyBorder="1" applyAlignment="1" applyProtection="1">
      <alignment horizontal="left" vertical="center"/>
      <protection locked="0"/>
    </xf>
    <xf numFmtId="0" fontId="15" fillId="3" borderId="23" xfId="16" applyFont="1" applyFill="1" applyBorder="1" applyProtection="1">
      <protection locked="0"/>
    </xf>
    <xf numFmtId="0" fontId="4" fillId="0" borderId="18" xfId="0" applyFont="1" applyBorder="1" applyAlignment="1">
      <alignment horizontal="center" vertical="center"/>
    </xf>
    <xf numFmtId="0" fontId="7" fillId="0" borderId="0" xfId="11" applyFont="1" applyAlignment="1">
      <alignment vertical="center"/>
    </xf>
    <xf numFmtId="0" fontId="4" fillId="0" borderId="18" xfId="0" applyFont="1" applyBorder="1" applyAlignment="1">
      <alignment vertical="center"/>
    </xf>
    <xf numFmtId="0" fontId="9" fillId="2" borderId="21" xfId="0" applyFont="1" applyFill="1" applyBorder="1" applyAlignment="1">
      <alignment horizontal="right" vertical="center"/>
    </xf>
    <xf numFmtId="0" fontId="4" fillId="0" borderId="53" xfId="0" applyFont="1" applyBorder="1"/>
    <xf numFmtId="0" fontId="20" fillId="0" borderId="21" xfId="0" applyFont="1" applyBorder="1" applyAlignment="1">
      <alignment horizontal="center" vertical="center" wrapText="1"/>
    </xf>
    <xf numFmtId="0" fontId="4" fillId="0" borderId="54" xfId="0" applyFont="1" applyBorder="1"/>
    <xf numFmtId="0" fontId="7" fillId="0" borderId="15" xfId="9" applyFont="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0" fontId="7" fillId="0" borderId="18" xfId="9" applyFont="1" applyBorder="1" applyAlignment="1" applyProtection="1">
      <alignment horizontal="center" vertical="center"/>
      <protection locked="0"/>
    </xf>
    <xf numFmtId="0" fontId="7" fillId="0" borderId="0" xfId="13" applyFont="1" applyAlignment="1" applyProtection="1">
      <alignment wrapText="1"/>
      <protection locked="0"/>
    </xf>
    <xf numFmtId="0" fontId="7" fillId="0" borderId="18" xfId="9" applyFont="1" applyBorder="1" applyAlignment="1" applyProtection="1">
      <alignment horizontal="center" vertical="center" wrapText="1"/>
      <protection locked="0"/>
    </xf>
    <xf numFmtId="0" fontId="15" fillId="35" borderId="22" xfId="13" applyFont="1" applyFill="1" applyBorder="1" applyAlignment="1" applyProtection="1">
      <alignment vertical="center" wrapText="1"/>
      <protection locked="0"/>
    </xf>
    <xf numFmtId="167" fontId="23" fillId="0" borderId="59" xfId="0" applyNumberFormat="1" applyFont="1" applyBorder="1" applyAlignment="1">
      <alignment horizontal="center"/>
    </xf>
    <xf numFmtId="167" fontId="23" fillId="0" borderId="57" xfId="0" applyNumberFormat="1" applyFont="1" applyBorder="1" applyAlignment="1">
      <alignment horizontal="center"/>
    </xf>
    <xf numFmtId="167" fontId="19" fillId="0" borderId="57" xfId="0" applyNumberFormat="1" applyFont="1" applyBorder="1" applyAlignment="1">
      <alignment horizontal="center"/>
    </xf>
    <xf numFmtId="167" fontId="23" fillId="0" borderId="60" xfId="0" applyNumberFormat="1" applyFont="1" applyBorder="1" applyAlignment="1">
      <alignment horizontal="center"/>
    </xf>
    <xf numFmtId="167" fontId="23" fillId="0" borderId="61"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2" xfId="0" applyFont="1" applyBorder="1"/>
    <xf numFmtId="0" fontId="4" fillId="0" borderId="16" xfId="0" applyFont="1" applyBorder="1"/>
    <xf numFmtId="0" fontId="4" fillId="0" borderId="21" xfId="0" applyFont="1" applyBorder="1"/>
    <xf numFmtId="0" fontId="7" fillId="3" borderId="18" xfId="5" applyFont="1" applyFill="1" applyBorder="1" applyAlignment="1" applyProtection="1">
      <alignment horizontal="right" vertical="center"/>
      <protection locked="0"/>
    </xf>
    <xf numFmtId="0" fontId="15" fillId="3" borderId="22" xfId="16" applyFont="1" applyFill="1" applyBorder="1" applyProtection="1">
      <protection locked="0"/>
    </xf>
    <xf numFmtId="0" fontId="4" fillId="0" borderId="16" xfId="0" applyFont="1" applyBorder="1" applyAlignment="1">
      <alignment wrapText="1"/>
    </xf>
    <xf numFmtId="0" fontId="4" fillId="0" borderId="17" xfId="0" applyFont="1" applyBorder="1" applyAlignment="1">
      <alignment wrapText="1"/>
    </xf>
    <xf numFmtId="0" fontId="6" fillId="0" borderId="22"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19" xfId="0" applyFont="1" applyBorder="1" applyAlignment="1">
      <alignment horizontal="center" vertical="center"/>
    </xf>
    <xf numFmtId="0" fontId="1" fillId="0" borderId="0" xfId="0" applyFont="1"/>
    <xf numFmtId="0" fontId="9" fillId="3" borderId="3" xfId="20960" applyFont="1" applyFill="1" applyBorder="1" applyAlignment="1">
      <alignment horizontal="left" wrapText="1" indent="1"/>
    </xf>
    <xf numFmtId="0" fontId="9"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9" fillId="0" borderId="2" xfId="20960" applyFont="1" applyBorder="1" applyAlignment="1">
      <alignment horizontal="left" wrapText="1" indent="1"/>
    </xf>
    <xf numFmtId="0" fontId="15" fillId="0" borderId="16" xfId="11" applyFont="1" applyBorder="1" applyAlignment="1">
      <alignment horizontal="center" vertical="center"/>
    </xf>
    <xf numFmtId="0" fontId="9" fillId="0" borderId="0" xfId="11" applyFont="1" applyAlignment="1">
      <alignment horizontal="left"/>
    </xf>
    <xf numFmtId="0" fontId="18" fillId="0" borderId="0" xfId="11" applyFont="1" applyAlignment="1">
      <alignment horizontal="right"/>
    </xf>
    <xf numFmtId="0" fontId="0" fillId="0" borderId="15" xfId="0" applyBorder="1" applyAlignment="1">
      <alignment horizontal="center" vertical="center"/>
    </xf>
    <xf numFmtId="0" fontId="6" fillId="35" borderId="26" xfId="0" applyFont="1" applyFill="1" applyBorder="1" applyAlignment="1">
      <alignment wrapText="1"/>
    </xf>
    <xf numFmtId="0" fontId="4" fillId="0" borderId="9" xfId="0" applyFont="1" applyBorder="1" applyAlignment="1">
      <alignment vertical="center" wrapText="1"/>
    </xf>
    <xf numFmtId="0" fontId="6" fillId="35" borderId="9" xfId="0" applyFont="1" applyFill="1" applyBorder="1" applyAlignment="1">
      <alignment wrapText="1"/>
    </xf>
    <xf numFmtId="0" fontId="6" fillId="35" borderId="67" xfId="0" applyFont="1" applyFill="1" applyBorder="1" applyAlignment="1">
      <alignment wrapText="1"/>
    </xf>
    <xf numFmtId="0" fontId="15" fillId="0" borderId="0" xfId="11" applyFont="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1" xfId="0" applyFont="1" applyBorder="1" applyAlignment="1">
      <alignment horizontal="center" vertical="center" wrapText="1"/>
    </xf>
    <xf numFmtId="0" fontId="4" fillId="0" borderId="9" xfId="0" applyFont="1" applyBorder="1" applyAlignment="1">
      <alignment vertical="center"/>
    </xf>
    <xf numFmtId="0" fontId="10" fillId="0" borderId="0" xfId="11" applyFont="1" applyAlignment="1">
      <alignment horizontal="center"/>
    </xf>
    <xf numFmtId="0" fontId="4" fillId="0" borderId="6" xfId="0" applyFont="1" applyBorder="1" applyAlignment="1">
      <alignment horizontal="center" vertical="center" wrapText="1"/>
    </xf>
    <xf numFmtId="0" fontId="18" fillId="0" borderId="0" xfId="0" applyFont="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8"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Border="1" applyAlignment="1">
      <alignment horizontal="center"/>
    </xf>
    <xf numFmtId="0" fontId="4" fillId="0" borderId="21"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75" xfId="0" applyNumberFormat="1" applyFont="1" applyBorder="1" applyAlignment="1">
      <alignment horizontal="right" vertical="center"/>
    </xf>
    <xf numFmtId="49" fontId="106" fillId="0" borderId="78" xfId="0" applyNumberFormat="1" applyFont="1" applyBorder="1" applyAlignment="1">
      <alignment horizontal="right" vertical="center"/>
    </xf>
    <xf numFmtId="49" fontId="106" fillId="0" borderId="83" xfId="0" applyNumberFormat="1" applyFont="1" applyBorder="1" applyAlignment="1">
      <alignment horizontal="right" vertical="center"/>
    </xf>
    <xf numFmtId="0" fontId="106" fillId="0" borderId="0" xfId="0" applyFont="1" applyAlignment="1">
      <alignment horizontal="left"/>
    </xf>
    <xf numFmtId="0" fontId="106" fillId="0" borderId="83" xfId="0" applyFont="1" applyBorder="1" applyAlignment="1">
      <alignment horizontal="right" vertical="center"/>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9" fillId="0" borderId="0" xfId="0" applyFont="1" applyAlignment="1">
      <alignment horizontal="left" wrapText="1"/>
    </xf>
    <xf numFmtId="0" fontId="9" fillId="0" borderId="1" xfId="11" applyFont="1" applyBorder="1"/>
    <xf numFmtId="0" fontId="15" fillId="0" borderId="1" xfId="11" applyFont="1" applyBorder="1" applyAlignment="1">
      <alignment horizontal="left" vertical="center"/>
    </xf>
    <xf numFmtId="0" fontId="7" fillId="3" borderId="3" xfId="20960" applyFont="1" applyFill="1" applyBorder="1" applyAlignment="1">
      <alignment horizontal="right" indent="1"/>
    </xf>
    <xf numFmtId="0" fontId="7" fillId="3" borderId="2" xfId="20960" applyFont="1" applyFill="1" applyBorder="1" applyAlignment="1">
      <alignment horizontal="right" indent="1"/>
    </xf>
    <xf numFmtId="193" fontId="9" fillId="2" borderId="22" xfId="0" applyNumberFormat="1" applyFont="1" applyFill="1" applyBorder="1" applyAlignment="1" applyProtection="1">
      <alignment vertical="center"/>
      <protection locked="0"/>
    </xf>
    <xf numFmtId="3" fontId="21" fillId="35" borderId="22" xfId="0" applyNumberFormat="1" applyFont="1" applyFill="1" applyBorder="1" applyAlignment="1">
      <alignment vertical="center" wrapText="1"/>
    </xf>
    <xf numFmtId="193" fontId="0" fillId="35" borderId="17" xfId="0" applyNumberFormat="1" applyFill="1" applyBorder="1" applyAlignment="1">
      <alignment horizontal="center" vertical="center"/>
    </xf>
    <xf numFmtId="193" fontId="0" fillId="0" borderId="19" xfId="0" applyNumberFormat="1" applyBorder="1"/>
    <xf numFmtId="193" fontId="0" fillId="35" borderId="19" xfId="0" applyNumberFormat="1" applyFill="1" applyBorder="1" applyAlignment="1">
      <alignment horizontal="center" vertical="center" wrapText="1"/>
    </xf>
    <xf numFmtId="193" fontId="0" fillId="35" borderId="23" xfId="0" applyNumberFormat="1" applyFill="1" applyBorder="1" applyAlignment="1">
      <alignment horizontal="center" vertical="center" wrapText="1"/>
    </xf>
    <xf numFmtId="193" fontId="4" fillId="35" borderId="22" xfId="0" applyNumberFormat="1" applyFont="1" applyFill="1" applyBorder="1"/>
    <xf numFmtId="193" fontId="4" fillId="35" borderId="50" xfId="0" applyNumberFormat="1" applyFont="1" applyFill="1" applyBorder="1"/>
    <xf numFmtId="193" fontId="4" fillId="35" borderId="21" xfId="0" applyNumberFormat="1" applyFont="1" applyFill="1" applyBorder="1"/>
    <xf numFmtId="193" fontId="4" fillId="35" borderId="23" xfId="0" applyNumberFormat="1" applyFont="1" applyFill="1" applyBorder="1"/>
    <xf numFmtId="193" fontId="4" fillId="35" borderId="51" xfId="0" applyNumberFormat="1" applyFont="1" applyFill="1" applyBorder="1"/>
    <xf numFmtId="0" fontId="4" fillId="0" borderId="25" xfId="0" applyFont="1" applyBorder="1" applyAlignment="1">
      <alignment wrapText="1"/>
    </xf>
    <xf numFmtId="0" fontId="4" fillId="0" borderId="3" xfId="0" applyFont="1" applyBorder="1" applyAlignment="1">
      <alignment horizontal="center" vertical="center" wrapText="1"/>
    </xf>
    <xf numFmtId="0" fontId="6" fillId="0" borderId="0" xfId="0" applyFont="1" applyAlignment="1">
      <alignment horizontal="center" wrapText="1"/>
    </xf>
    <xf numFmtId="9" fontId="4" fillId="0" borderId="19" xfId="20961" applyFont="1" applyBorder="1"/>
    <xf numFmtId="167" fontId="6" fillId="35" borderId="22" xfId="0" applyNumberFormat="1" applyFont="1" applyFill="1" applyBorder="1" applyAlignment="1">
      <alignment horizontal="center" vertical="center"/>
    </xf>
    <xf numFmtId="0" fontId="9" fillId="0" borderId="15" xfId="0" applyFont="1" applyBorder="1" applyAlignment="1">
      <alignment horizontal="right" vertical="center" wrapText="1"/>
    </xf>
    <xf numFmtId="0" fontId="7" fillId="0" borderId="16" xfId="0" applyFont="1" applyBorder="1" applyAlignment="1">
      <alignment vertical="center" wrapText="1"/>
    </xf>
    <xf numFmtId="169" fontId="26" fillId="36" borderId="0" xfId="20"/>
    <xf numFmtId="169" fontId="26" fillId="36" borderId="91" xfId="20" applyBorder="1"/>
    <xf numFmtId="0" fontId="4" fillId="0" borderId="7" xfId="0" applyFont="1" applyBorder="1" applyAlignment="1">
      <alignment vertical="center"/>
    </xf>
    <xf numFmtId="0" fontId="4" fillId="0" borderId="97" xfId="0" applyFont="1" applyBorder="1" applyAlignment="1">
      <alignment vertical="center"/>
    </xf>
    <xf numFmtId="0" fontId="6" fillId="0" borderId="97" xfId="0" applyFont="1" applyBorder="1" applyAlignment="1">
      <alignment vertical="center"/>
    </xf>
    <xf numFmtId="0" fontId="4" fillId="0" borderId="16" xfId="0" applyFont="1" applyBorder="1" applyAlignment="1">
      <alignment vertical="center"/>
    </xf>
    <xf numFmtId="0" fontId="4" fillId="0" borderId="93" xfId="0" applyFont="1" applyBorder="1" applyAlignment="1">
      <alignment vertical="center"/>
    </xf>
    <xf numFmtId="0" fontId="4" fillId="0" borderId="94" xfId="0" applyFont="1" applyBorder="1" applyAlignment="1">
      <alignment vertical="center"/>
    </xf>
    <xf numFmtId="0" fontId="4" fillId="0" borderId="15" xfId="0" applyFont="1" applyBorder="1" applyAlignment="1">
      <alignment horizontal="center" vertical="center"/>
    </xf>
    <xf numFmtId="0" fontId="4" fillId="0" borderId="105" xfId="0" applyFont="1" applyBorder="1" applyAlignment="1">
      <alignment horizontal="center" vertical="center"/>
    </xf>
    <xf numFmtId="0" fontId="4" fillId="0" borderId="107" xfId="0" applyFont="1" applyBorder="1" applyAlignment="1">
      <alignment horizontal="center" vertical="center"/>
    </xf>
    <xf numFmtId="169" fontId="26" fillId="36" borderId="28" xfId="20" applyBorder="1"/>
    <xf numFmtId="169" fontId="26" fillId="36" borderId="109" xfId="20" applyBorder="1"/>
    <xf numFmtId="169" fontId="26" fillId="36" borderId="99" xfId="20" applyBorder="1"/>
    <xf numFmtId="169" fontId="26" fillId="36" borderId="54" xfId="20" applyBorder="1"/>
    <xf numFmtId="0" fontId="4" fillId="3" borderId="62" xfId="0" applyFont="1" applyFill="1" applyBorder="1" applyAlignment="1">
      <alignment horizontal="center" vertical="center"/>
    </xf>
    <xf numFmtId="0" fontId="4" fillId="3" borderId="0" xfId="0" applyFont="1" applyFill="1" applyAlignment="1">
      <alignment vertical="center"/>
    </xf>
    <xf numFmtId="0" fontId="4" fillId="0" borderId="68" xfId="0" applyFont="1" applyBorder="1" applyAlignment="1">
      <alignment horizontal="center" vertical="center"/>
    </xf>
    <xf numFmtId="0" fontId="4" fillId="3" borderId="95" xfId="0" applyFont="1" applyFill="1" applyBorder="1" applyAlignment="1">
      <alignment vertical="center"/>
    </xf>
    <xf numFmtId="0" fontId="14" fillId="3" borderId="110" xfId="0" applyFont="1" applyFill="1" applyBorder="1" applyAlignment="1">
      <alignment horizontal="left"/>
    </xf>
    <xf numFmtId="0" fontId="14" fillId="3" borderId="111" xfId="0" applyFont="1" applyFill="1" applyBorder="1" applyAlignment="1">
      <alignment horizontal="left"/>
    </xf>
    <xf numFmtId="0" fontId="4" fillId="0" borderId="97" xfId="0" applyFont="1" applyBorder="1" applyAlignment="1">
      <alignment horizontal="center" vertical="center" wrapText="1"/>
    </xf>
    <xf numFmtId="0" fontId="106" fillId="0" borderId="85" xfId="0" applyFont="1" applyBorder="1" applyAlignment="1">
      <alignment horizontal="right" vertical="center"/>
    </xf>
    <xf numFmtId="0" fontId="4" fillId="0" borderId="112" xfId="0" applyFont="1" applyBorder="1" applyAlignment="1">
      <alignment horizontal="center" vertical="center" wrapText="1"/>
    </xf>
    <xf numFmtId="0" fontId="6" fillId="3" borderId="113" xfId="0" applyFont="1" applyFill="1" applyBorder="1" applyAlignment="1">
      <alignment vertical="center"/>
    </xf>
    <xf numFmtId="0" fontId="4" fillId="3" borderId="20" xfId="0" applyFont="1" applyFill="1" applyBorder="1" applyAlignment="1">
      <alignment vertical="center"/>
    </xf>
    <xf numFmtId="0" fontId="4" fillId="0" borderId="114" xfId="0" applyFont="1" applyBorder="1" applyAlignment="1">
      <alignment horizontal="center" vertical="center"/>
    </xf>
    <xf numFmtId="0" fontId="6" fillId="0" borderId="22" xfId="0" applyFont="1" applyBorder="1" applyAlignment="1">
      <alignment vertical="center"/>
    </xf>
    <xf numFmtId="169" fontId="26" fillId="36" borderId="24" xfId="20" applyBorder="1"/>
    <xf numFmtId="0" fontId="4" fillId="0" borderId="7" xfId="0" applyFont="1" applyBorder="1" applyAlignment="1">
      <alignment horizontal="center" vertical="center" wrapText="1"/>
    </xf>
    <xf numFmtId="0" fontId="7" fillId="0" borderId="15" xfId="11" applyFont="1" applyBorder="1" applyAlignment="1">
      <alignment vertical="center"/>
    </xf>
    <xf numFmtId="0" fontId="7" fillId="0" borderId="16" xfId="11" applyFont="1" applyBorder="1" applyAlignment="1">
      <alignment vertical="center"/>
    </xf>
    <xf numFmtId="0" fontId="15" fillId="0" borderId="17" xfId="11" applyFont="1" applyBorder="1" applyAlignment="1">
      <alignment horizontal="center" vertical="center"/>
    </xf>
    <xf numFmtId="0" fontId="0" fillId="0" borderId="114" xfId="0" applyBorder="1"/>
    <xf numFmtId="0" fontId="0" fillId="0" borderId="21" xfId="0" applyBorder="1"/>
    <xf numFmtId="0" fontId="6" fillId="35" borderId="115" xfId="0" applyFont="1" applyFill="1" applyBorder="1" applyAlignment="1">
      <alignment vertical="center" wrapText="1"/>
    </xf>
    <xf numFmtId="0" fontId="7" fillId="0" borderId="0" xfId="0" applyFont="1" applyAlignment="1">
      <alignment wrapText="1"/>
    </xf>
    <xf numFmtId="0" fontId="6" fillId="35" borderId="16" xfId="0" applyFont="1" applyFill="1" applyBorder="1" applyAlignment="1">
      <alignment horizontal="center" vertical="center" wrapText="1"/>
    </xf>
    <xf numFmtId="0" fontId="6" fillId="35" borderId="114" xfId="0" applyFont="1" applyFill="1" applyBorder="1" applyAlignment="1">
      <alignment horizontal="left" vertical="center" wrapText="1"/>
    </xf>
    <xf numFmtId="0" fontId="6" fillId="35" borderId="97" xfId="0" applyFont="1" applyFill="1" applyBorder="1" applyAlignment="1">
      <alignment horizontal="left" vertical="center" wrapText="1"/>
    </xf>
    <xf numFmtId="0" fontId="4" fillId="0" borderId="114" xfId="0" applyFont="1" applyBorder="1" applyAlignment="1">
      <alignment horizontal="right" vertical="center" wrapText="1"/>
    </xf>
    <xf numFmtId="0" fontId="4" fillId="0" borderId="97" xfId="0" applyFont="1" applyBorder="1" applyAlignment="1">
      <alignment horizontal="left" vertical="center" wrapText="1"/>
    </xf>
    <xf numFmtId="0" fontId="109" fillId="0" borderId="114" xfId="0" applyFont="1" applyBorder="1" applyAlignment="1">
      <alignment horizontal="right" vertical="center" wrapText="1"/>
    </xf>
    <xf numFmtId="0" fontId="109" fillId="0" borderId="97" xfId="0" applyFont="1" applyBorder="1" applyAlignment="1">
      <alignment horizontal="left" vertical="center" wrapText="1"/>
    </xf>
    <xf numFmtId="0" fontId="6" fillId="0" borderId="114" xfId="0" applyFont="1" applyBorder="1" applyAlignment="1">
      <alignment horizontal="left" vertical="center" wrapText="1"/>
    </xf>
    <xf numFmtId="0" fontId="6" fillId="0" borderId="0" xfId="21410" applyFont="1" applyAlignment="1" applyProtection="1">
      <alignment horizontal="left" vertical="center"/>
      <protection locked="0"/>
    </xf>
    <xf numFmtId="0" fontId="4" fillId="0" borderId="0" xfId="0" applyFont="1" applyAlignment="1">
      <alignment horizontal="left" vertical="center"/>
    </xf>
    <xf numFmtId="0" fontId="109" fillId="0" borderId="0" xfId="0" applyFont="1" applyAlignment="1">
      <alignment horizontal="left" vertical="center"/>
    </xf>
    <xf numFmtId="49" fontId="110" fillId="0" borderId="21" xfId="5" applyNumberFormat="1" applyFont="1" applyBorder="1" applyAlignment="1" applyProtection="1">
      <alignment horizontal="left" vertical="center"/>
      <protection locked="0"/>
    </xf>
    <xf numFmtId="0" fontId="111" fillId="0" borderId="22" xfId="9" applyFont="1" applyBorder="1" applyAlignment="1" applyProtection="1">
      <alignment horizontal="left" vertical="center" wrapText="1"/>
      <protection locked="0"/>
    </xf>
    <xf numFmtId="0" fontId="20" fillId="0" borderId="114" xfId="0" applyFont="1" applyBorder="1" applyAlignment="1">
      <alignment horizontal="center" vertical="center" wrapText="1"/>
    </xf>
    <xf numFmtId="3" fontId="21" fillId="35" borderId="97" xfId="0" applyNumberFormat="1" applyFont="1" applyFill="1" applyBorder="1" applyAlignment="1">
      <alignment vertical="center" wrapText="1"/>
    </xf>
    <xf numFmtId="14" fontId="7" fillId="3" borderId="97" xfId="8" quotePrefix="1" applyNumberFormat="1" applyFont="1" applyFill="1" applyBorder="1" applyAlignment="1" applyProtection="1">
      <alignment horizontal="left" vertical="center" wrapText="1" indent="2"/>
      <protection locked="0"/>
    </xf>
    <xf numFmtId="14" fontId="7" fillId="3" borderId="97" xfId="8" quotePrefix="1" applyNumberFormat="1" applyFont="1" applyFill="1" applyBorder="1" applyAlignment="1" applyProtection="1">
      <alignment horizontal="left" vertical="center" wrapText="1" indent="3"/>
      <protection locked="0"/>
    </xf>
    <xf numFmtId="0" fontId="11" fillId="0" borderId="97" xfId="17" applyFill="1" applyBorder="1" applyAlignment="1" applyProtection="1"/>
    <xf numFmtId="49" fontId="109" fillId="0" borderId="114" xfId="0" applyNumberFormat="1" applyFont="1" applyBorder="1" applyAlignment="1">
      <alignment horizontal="right" vertical="center" wrapText="1"/>
    </xf>
    <xf numFmtId="0" fontId="7" fillId="3" borderId="97" xfId="20960" applyFont="1" applyFill="1" applyBorder="1"/>
    <xf numFmtId="0" fontId="103" fillId="0" borderId="97" xfId="20960" applyFont="1" applyBorder="1" applyAlignment="1">
      <alignment horizontal="center" vertical="center"/>
    </xf>
    <xf numFmtId="0" fontId="4" fillId="0" borderId="97" xfId="0" applyFont="1" applyBorder="1"/>
    <xf numFmtId="0" fontId="11" fillId="0" borderId="97" xfId="17" applyFill="1" applyBorder="1" applyAlignment="1" applyProtection="1">
      <alignment horizontal="left" vertical="center" wrapText="1"/>
    </xf>
    <xf numFmtId="49" fontId="109" fillId="0" borderId="97" xfId="0" applyNumberFormat="1" applyFont="1" applyBorder="1" applyAlignment="1">
      <alignment horizontal="right" vertical="center" wrapText="1"/>
    </xf>
    <xf numFmtId="0" fontId="11" fillId="0" borderId="97" xfId="17" applyFill="1" applyBorder="1" applyAlignment="1" applyProtection="1">
      <alignment horizontal="left" vertical="center"/>
    </xf>
    <xf numFmtId="10" fontId="7" fillId="0" borderId="97" xfId="20961" applyNumberFormat="1" applyFont="1" applyFill="1" applyBorder="1" applyAlignment="1">
      <alignment horizontal="left" vertical="center" wrapText="1"/>
    </xf>
    <xf numFmtId="10" fontId="4" fillId="0" borderId="97" xfId="20961" applyNumberFormat="1" applyFont="1" applyFill="1" applyBorder="1" applyAlignment="1">
      <alignment horizontal="left" vertical="center" wrapText="1"/>
    </xf>
    <xf numFmtId="10" fontId="6" fillId="35" borderId="97" xfId="0" applyNumberFormat="1" applyFont="1" applyFill="1" applyBorder="1" applyAlignment="1">
      <alignment horizontal="left" vertical="center" wrapText="1"/>
    </xf>
    <xf numFmtId="10" fontId="109" fillId="0" borderId="97" xfId="20961" applyNumberFormat="1" applyFont="1" applyFill="1" applyBorder="1" applyAlignment="1">
      <alignment horizontal="left" vertical="center" wrapText="1"/>
    </xf>
    <xf numFmtId="10" fontId="6" fillId="35" borderId="97" xfId="20961" applyNumberFormat="1" applyFont="1" applyFill="1" applyBorder="1" applyAlignment="1">
      <alignment horizontal="left" vertical="center" wrapText="1"/>
    </xf>
    <xf numFmtId="10" fontId="6" fillId="35" borderId="97" xfId="0" applyNumberFormat="1" applyFont="1" applyFill="1" applyBorder="1" applyAlignment="1">
      <alignment horizontal="center" vertical="center" wrapText="1"/>
    </xf>
    <xf numFmtId="10" fontId="111" fillId="0" borderId="22" xfId="20961" applyNumberFormat="1" applyFont="1" applyFill="1" applyBorder="1" applyAlignment="1" applyProtection="1">
      <alignment horizontal="left" vertical="center"/>
    </xf>
    <xf numFmtId="43" fontId="7" fillId="0" borderId="0" xfId="7" applyFont="1"/>
    <xf numFmtId="0" fontId="107" fillId="0" borderId="0" xfId="0" applyFont="1" applyAlignment="1">
      <alignment wrapText="1"/>
    </xf>
    <xf numFmtId="0" fontId="10" fillId="0" borderId="25" xfId="0" applyFont="1" applyBorder="1" applyAlignment="1">
      <alignment horizontal="center" wrapText="1"/>
    </xf>
    <xf numFmtId="0" fontId="10" fillId="0" borderId="8" xfId="0" applyFont="1" applyBorder="1" applyAlignment="1">
      <alignment horizontal="center" vertical="center" wrapText="1"/>
    </xf>
    <xf numFmtId="0" fontId="9" fillId="0" borderId="114" xfId="0" applyFont="1" applyBorder="1" applyAlignment="1">
      <alignment horizontal="right" vertical="center" wrapText="1"/>
    </xf>
    <xf numFmtId="0" fontId="7" fillId="0" borderId="97" xfId="0" applyFont="1" applyBorder="1" applyAlignment="1">
      <alignment vertical="center" wrapText="1"/>
    </xf>
    <xf numFmtId="0" fontId="4" fillId="0" borderId="97" xfId="0" applyFont="1" applyBorder="1" applyAlignment="1">
      <alignment vertical="center" wrapText="1"/>
    </xf>
    <xf numFmtId="0" fontId="4" fillId="0" borderId="97" xfId="0" applyFont="1" applyBorder="1" applyAlignment="1">
      <alignment horizontal="left" vertical="center" wrapText="1" indent="2"/>
    </xf>
    <xf numFmtId="3" fontId="21" fillId="35" borderId="98" xfId="0" applyNumberFormat="1" applyFont="1" applyFill="1" applyBorder="1" applyAlignment="1">
      <alignment vertical="center" wrapText="1"/>
    </xf>
    <xf numFmtId="3" fontId="21" fillId="35" borderId="20" xfId="0" applyNumberFormat="1" applyFont="1" applyFill="1" applyBorder="1" applyAlignment="1">
      <alignment vertical="center" wrapText="1"/>
    </xf>
    <xf numFmtId="3" fontId="21" fillId="35" borderId="24" xfId="0" applyNumberFormat="1" applyFont="1" applyFill="1" applyBorder="1" applyAlignment="1">
      <alignment vertical="center" wrapText="1"/>
    </xf>
    <xf numFmtId="3" fontId="21" fillId="35" borderId="36" xfId="0" applyNumberFormat="1" applyFont="1" applyFill="1" applyBorder="1" applyAlignment="1">
      <alignment vertical="center" wrapText="1"/>
    </xf>
    <xf numFmtId="0" fontId="6" fillId="0" borderId="22" xfId="0" applyFont="1" applyBorder="1" applyAlignment="1">
      <alignment vertical="center" wrapText="1"/>
    </xf>
    <xf numFmtId="0" fontId="4" fillId="0" borderId="112" xfId="0" applyFont="1" applyBorder="1"/>
    <xf numFmtId="0" fontId="4" fillId="0" borderId="23" xfId="0" applyFont="1" applyBorder="1"/>
    <xf numFmtId="0" fontId="9" fillId="0" borderId="112" xfId="0" applyFont="1" applyBorder="1"/>
    <xf numFmtId="0" fontId="9" fillId="0" borderId="112" xfId="0" applyFont="1" applyBorder="1" applyAlignment="1">
      <alignment wrapText="1"/>
    </xf>
    <xf numFmtId="0" fontId="10" fillId="0" borderId="17" xfId="0" applyFont="1" applyBorder="1" applyAlignment="1">
      <alignment horizontal="center"/>
    </xf>
    <xf numFmtId="0" fontId="10" fillId="0" borderId="112" xfId="0" applyFont="1" applyBorder="1" applyAlignment="1">
      <alignment horizontal="center" vertical="center" wrapText="1"/>
    </xf>
    <xf numFmtId="0" fontId="2" fillId="0" borderId="16" xfId="0" applyFont="1" applyBorder="1" applyAlignment="1">
      <alignment horizontal="left" vertical="center" wrapText="1" indent="1"/>
    </xf>
    <xf numFmtId="0" fontId="2" fillId="0" borderId="17" xfId="0" applyFont="1" applyBorder="1" applyAlignment="1">
      <alignment horizontal="left" vertical="center" wrapText="1" indent="1"/>
    </xf>
    <xf numFmtId="0" fontId="9" fillId="0" borderId="114" xfId="0" applyFont="1" applyBorder="1" applyAlignment="1">
      <alignment horizontal="center" vertical="center" wrapText="1"/>
    </xf>
    <xf numFmtId="0" fontId="15" fillId="0" borderId="97" xfId="0" applyFont="1" applyBorder="1" applyAlignment="1">
      <alignment horizontal="center" vertical="center" wrapText="1"/>
    </xf>
    <xf numFmtId="0" fontId="16" fillId="0" borderId="97" xfId="0" applyFont="1" applyBorder="1" applyAlignment="1">
      <alignment horizontal="left" vertical="center" wrapText="1"/>
    </xf>
    <xf numFmtId="193" fontId="7" fillId="0" borderId="97" xfId="0" applyNumberFormat="1" applyFont="1" applyBorder="1" applyAlignment="1" applyProtection="1">
      <alignment vertical="center" wrapText="1"/>
      <protection locked="0"/>
    </xf>
    <xf numFmtId="193" fontId="4" fillId="0" borderId="97" xfId="0" applyNumberFormat="1" applyFont="1" applyBorder="1" applyAlignment="1" applyProtection="1">
      <alignment vertical="center" wrapText="1"/>
      <protection locked="0"/>
    </xf>
    <xf numFmtId="193" fontId="4" fillId="0" borderId="112" xfId="0" applyNumberFormat="1" applyFont="1" applyBorder="1" applyAlignment="1" applyProtection="1">
      <alignment vertical="center" wrapText="1"/>
      <protection locked="0"/>
    </xf>
    <xf numFmtId="193" fontId="7" fillId="0" borderId="97" xfId="0" applyNumberFormat="1" applyFont="1" applyBorder="1" applyAlignment="1" applyProtection="1">
      <alignment horizontal="right" vertical="center" wrapText="1"/>
      <protection locked="0"/>
    </xf>
    <xf numFmtId="0" fontId="9" fillId="2" borderId="114" xfId="0" applyFont="1" applyFill="1" applyBorder="1" applyAlignment="1">
      <alignment horizontal="right" vertical="center"/>
    </xf>
    <xf numFmtId="0" fontId="9" fillId="2" borderId="97" xfId="0" applyFont="1" applyFill="1" applyBorder="1" applyAlignment="1">
      <alignment vertical="center"/>
    </xf>
    <xf numFmtId="193" fontId="9" fillId="2" borderId="97" xfId="0" applyNumberFormat="1" applyFont="1" applyFill="1" applyBorder="1" applyAlignment="1" applyProtection="1">
      <alignment vertical="center"/>
      <protection locked="0"/>
    </xf>
    <xf numFmtId="0" fontId="15" fillId="0" borderId="114" xfId="0" applyFont="1" applyBorder="1" applyAlignment="1">
      <alignment horizontal="center" vertical="center" wrapText="1"/>
    </xf>
    <xf numFmtId="14" fontId="4" fillId="0" borderId="0" xfId="0" applyNumberFormat="1" applyFont="1"/>
    <xf numFmtId="10" fontId="4" fillId="0" borderId="97" xfId="20961" applyNumberFormat="1" applyFont="1" applyFill="1" applyBorder="1" applyAlignment="1" applyProtection="1">
      <alignment horizontal="right" vertical="center" wrapText="1"/>
      <protection locked="0"/>
    </xf>
    <xf numFmtId="10" fontId="4" fillId="0" borderId="97" xfId="20961" applyNumberFormat="1" applyFont="1" applyBorder="1" applyAlignment="1" applyProtection="1">
      <alignment vertical="center" wrapText="1"/>
      <protection locked="0"/>
    </xf>
    <xf numFmtId="10" fontId="4" fillId="0" borderId="112" xfId="20961" applyNumberFormat="1" applyFont="1" applyBorder="1" applyAlignment="1" applyProtection="1">
      <alignment vertical="center" wrapText="1"/>
      <protection locked="0"/>
    </xf>
    <xf numFmtId="0" fontId="4" fillId="3" borderId="53" xfId="0" applyFont="1" applyFill="1" applyBorder="1"/>
    <xf numFmtId="0" fontId="4" fillId="3" borderId="117" xfId="0" applyFont="1" applyFill="1" applyBorder="1" applyAlignment="1">
      <alignment wrapText="1"/>
    </xf>
    <xf numFmtId="0" fontId="4" fillId="3" borderId="118" xfId="0" applyFont="1" applyFill="1" applyBorder="1"/>
    <xf numFmtId="0" fontId="6" fillId="3" borderId="11" xfId="0" applyFont="1" applyFill="1" applyBorder="1" applyAlignment="1">
      <alignment horizontal="center" wrapText="1"/>
    </xf>
    <xf numFmtId="0" fontId="4" fillId="0" borderId="97" xfId="0" applyFont="1" applyBorder="1" applyAlignment="1">
      <alignment horizontal="center"/>
    </xf>
    <xf numFmtId="0" fontId="4" fillId="3" borderId="62" xfId="0" applyFont="1" applyFill="1" applyBorder="1"/>
    <xf numFmtId="0" fontId="6" fillId="3" borderId="0" xfId="0" applyFont="1" applyFill="1" applyAlignment="1">
      <alignment horizontal="center" wrapText="1"/>
    </xf>
    <xf numFmtId="0" fontId="4" fillId="3" borderId="0" xfId="0" applyFont="1" applyFill="1" applyAlignment="1">
      <alignment horizontal="center"/>
    </xf>
    <xf numFmtId="0" fontId="4" fillId="3" borderId="91" xfId="0" applyFont="1" applyFill="1" applyBorder="1" applyAlignment="1">
      <alignment horizontal="center" vertical="center" wrapText="1"/>
    </xf>
    <xf numFmtId="0" fontId="4" fillId="0" borderId="114" xfId="0" applyFont="1" applyBorder="1"/>
    <xf numFmtId="0" fontId="4" fillId="0" borderId="97" xfId="0" applyFont="1" applyBorder="1" applyAlignment="1">
      <alignment wrapText="1"/>
    </xf>
    <xf numFmtId="164" fontId="4" fillId="0" borderId="97" xfId="7" applyNumberFormat="1" applyFont="1" applyBorder="1"/>
    <xf numFmtId="164" fontId="4" fillId="0" borderId="112" xfId="7" applyNumberFormat="1" applyFont="1" applyBorder="1"/>
    <xf numFmtId="0" fontId="14" fillId="0" borderId="97" xfId="0" applyFont="1" applyBorder="1" applyAlignment="1">
      <alignment horizontal="left" wrapText="1" indent="2"/>
    </xf>
    <xf numFmtId="169" fontId="26" fillId="36" borderId="97" xfId="20" applyBorder="1"/>
    <xf numFmtId="164" fontId="4" fillId="0" borderId="97" xfId="7" applyNumberFormat="1" applyFont="1" applyBorder="1" applyAlignment="1">
      <alignment vertical="center"/>
    </xf>
    <xf numFmtId="0" fontId="6" fillId="0" borderId="114" xfId="0" applyFont="1" applyBorder="1"/>
    <xf numFmtId="0" fontId="6" fillId="0" borderId="97" xfId="0" applyFont="1" applyBorder="1" applyAlignment="1">
      <alignment wrapText="1"/>
    </xf>
    <xf numFmtId="164" fontId="6" fillId="0" borderId="112" xfId="7" applyNumberFormat="1" applyFont="1" applyBorder="1"/>
    <xf numFmtId="0" fontId="3" fillId="3" borderId="62"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1" xfId="7" applyNumberFormat="1" applyFont="1" applyFill="1" applyBorder="1"/>
    <xf numFmtId="164" fontId="4" fillId="0" borderId="97" xfId="7" applyNumberFormat="1" applyFont="1" applyFill="1" applyBorder="1"/>
    <xf numFmtId="164" fontId="4" fillId="0" borderId="97" xfId="7" applyNumberFormat="1" applyFont="1" applyFill="1" applyBorder="1" applyAlignment="1">
      <alignment vertical="center"/>
    </xf>
    <xf numFmtId="0" fontId="14" fillId="0" borderId="97"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91" xfId="0" applyFont="1" applyFill="1" applyBorder="1"/>
    <xf numFmtId="0" fontId="6" fillId="0" borderId="21" xfId="0" applyFont="1" applyBorder="1"/>
    <xf numFmtId="0" fontId="6" fillId="0" borderId="22" xfId="0" applyFont="1" applyBorder="1" applyAlignment="1">
      <alignment wrapText="1"/>
    </xf>
    <xf numFmtId="169" fontId="26" fillId="36" borderId="115" xfId="20" applyBorder="1"/>
    <xf numFmtId="10" fontId="6" fillId="0" borderId="23" xfId="20961" applyNumberFormat="1" applyFont="1" applyBorder="1"/>
    <xf numFmtId="0" fontId="9" fillId="2" borderId="105" xfId="0" applyFont="1" applyFill="1" applyBorder="1" applyAlignment="1">
      <alignment horizontal="right" vertical="center"/>
    </xf>
    <xf numFmtId="0" fontId="9" fillId="2" borderId="93" xfId="0" applyFont="1" applyFill="1" applyBorder="1" applyAlignment="1">
      <alignment vertical="center"/>
    </xf>
    <xf numFmtId="193" fontId="9" fillId="2" borderId="93" xfId="0" applyNumberFormat="1" applyFont="1" applyFill="1" applyBorder="1" applyAlignment="1" applyProtection="1">
      <alignment vertical="center"/>
      <protection locked="0"/>
    </xf>
    <xf numFmtId="193" fontId="17" fillId="2" borderId="93" xfId="0" applyNumberFormat="1" applyFont="1" applyFill="1" applyBorder="1" applyAlignment="1" applyProtection="1">
      <alignment vertical="center"/>
      <protection locked="0"/>
    </xf>
    <xf numFmtId="193" fontId="17" fillId="2" borderId="106" xfId="0" applyNumberFormat="1" applyFont="1" applyFill="1" applyBorder="1" applyAlignment="1" applyProtection="1">
      <alignment vertical="center"/>
      <protection locked="0"/>
    </xf>
    <xf numFmtId="0" fontId="9" fillId="0" borderId="97" xfId="0" applyFont="1" applyBorder="1" applyAlignment="1">
      <alignment horizontal="left" vertical="center" wrapText="1"/>
    </xf>
    <xf numFmtId="0" fontId="6" fillId="3" borderId="0" xfId="0" applyFont="1" applyFill="1" applyAlignment="1">
      <alignment horizontal="center"/>
    </xf>
    <xf numFmtId="0" fontId="106" fillId="0" borderId="85" xfId="0" applyFont="1" applyBorder="1" applyAlignment="1">
      <alignment horizontal="left" vertical="center"/>
    </xf>
    <xf numFmtId="0" fontId="106" fillId="0" borderId="83" xfId="0" applyFont="1" applyBorder="1" applyAlignment="1">
      <alignment vertical="center" wrapText="1"/>
    </xf>
    <xf numFmtId="0" fontId="106" fillId="0" borderId="83" xfId="0" applyFont="1" applyBorder="1" applyAlignment="1">
      <alignment horizontal="left" vertical="center" wrapText="1"/>
    </xf>
    <xf numFmtId="0" fontId="116" fillId="0" borderId="0" xfId="11" applyFont="1"/>
    <xf numFmtId="0" fontId="117" fillId="0" borderId="0" xfId="0" applyFont="1"/>
    <xf numFmtId="0" fontId="118" fillId="0" borderId="0" xfId="1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28" xfId="0" applyFont="1" applyBorder="1" applyAlignment="1">
      <alignment horizontal="left" vertical="center" wrapText="1"/>
    </xf>
    <xf numFmtId="0" fontId="125" fillId="0" borderId="0" xfId="0" applyFont="1"/>
    <xf numFmtId="49" fontId="106" fillId="0" borderId="97" xfId="0" applyNumberFormat="1" applyFont="1" applyBorder="1" applyAlignment="1">
      <alignment horizontal="right" vertical="center"/>
    </xf>
    <xf numFmtId="0" fontId="126" fillId="0" borderId="0" xfId="0" applyFont="1"/>
    <xf numFmtId="0" fontId="117" fillId="0" borderId="0" xfId="0" applyFont="1" applyAlignment="1">
      <alignment horizontal="left" indent="1"/>
    </xf>
    <xf numFmtId="0" fontId="117" fillId="0" borderId="0" xfId="0" applyFont="1" applyAlignment="1">
      <alignment horizontal="left" indent="2"/>
    </xf>
    <xf numFmtId="49" fontId="117" fillId="0" borderId="0" xfId="0" applyNumberFormat="1" applyFont="1" applyAlignment="1">
      <alignment horizontal="left" indent="3"/>
    </xf>
    <xf numFmtId="49" fontId="117" fillId="0" borderId="0" xfId="0" applyNumberFormat="1" applyFont="1" applyAlignment="1">
      <alignment horizontal="left" indent="1"/>
    </xf>
    <xf numFmtId="49" fontId="117" fillId="0" borderId="0" xfId="0" applyNumberFormat="1" applyFont="1" applyAlignment="1">
      <alignment horizontal="left" wrapText="1" indent="2"/>
    </xf>
    <xf numFmtId="49" fontId="117" fillId="0" borderId="0" xfId="0" applyNumberFormat="1" applyFont="1" applyAlignment="1">
      <alignment horizontal="left" wrapText="1" indent="3"/>
    </xf>
    <xf numFmtId="0" fontId="117" fillId="0" borderId="0" xfId="0" applyFont="1" applyAlignment="1">
      <alignment horizontal="left" wrapText="1" indent="1"/>
    </xf>
    <xf numFmtId="0" fontId="117" fillId="0" borderId="0" xfId="0" applyFont="1" applyAlignment="1">
      <alignment horizontal="left" vertical="top" wrapText="1"/>
    </xf>
    <xf numFmtId="0" fontId="3" fillId="0" borderId="97" xfId="0" applyFont="1" applyBorder="1" applyAlignment="1">
      <alignment horizontal="center" vertical="center"/>
    </xf>
    <xf numFmtId="0" fontId="130" fillId="3" borderId="97" xfId="21414" applyFont="1" applyFill="1" applyBorder="1" applyAlignment="1">
      <alignment horizontal="left" vertical="center" wrapText="1"/>
    </xf>
    <xf numFmtId="0" fontId="131" fillId="0" borderId="97" xfId="21414" applyFont="1" applyBorder="1" applyAlignment="1">
      <alignment horizontal="left" vertical="center" wrapText="1" indent="1"/>
    </xf>
    <xf numFmtId="0" fontId="132" fillId="3" borderId="97" xfId="21414" applyFont="1" applyFill="1" applyBorder="1" applyAlignment="1">
      <alignment horizontal="left" vertical="center" wrapText="1"/>
    </xf>
    <xf numFmtId="0" fontId="131" fillId="3" borderId="97" xfId="21414" applyFont="1" applyFill="1" applyBorder="1" applyAlignment="1">
      <alignment horizontal="left" vertical="center" wrapText="1" indent="1"/>
    </xf>
    <xf numFmtId="0" fontId="130" fillId="0" borderId="135" xfId="0" applyFont="1" applyBorder="1" applyAlignment="1">
      <alignment horizontal="left" vertical="center" wrapText="1"/>
    </xf>
    <xf numFmtId="0" fontId="132" fillId="0" borderId="135" xfId="0" applyFont="1" applyBorder="1" applyAlignment="1">
      <alignment horizontal="left" vertical="center" wrapText="1"/>
    </xf>
    <xf numFmtId="0" fontId="133" fillId="3" borderId="135" xfId="0" applyFont="1" applyFill="1" applyBorder="1" applyAlignment="1">
      <alignment horizontal="left" vertical="center" wrapText="1" indent="1"/>
    </xf>
    <xf numFmtId="0" fontId="132" fillId="3" borderId="135" xfId="0" applyFont="1" applyFill="1" applyBorder="1" applyAlignment="1">
      <alignment horizontal="left" vertical="center" wrapText="1"/>
    </xf>
    <xf numFmtId="0" fontId="132" fillId="3" borderId="136" xfId="0" applyFont="1" applyFill="1" applyBorder="1" applyAlignment="1">
      <alignment horizontal="left" vertical="center" wrapText="1"/>
    </xf>
    <xf numFmtId="0" fontId="133" fillId="0" borderId="135" xfId="0" applyFont="1" applyBorder="1" applyAlignment="1">
      <alignment horizontal="left" vertical="center" wrapText="1" indent="1"/>
    </xf>
    <xf numFmtId="0" fontId="133" fillId="0" borderId="97" xfId="21414" applyFont="1" applyBorder="1" applyAlignment="1">
      <alignment horizontal="left" vertical="center" wrapText="1" indent="1"/>
    </xf>
    <xf numFmtId="0" fontId="132" fillId="0" borderId="97" xfId="21414" applyFont="1" applyBorder="1" applyAlignment="1">
      <alignment horizontal="left" vertical="center" wrapText="1"/>
    </xf>
    <xf numFmtId="0" fontId="134" fillId="0" borderId="97" xfId="21414" applyFont="1" applyBorder="1" applyAlignment="1">
      <alignment horizontal="center" vertical="center" wrapText="1"/>
    </xf>
    <xf numFmtId="0" fontId="132" fillId="3" borderId="137" xfId="0" applyFont="1" applyFill="1" applyBorder="1" applyAlignment="1">
      <alignment horizontal="left" vertical="center" wrapText="1"/>
    </xf>
    <xf numFmtId="0" fontId="131" fillId="3" borderId="138" xfId="21414" applyFont="1" applyFill="1" applyBorder="1" applyAlignment="1">
      <alignment horizontal="left" vertical="center" wrapText="1" indent="1"/>
    </xf>
    <xf numFmtId="0" fontId="131" fillId="3" borderId="135" xfId="0" applyFont="1" applyFill="1" applyBorder="1" applyAlignment="1">
      <alignment horizontal="left" vertical="center" wrapText="1" indent="1"/>
    </xf>
    <xf numFmtId="0" fontId="131" fillId="0" borderId="138" xfId="21414" applyFont="1" applyBorder="1" applyAlignment="1">
      <alignment horizontal="left" vertical="center" wrapText="1" indent="1"/>
    </xf>
    <xf numFmtId="0" fontId="131" fillId="0" borderId="135" xfId="0" applyFont="1" applyBorder="1" applyAlignment="1">
      <alignment horizontal="left" vertical="center" wrapText="1" indent="1"/>
    </xf>
    <xf numFmtId="0" fontId="131" fillId="0" borderId="136" xfId="0" applyFont="1" applyBorder="1" applyAlignment="1">
      <alignment horizontal="left" vertical="center" wrapText="1" indent="1"/>
    </xf>
    <xf numFmtId="0" fontId="132" fillId="0" borderId="138" xfId="21414" applyFont="1" applyBorder="1" applyAlignment="1">
      <alignment horizontal="left" vertical="center" wrapText="1"/>
    </xf>
    <xf numFmtId="0" fontId="132" fillId="3" borderId="138" xfId="21414" applyFont="1" applyFill="1" applyBorder="1" applyAlignment="1">
      <alignment horizontal="left" vertical="center" wrapText="1"/>
    </xf>
    <xf numFmtId="0" fontId="134" fillId="0" borderId="138" xfId="21414" applyFont="1" applyBorder="1" applyAlignment="1">
      <alignment horizontal="center" vertical="center" wrapText="1"/>
    </xf>
    <xf numFmtId="0" fontId="135" fillId="0" borderId="138" xfId="0" applyFont="1" applyBorder="1" applyAlignment="1">
      <alignment horizontal="left"/>
    </xf>
    <xf numFmtId="0" fontId="132" fillId="0" borderId="138" xfId="0" applyFont="1" applyBorder="1" applyAlignment="1">
      <alignment horizontal="left" vertical="center" wrapText="1"/>
    </xf>
    <xf numFmtId="0" fontId="0" fillId="0" borderId="0" xfId="0" applyAlignment="1">
      <alignment horizontal="left" vertical="center"/>
    </xf>
    <xf numFmtId="0" fontId="132" fillId="0" borderId="143" xfId="0" applyFont="1" applyBorder="1" applyAlignment="1">
      <alignment horizontal="justify" vertical="center" wrapText="1"/>
    </xf>
    <xf numFmtId="0" fontId="131" fillId="0" borderId="137" xfId="0" applyFont="1" applyBorder="1" applyAlignment="1">
      <alignment horizontal="left" vertical="center" wrapText="1" indent="1"/>
    </xf>
    <xf numFmtId="0" fontId="132" fillId="0" borderId="135" xfId="0" applyFont="1" applyBorder="1" applyAlignment="1">
      <alignment horizontal="justify" vertical="center" wrapText="1"/>
    </xf>
    <xf numFmtId="0" fontId="130" fillId="0" borderId="135" xfId="0" applyFont="1" applyBorder="1" applyAlignment="1">
      <alignment horizontal="justify" vertical="center" wrapText="1"/>
    </xf>
    <xf numFmtId="0" fontId="132" fillId="3" borderId="135" xfId="0" applyFont="1" applyFill="1" applyBorder="1" applyAlignment="1">
      <alignment horizontal="justify" vertical="center" wrapText="1"/>
    </xf>
    <xf numFmtId="0" fontId="132" fillId="0" borderId="136" xfId="0" applyFont="1" applyBorder="1" applyAlignment="1">
      <alignment horizontal="justify" vertical="center" wrapText="1"/>
    </xf>
    <xf numFmtId="0" fontId="132" fillId="0" borderId="137" xfId="0" applyFont="1" applyBorder="1" applyAlignment="1">
      <alignment horizontal="justify" vertical="center" wrapText="1"/>
    </xf>
    <xf numFmtId="0" fontId="132" fillId="0" borderId="138" xfId="21414" applyFont="1" applyBorder="1" applyAlignment="1">
      <alignment horizontal="justify" vertical="center" wrapText="1"/>
    </xf>
    <xf numFmtId="0" fontId="133" fillId="0" borderId="129" xfId="0" applyFont="1" applyBorder="1" applyAlignment="1">
      <alignment horizontal="left" vertical="center" wrapText="1" indent="1"/>
    </xf>
    <xf numFmtId="0" fontId="130" fillId="0" borderId="135" xfId="0" applyFont="1" applyBorder="1" applyAlignment="1">
      <alignment vertical="center" wrapText="1"/>
    </xf>
    <xf numFmtId="0" fontId="132" fillId="0" borderId="135" xfId="0" applyFont="1" applyBorder="1" applyAlignment="1">
      <alignment vertical="center" wrapText="1"/>
    </xf>
    <xf numFmtId="0" fontId="132" fillId="0" borderId="138" xfId="21414" applyFont="1" applyBorder="1" applyAlignment="1">
      <alignment vertical="center" wrapText="1"/>
    </xf>
    <xf numFmtId="0" fontId="0" fillId="0" borderId="138" xfId="0" applyBorder="1" applyAlignment="1">
      <alignment horizontal="center"/>
    </xf>
    <xf numFmtId="0" fontId="15" fillId="0" borderId="138" xfId="0" applyFont="1" applyBorder="1" applyAlignment="1">
      <alignment vertical="center" wrapText="1"/>
    </xf>
    <xf numFmtId="0" fontId="7" fillId="0" borderId="138" xfId="0" applyFont="1" applyBorder="1" applyAlignment="1">
      <alignment horizontal="left" vertical="center" wrapText="1" indent="1"/>
    </xf>
    <xf numFmtId="0" fontId="3" fillId="0" borderId="138" xfId="0" applyFont="1" applyBorder="1" applyAlignment="1">
      <alignment vertical="center"/>
    </xf>
    <xf numFmtId="0" fontId="136" fillId="0" borderId="138" xfId="0" applyFont="1" applyBorder="1" applyAlignment="1" applyProtection="1">
      <alignment horizontal="left" vertical="center" indent="1"/>
      <protection locked="0"/>
    </xf>
    <xf numFmtId="0" fontId="137" fillId="0" borderId="138" xfId="0" applyFont="1" applyBorder="1" applyAlignment="1" applyProtection="1">
      <alignment horizontal="left" vertical="center" indent="3"/>
      <protection locked="0"/>
    </xf>
    <xf numFmtId="0" fontId="138" fillId="0" borderId="138" xfId="0" applyFont="1" applyBorder="1" applyAlignment="1" applyProtection="1">
      <alignment horizontal="left" vertical="center" indent="3"/>
      <protection locked="0"/>
    </xf>
    <xf numFmtId="0" fontId="3" fillId="0" borderId="138" xfId="0" applyFont="1" applyBorder="1"/>
    <xf numFmtId="0" fontId="0" fillId="0" borderId="0" xfId="0" applyAlignment="1">
      <alignment horizontal="center"/>
    </xf>
    <xf numFmtId="49" fontId="106" fillId="0" borderId="138" xfId="0" applyNumberFormat="1" applyFont="1" applyBorder="1" applyAlignment="1">
      <alignment horizontal="right" vertical="center"/>
    </xf>
    <xf numFmtId="0" fontId="0" fillId="0" borderId="138" xfId="0" applyBorder="1" applyAlignment="1">
      <alignment horizontal="center" vertical="center"/>
    </xf>
    <xf numFmtId="43" fontId="4" fillId="0" borderId="138" xfId="7" applyFont="1" applyFill="1" applyBorder="1" applyAlignment="1">
      <alignment vertical="center" wrapText="1"/>
    </xf>
    <xf numFmtId="43" fontId="4" fillId="0" borderId="138" xfId="7" applyFont="1" applyBorder="1" applyAlignment="1">
      <alignment vertical="center"/>
    </xf>
    <xf numFmtId="0" fontId="0" fillId="0" borderId="142" xfId="0" applyBorder="1" applyAlignment="1">
      <alignment horizontal="center"/>
    </xf>
    <xf numFmtId="0" fontId="131" fillId="0" borderId="142" xfId="21414" applyFont="1" applyBorder="1" applyAlignment="1">
      <alignment horizontal="left" vertical="center" wrapText="1" indent="1"/>
    </xf>
    <xf numFmtId="0" fontId="131" fillId="3" borderId="138" xfId="0" applyFont="1" applyFill="1" applyBorder="1" applyAlignment="1">
      <alignment horizontal="left" vertical="center" wrapText="1" indent="1"/>
    </xf>
    <xf numFmtId="0" fontId="131" fillId="0" borderId="138" xfId="0" applyFont="1" applyBorder="1" applyAlignment="1">
      <alignment horizontal="left" vertical="center" wrapText="1" indent="1"/>
    </xf>
    <xf numFmtId="0" fontId="133" fillId="3" borderId="138" xfId="0" applyFont="1" applyFill="1" applyBorder="1" applyAlignment="1">
      <alignment horizontal="left" vertical="center" wrapText="1" indent="1"/>
    </xf>
    <xf numFmtId="0" fontId="133" fillId="0" borderId="138" xfId="0" applyFont="1" applyBorder="1" applyAlignment="1">
      <alignment horizontal="left" vertical="center" wrapText="1" indent="1"/>
    </xf>
    <xf numFmtId="167" fontId="22" fillId="0" borderId="55" xfId="0" applyNumberFormat="1" applyFont="1" applyBorder="1" applyAlignment="1">
      <alignment horizontal="center"/>
    </xf>
    <xf numFmtId="167" fontId="18" fillId="0" borderId="57" xfId="0" applyNumberFormat="1" applyFont="1" applyBorder="1" applyAlignment="1">
      <alignment horizontal="center"/>
    </xf>
    <xf numFmtId="0" fontId="120" fillId="0" borderId="138" xfId="0" applyFont="1" applyBorder="1"/>
    <xf numFmtId="49" fontId="122" fillId="0" borderId="138" xfId="5" applyNumberFormat="1" applyFont="1" applyBorder="1" applyAlignment="1" applyProtection="1">
      <alignment horizontal="right" vertical="center"/>
      <protection locked="0"/>
    </xf>
    <xf numFmtId="0" fontId="121" fillId="3" borderId="138" xfId="13" applyFont="1" applyFill="1" applyBorder="1" applyAlignment="1" applyProtection="1">
      <alignment horizontal="left" vertical="center" wrapText="1"/>
      <protection locked="0"/>
    </xf>
    <xf numFmtId="49" fontId="121" fillId="3" borderId="138" xfId="5" applyNumberFormat="1" applyFont="1" applyFill="1" applyBorder="1" applyAlignment="1" applyProtection="1">
      <alignment horizontal="right" vertical="center"/>
      <protection locked="0"/>
    </xf>
    <xf numFmtId="0" fontId="121" fillId="0" borderId="138" xfId="13" applyFont="1" applyBorder="1" applyAlignment="1" applyProtection="1">
      <alignment horizontal="left" vertical="center" wrapText="1"/>
      <protection locked="0"/>
    </xf>
    <xf numFmtId="49" fontId="121" fillId="0" borderId="138" xfId="5" applyNumberFormat="1" applyFont="1" applyBorder="1" applyAlignment="1" applyProtection="1">
      <alignment horizontal="right" vertical="center"/>
      <protection locked="0"/>
    </xf>
    <xf numFmtId="0" fontId="123" fillId="0" borderId="138" xfId="13" applyFont="1" applyBorder="1" applyAlignment="1" applyProtection="1">
      <alignment horizontal="left" vertical="center" wrapText="1"/>
      <protection locked="0"/>
    </xf>
    <xf numFmtId="0" fontId="120" fillId="0" borderId="138" xfId="0" applyFont="1" applyBorder="1" applyAlignment="1">
      <alignment horizontal="center" vertical="center" wrapText="1"/>
    </xf>
    <xf numFmtId="0" fontId="116" fillId="0" borderId="146" xfId="0" applyFont="1" applyBorder="1"/>
    <xf numFmtId="0" fontId="116" fillId="0" borderId="146" xfId="0" applyFont="1" applyBorder="1" applyAlignment="1">
      <alignment horizontal="left" indent="8"/>
    </xf>
    <xf numFmtId="0" fontId="116" fillId="0" borderId="146" xfId="0" applyFont="1" applyBorder="1" applyAlignment="1">
      <alignment wrapText="1"/>
    </xf>
    <xf numFmtId="0" fontId="119" fillId="0" borderId="146" xfId="0" applyFont="1" applyBorder="1"/>
    <xf numFmtId="49" fontId="122" fillId="0" borderId="146" xfId="5" applyNumberFormat="1" applyFont="1" applyBorder="1" applyAlignment="1" applyProtection="1">
      <alignment horizontal="right" vertical="center" wrapText="1"/>
      <protection locked="0"/>
    </xf>
    <xf numFmtId="49" fontId="121" fillId="3" borderId="146" xfId="5" applyNumberFormat="1" applyFont="1" applyFill="1" applyBorder="1" applyAlignment="1" applyProtection="1">
      <alignment horizontal="right" vertical="center" wrapText="1"/>
      <protection locked="0"/>
    </xf>
    <xf numFmtId="49" fontId="121" fillId="0" borderId="146" xfId="5" applyNumberFormat="1" applyFont="1" applyBorder="1" applyAlignment="1" applyProtection="1">
      <alignment horizontal="right" vertical="center" wrapText="1"/>
      <protection locked="0"/>
    </xf>
    <xf numFmtId="0" fontId="116" fillId="0" borderId="146"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146"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46" xfId="0" applyFont="1" applyBorder="1" applyAlignment="1">
      <alignment horizontal="left" vertical="center" wrapText="1"/>
    </xf>
    <xf numFmtId="0" fontId="119" fillId="0" borderId="146" xfId="0" applyFont="1" applyBorder="1" applyAlignment="1">
      <alignment horizontal="left" wrapText="1" indent="1"/>
    </xf>
    <xf numFmtId="0" fontId="119" fillId="0" borderId="146" xfId="0" applyFont="1" applyBorder="1" applyAlignment="1">
      <alignment horizontal="left" vertical="center" indent="1"/>
    </xf>
    <xf numFmtId="0" fontId="116" fillId="0" borderId="146" xfId="0" applyFont="1" applyBorder="1" applyAlignment="1">
      <alignment horizontal="left" wrapText="1" indent="1"/>
    </xf>
    <xf numFmtId="0" fontId="116" fillId="0" borderId="146" xfId="0" applyFont="1" applyBorder="1" applyAlignment="1">
      <alignment horizontal="left" indent="1"/>
    </xf>
    <xf numFmtId="0" fontId="116" fillId="0" borderId="146" xfId="0" applyFont="1" applyBorder="1" applyAlignment="1">
      <alignment horizontal="left" wrapText="1" indent="4"/>
    </xf>
    <xf numFmtId="0" fontId="116" fillId="0" borderId="146" xfId="0" applyFont="1" applyBorder="1" applyAlignment="1">
      <alignment horizontal="left" indent="3"/>
    </xf>
    <xf numFmtId="0" fontId="119" fillId="0" borderId="146" xfId="0" applyFont="1" applyBorder="1" applyAlignment="1">
      <alignment horizontal="left" indent="1"/>
    </xf>
    <xf numFmtId="0" fontId="119" fillId="0" borderId="7" xfId="0" applyFont="1" applyBorder="1"/>
    <xf numFmtId="0" fontId="116" fillId="0" borderId="146" xfId="0" applyFont="1" applyBorder="1" applyAlignment="1">
      <alignment horizontal="left" wrapText="1" indent="2"/>
    </xf>
    <xf numFmtId="0" fontId="116" fillId="0" borderId="146" xfId="0" applyFont="1" applyBorder="1" applyAlignment="1">
      <alignment horizontal="left" wrapText="1"/>
    </xf>
    <xf numFmtId="0" fontId="116" fillId="0" borderId="146"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2"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45" xfId="0" applyFont="1" applyBorder="1" applyAlignment="1">
      <alignment horizontal="center" vertical="center" wrapText="1"/>
    </xf>
    <xf numFmtId="0" fontId="116" fillId="0" borderId="148" xfId="0" applyFont="1" applyBorder="1" applyAlignment="1">
      <alignment horizontal="center" vertical="center" wrapText="1"/>
    </xf>
    <xf numFmtId="0" fontId="116" fillId="0" borderId="144" xfId="0" applyFont="1" applyBorder="1" applyAlignment="1">
      <alignment horizontal="center" vertical="center" wrapText="1"/>
    </xf>
    <xf numFmtId="49" fontId="116" fillId="0" borderId="152" xfId="0" applyNumberFormat="1" applyFont="1" applyBorder="1" applyAlignment="1">
      <alignment horizontal="left" wrapText="1" indent="1"/>
    </xf>
    <xf numFmtId="0" fontId="116" fillId="0" borderId="154" xfId="0" applyFont="1" applyBorder="1" applyAlignment="1">
      <alignment horizontal="left" wrapText="1" indent="1"/>
    </xf>
    <xf numFmtId="49" fontId="116" fillId="0" borderId="155" xfId="0" applyNumberFormat="1" applyFont="1" applyBorder="1" applyAlignment="1">
      <alignment horizontal="left" wrapText="1" indent="1"/>
    </xf>
    <xf numFmtId="0" fontId="116" fillId="0" borderId="156" xfId="0" applyFont="1" applyBorder="1" applyAlignment="1">
      <alignment horizontal="left" wrapText="1" indent="1"/>
    </xf>
    <xf numFmtId="49" fontId="116" fillId="0" borderId="156" xfId="0" applyNumberFormat="1" applyFont="1" applyBorder="1" applyAlignment="1">
      <alignment horizontal="left" wrapText="1" indent="3"/>
    </xf>
    <xf numFmtId="49" fontId="116" fillId="0" borderId="155" xfId="0" applyNumberFormat="1" applyFont="1" applyBorder="1" applyAlignment="1">
      <alignment horizontal="left" wrapText="1" indent="3"/>
    </xf>
    <xf numFmtId="49" fontId="116" fillId="0" borderId="156" xfId="0" applyNumberFormat="1" applyFont="1" applyBorder="1" applyAlignment="1">
      <alignment horizontal="left" wrapText="1" indent="2"/>
    </xf>
    <xf numFmtId="49" fontId="116" fillId="0" borderId="155" xfId="0" applyNumberFormat="1" applyFont="1" applyBorder="1" applyAlignment="1">
      <alignment horizontal="left" wrapText="1" indent="2"/>
    </xf>
    <xf numFmtId="49" fontId="116" fillId="0" borderId="155" xfId="0" applyNumberFormat="1" applyFont="1" applyBorder="1" applyAlignment="1">
      <alignment horizontal="left" vertical="top" wrapText="1" indent="2"/>
    </xf>
    <xf numFmtId="49" fontId="116" fillId="0" borderId="155" xfId="0" applyNumberFormat="1" applyFont="1" applyBorder="1" applyAlignment="1">
      <alignment horizontal="left" indent="1"/>
    </xf>
    <xf numFmtId="0" fontId="116" fillId="0" borderId="156" xfId="0" applyFont="1" applyBorder="1" applyAlignment="1">
      <alignment horizontal="left" indent="1"/>
    </xf>
    <xf numFmtId="49" fontId="116" fillId="0" borderId="156" xfId="0" applyNumberFormat="1" applyFont="1" applyBorder="1" applyAlignment="1">
      <alignment horizontal="left" indent="1"/>
    </xf>
    <xf numFmtId="49" fontId="116" fillId="0" borderId="156" xfId="0" applyNumberFormat="1" applyFont="1" applyBorder="1" applyAlignment="1">
      <alignment horizontal="left" indent="3"/>
    </xf>
    <xf numFmtId="49" fontId="116" fillId="0" borderId="155" xfId="0" applyNumberFormat="1" applyFont="1" applyBorder="1" applyAlignment="1">
      <alignment horizontal="left" indent="3"/>
    </xf>
    <xf numFmtId="0" fontId="116" fillId="0" borderId="156" xfId="0" applyFont="1" applyBorder="1" applyAlignment="1">
      <alignment horizontal="left" indent="2"/>
    </xf>
    <xf numFmtId="0" fontId="116" fillId="0" borderId="155" xfId="0" applyFont="1" applyBorder="1" applyAlignment="1">
      <alignment horizontal="left" indent="2"/>
    </xf>
    <xf numFmtId="0" fontId="116" fillId="0" borderId="155" xfId="0" applyFont="1" applyBorder="1" applyAlignment="1">
      <alignment horizontal="left" indent="1"/>
    </xf>
    <xf numFmtId="0" fontId="119" fillId="0" borderId="63" xfId="0" applyFont="1" applyBorder="1"/>
    <xf numFmtId="0" fontId="116" fillId="0" borderId="68" xfId="0" applyFont="1" applyBorder="1"/>
    <xf numFmtId="0" fontId="116" fillId="0" borderId="0" xfId="0" applyFont="1" applyAlignment="1">
      <alignment horizontal="left"/>
    </xf>
    <xf numFmtId="0" fontId="119" fillId="0" borderId="146" xfId="0" applyFont="1" applyBorder="1" applyAlignment="1">
      <alignment horizontal="left" vertical="center" wrapText="1"/>
    </xf>
    <xf numFmtId="0" fontId="9" fillId="0" borderId="0" xfId="0" applyFont="1" applyAlignment="1">
      <alignment wrapText="1"/>
    </xf>
    <xf numFmtId="0" fontId="119" fillId="0" borderId="146"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33" xfId="0" applyFont="1" applyBorder="1" applyAlignment="1">
      <alignment horizontal="left" vertical="center" wrapText="1" indent="1" readingOrder="1"/>
    </xf>
    <xf numFmtId="0" fontId="121" fillId="0" borderId="146" xfId="0" applyFont="1" applyBorder="1" applyAlignment="1">
      <alignment horizontal="left" indent="3"/>
    </xf>
    <xf numFmtId="0" fontId="119" fillId="0" borderId="146" xfId="0" applyFont="1" applyBorder="1" applyAlignment="1">
      <alignment vertical="center" wrapText="1" readingOrder="1"/>
    </xf>
    <xf numFmtId="0" fontId="121" fillId="0" borderId="146" xfId="0" applyFont="1" applyBorder="1" applyAlignment="1">
      <alignment horizontal="left" indent="2"/>
    </xf>
    <xf numFmtId="0" fontId="116" fillId="0" borderId="134" xfId="0" applyFont="1" applyBorder="1" applyAlignment="1">
      <alignment vertical="center" wrapText="1" readingOrder="1"/>
    </xf>
    <xf numFmtId="0" fontId="121" fillId="0" borderId="147" xfId="0" applyFont="1" applyBorder="1" applyAlignment="1">
      <alignment horizontal="left" indent="2"/>
    </xf>
    <xf numFmtId="0" fontId="116" fillId="0" borderId="133" xfId="0" applyFont="1" applyBorder="1" applyAlignment="1">
      <alignment vertical="center" wrapText="1" readingOrder="1"/>
    </xf>
    <xf numFmtId="0" fontId="116" fillId="0" borderId="132" xfId="0" applyFont="1" applyBorder="1" applyAlignment="1">
      <alignment vertical="center" wrapText="1" readingOrder="1"/>
    </xf>
    <xf numFmtId="0" fontId="139" fillId="0" borderId="7" xfId="0" applyFont="1" applyBorder="1"/>
    <xf numFmtId="0" fontId="106" fillId="0" borderId="146" xfId="0" applyFont="1" applyBorder="1" applyAlignment="1">
      <alignment vertical="center" wrapText="1"/>
    </xf>
    <xf numFmtId="0" fontId="106" fillId="0" borderId="146" xfId="0" applyFont="1" applyBorder="1" applyAlignment="1">
      <alignment horizontal="left" vertical="center" wrapText="1"/>
    </xf>
    <xf numFmtId="0" fontId="106" fillId="0" borderId="146" xfId="0" applyFont="1" applyBorder="1" applyAlignment="1">
      <alignment horizontal="left" indent="2"/>
    </xf>
    <xf numFmtId="0" fontId="106" fillId="0" borderId="146" xfId="0" applyFont="1" applyBorder="1" applyAlignment="1">
      <alignment horizontal="left" vertical="center" indent="1"/>
    </xf>
    <xf numFmtId="0" fontId="106" fillId="0" borderId="146" xfId="0" applyFont="1" applyBorder="1" applyAlignment="1">
      <alignment horizontal="left" vertical="center" wrapText="1" indent="1"/>
    </xf>
    <xf numFmtId="0" fontId="106" fillId="0" borderId="146" xfId="0" applyFont="1" applyBorder="1" applyAlignment="1">
      <alignment horizontal="right" vertical="center"/>
    </xf>
    <xf numFmtId="49" fontId="106" fillId="0" borderId="146" xfId="0" applyNumberFormat="1" applyFont="1" applyBorder="1" applyAlignment="1">
      <alignment horizontal="right" vertical="center"/>
    </xf>
    <xf numFmtId="49" fontId="106" fillId="0" borderId="146" xfId="0" applyNumberFormat="1" applyFont="1" applyBorder="1" applyAlignment="1">
      <alignment vertical="top" wrapText="1"/>
    </xf>
    <xf numFmtId="49" fontId="106" fillId="0" borderId="146" xfId="0" applyNumberFormat="1" applyFont="1" applyBorder="1" applyAlignment="1">
      <alignment horizontal="left" vertical="top" wrapText="1" indent="2"/>
    </xf>
    <xf numFmtId="49" fontId="106" fillId="0" borderId="146" xfId="0" applyNumberFormat="1" applyFont="1" applyBorder="1" applyAlignment="1">
      <alignment horizontal="left" vertical="center" wrapText="1" indent="3"/>
    </xf>
    <xf numFmtId="49" fontId="106" fillId="0" borderId="146" xfId="0" applyNumberFormat="1" applyFont="1" applyBorder="1" applyAlignment="1">
      <alignment horizontal="left" wrapText="1" indent="2"/>
    </xf>
    <xf numFmtId="49" fontId="106" fillId="0" borderId="146" xfId="0" applyNumberFormat="1" applyFont="1" applyBorder="1" applyAlignment="1">
      <alignment horizontal="left" vertical="top" wrapText="1"/>
    </xf>
    <xf numFmtId="49" fontId="106" fillId="0" borderId="146" xfId="0" applyNumberFormat="1" applyFont="1" applyBorder="1" applyAlignment="1">
      <alignment horizontal="left" wrapText="1" indent="3"/>
    </xf>
    <xf numFmtId="49" fontId="106" fillId="0" borderId="146" xfId="0" applyNumberFormat="1" applyFont="1" applyBorder="1" applyAlignment="1">
      <alignment vertical="center"/>
    </xf>
    <xf numFmtId="49" fontId="106" fillId="0" borderId="146" xfId="0" applyNumberFormat="1" applyFont="1" applyBorder="1" applyAlignment="1">
      <alignment horizontal="left" indent="3"/>
    </xf>
    <xf numFmtId="0" fontId="106" fillId="0" borderId="146" xfId="0" applyFont="1" applyBorder="1" applyAlignment="1">
      <alignment horizontal="left" indent="1"/>
    </xf>
    <xf numFmtId="0" fontId="106" fillId="0" borderId="146" xfId="0" applyFont="1" applyBorder="1" applyAlignment="1">
      <alignment horizontal="left" wrapText="1" indent="2"/>
    </xf>
    <xf numFmtId="0" fontId="106" fillId="0" borderId="146" xfId="0" applyFont="1" applyBorder="1" applyAlignment="1">
      <alignment horizontal="left" vertical="top" wrapText="1"/>
    </xf>
    <xf numFmtId="0" fontId="105" fillId="0" borderId="7" xfId="0" applyFont="1" applyBorder="1" applyAlignment="1">
      <alignment wrapText="1"/>
    </xf>
    <xf numFmtId="0" fontId="106" fillId="0" borderId="146" xfId="0" applyFont="1" applyBorder="1" applyAlignment="1">
      <alignment horizontal="left" vertical="top" wrapText="1" indent="2"/>
    </xf>
    <xf numFmtId="0" fontId="106" fillId="0" borderId="146" xfId="0" applyFont="1" applyBorder="1" applyAlignment="1">
      <alignment horizontal="left" wrapText="1"/>
    </xf>
    <xf numFmtId="0" fontId="106" fillId="0" borderId="146" xfId="12672" applyFont="1" applyBorder="1" applyAlignment="1">
      <alignment horizontal="left" vertical="center" wrapText="1" indent="2"/>
    </xf>
    <xf numFmtId="0" fontId="106" fillId="0" borderId="146" xfId="0" applyFont="1" applyBorder="1" applyAlignment="1">
      <alignment wrapText="1"/>
    </xf>
    <xf numFmtId="0" fontId="106" fillId="0" borderId="146" xfId="0" applyFont="1" applyBorder="1"/>
    <xf numFmtId="0" fontId="106" fillId="0" borderId="146" xfId="12672" applyFont="1" applyBorder="1" applyAlignment="1">
      <alignment horizontal="left" vertical="center" wrapText="1"/>
    </xf>
    <xf numFmtId="0" fontId="105" fillId="0" borderId="146" xfId="0" applyFont="1" applyBorder="1" applyAlignment="1">
      <alignment wrapText="1"/>
    </xf>
    <xf numFmtId="0" fontId="106" fillId="0" borderId="148" xfId="0" applyFont="1" applyBorder="1" applyAlignment="1">
      <alignment horizontal="left" vertical="center" wrapText="1"/>
    </xf>
    <xf numFmtId="0" fontId="106" fillId="3" borderId="146" xfId="5" applyFont="1" applyFill="1" applyBorder="1" applyAlignment="1" applyProtection="1">
      <alignment horizontal="right" vertical="center"/>
      <protection locked="0"/>
    </xf>
    <xf numFmtId="2" fontId="106" fillId="3" borderId="146" xfId="5" applyNumberFormat="1" applyFont="1" applyFill="1" applyBorder="1" applyAlignment="1" applyProtection="1">
      <alignment horizontal="right" vertical="center"/>
      <protection locked="0"/>
    </xf>
    <xf numFmtId="0" fontId="106" fillId="0" borderId="146" xfId="0" applyFont="1" applyBorder="1" applyAlignment="1">
      <alignment vertical="center"/>
    </xf>
    <xf numFmtId="0" fontId="106" fillId="0" borderId="148" xfId="13" applyFont="1" applyBorder="1" applyAlignment="1" applyProtection="1">
      <alignment horizontal="left" vertical="top" wrapText="1"/>
      <protection locked="0"/>
    </xf>
    <xf numFmtId="0" fontId="106" fillId="0" borderId="149" xfId="13" applyFont="1" applyBorder="1" applyAlignment="1" applyProtection="1">
      <alignment horizontal="left" vertical="top" wrapText="1"/>
      <protection locked="0"/>
    </xf>
    <xf numFmtId="0" fontId="106" fillId="0" borderId="147" xfId="0" applyFont="1" applyBorder="1" applyAlignment="1">
      <alignment vertical="center" wrapText="1"/>
    </xf>
    <xf numFmtId="0" fontId="125" fillId="0" borderId="0" xfId="0" applyFont="1" applyAlignment="1">
      <alignment horizontal="left" indent="2"/>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25" fillId="0" borderId="0" xfId="0" applyFont="1" applyAlignment="1">
      <alignment horizontal="left" vertical="center" wrapText="1"/>
    </xf>
    <xf numFmtId="0" fontId="116" fillId="0" borderId="0" xfId="0" applyFont="1" applyAlignment="1">
      <alignment horizontal="left" vertical="center" wrapText="1"/>
    </xf>
    <xf numFmtId="0" fontId="106" fillId="0" borderId="147" xfId="0" applyFont="1" applyBorder="1" applyAlignment="1">
      <alignment horizontal="left" indent="2"/>
    </xf>
    <xf numFmtId="0" fontId="106" fillId="0" borderId="134" xfId="0" applyFont="1" applyBorder="1" applyAlignment="1">
      <alignment horizontal="left" vertical="center" wrapText="1" readingOrder="1"/>
    </xf>
    <xf numFmtId="0" fontId="106" fillId="0" borderId="146" xfId="0" applyFont="1" applyBorder="1" applyAlignment="1">
      <alignment horizontal="left" vertical="center" wrapText="1" readingOrder="1"/>
    </xf>
    <xf numFmtId="167" fontId="19" fillId="81" borderId="56" xfId="0" applyNumberFormat="1" applyFont="1" applyFill="1" applyBorder="1" applyAlignment="1">
      <alignment horizontal="center"/>
    </xf>
    <xf numFmtId="0" fontId="11" fillId="0" borderId="97" xfId="17" applyFill="1" applyBorder="1" applyAlignment="1" applyProtection="1">
      <alignment horizontal="left" vertical="top" wrapText="1"/>
    </xf>
    <xf numFmtId="0" fontId="106" fillId="0" borderId="0" xfId="0" applyFont="1" applyAlignment="1">
      <alignment wrapText="1"/>
    </xf>
    <xf numFmtId="0" fontId="142" fillId="0" borderId="0" xfId="0" applyFont="1"/>
    <xf numFmtId="0" fontId="143" fillId="0" borderId="0" xfId="0" applyFont="1" applyAlignment="1">
      <alignment vertical="top"/>
    </xf>
    <xf numFmtId="0" fontId="143" fillId="0" borderId="0" xfId="0" applyFont="1" applyAlignment="1">
      <alignment vertical="top" wrapText="1"/>
    </xf>
    <xf numFmtId="0" fontId="150" fillId="0" borderId="0" xfId="0" applyFont="1" applyAlignment="1">
      <alignment vertical="top" wrapText="1"/>
    </xf>
    <xf numFmtId="0" fontId="7" fillId="0" borderId="0" xfId="11" applyFont="1"/>
    <xf numFmtId="0" fontId="149" fillId="0" borderId="0" xfId="11" applyFont="1"/>
    <xf numFmtId="0" fontId="144" fillId="82" borderId="146" xfId="0" applyFont="1" applyFill="1" applyBorder="1" applyAlignment="1">
      <alignment horizontal="left" vertical="center"/>
    </xf>
    <xf numFmtId="49" fontId="145" fillId="0" borderId="146" xfId="0" applyNumberFormat="1" applyFont="1" applyBorder="1" applyAlignment="1">
      <alignment horizontal="left" vertical="center"/>
    </xf>
    <xf numFmtId="0" fontId="145" fillId="0" borderId="146" xfId="0" applyFont="1" applyBorder="1" applyAlignment="1">
      <alignment horizontal="left" vertical="center"/>
    </xf>
    <xf numFmtId="0" fontId="144" fillId="0" borderId="146" xfId="0" applyFont="1" applyBorder="1" applyAlignment="1">
      <alignment horizontal="left" vertical="center"/>
    </xf>
    <xf numFmtId="0" fontId="144" fillId="83" borderId="16" xfId="0" applyFont="1" applyFill="1" applyBorder="1" applyAlignment="1">
      <alignment horizontal="center" vertical="center"/>
    </xf>
    <xf numFmtId="0" fontId="144" fillId="83" borderId="17" xfId="0" applyFont="1" applyFill="1" applyBorder="1" applyAlignment="1">
      <alignment horizontal="center" vertical="center"/>
    </xf>
    <xf numFmtId="194" fontId="144" fillId="82" borderId="155" xfId="7" applyNumberFormat="1" applyFont="1" applyFill="1" applyBorder="1" applyAlignment="1">
      <alignment horizontal="left" vertical="center"/>
    </xf>
    <xf numFmtId="194" fontId="145" fillId="0" borderId="155" xfId="7" applyNumberFormat="1" applyFont="1" applyFill="1" applyBorder="1" applyAlignment="1">
      <alignment horizontal="left" vertical="center"/>
    </xf>
    <xf numFmtId="10" fontId="7" fillId="0" borderId="155" xfId="0" applyNumberFormat="1" applyFont="1" applyBorder="1" applyAlignment="1">
      <alignment horizontal="right" vertical="center" wrapText="1"/>
    </xf>
    <xf numFmtId="0" fontId="148" fillId="84" borderId="153" xfId="0" applyFont="1" applyFill="1" applyBorder="1" applyAlignment="1">
      <alignment horizontal="left" vertical="center"/>
    </xf>
    <xf numFmtId="10" fontId="149" fillId="86" borderId="152" xfId="0" applyNumberFormat="1" applyFont="1" applyFill="1" applyBorder="1" applyAlignment="1">
      <alignment horizontal="right" vertical="center" wrapText="1"/>
    </xf>
    <xf numFmtId="0" fontId="0" fillId="0" borderId="1" xfId="0" applyBorder="1"/>
    <xf numFmtId="0" fontId="4" fillId="85" borderId="146" xfId="0" applyFont="1" applyFill="1" applyBorder="1" applyAlignment="1">
      <alignment horizontal="center" vertical="center" wrapText="1"/>
    </xf>
    <xf numFmtId="0" fontId="6" fillId="86" borderId="146" xfId="0" applyFont="1" applyFill="1" applyBorder="1" applyAlignment="1">
      <alignment vertical="center" wrapText="1"/>
    </xf>
    <xf numFmtId="194" fontId="6" fillId="86" borderId="146" xfId="7" applyNumberFormat="1" applyFont="1" applyFill="1" applyBorder="1" applyAlignment="1">
      <alignment vertical="center"/>
    </xf>
    <xf numFmtId="194" fontId="6" fillId="86" borderId="155" xfId="7" applyNumberFormat="1" applyFont="1" applyFill="1" applyBorder="1" applyAlignment="1">
      <alignment vertical="center"/>
    </xf>
    <xf numFmtId="0" fontId="145" fillId="82" borderId="146" xfId="0" applyFont="1" applyFill="1" applyBorder="1" applyAlignment="1">
      <alignment horizontal="left" vertical="center" wrapText="1" indent="3"/>
    </xf>
    <xf numFmtId="194" fontId="6" fillId="35" borderId="146" xfId="7" applyNumberFormat="1" applyFont="1" applyFill="1" applyBorder="1" applyAlignment="1">
      <alignment vertical="center"/>
    </xf>
    <xf numFmtId="0" fontId="152" fillId="82" borderId="146" xfId="0" applyFont="1" applyFill="1" applyBorder="1" applyAlignment="1">
      <alignment horizontal="left" vertical="center" wrapText="1" indent="5"/>
    </xf>
    <xf numFmtId="0" fontId="153" fillId="83" borderId="146" xfId="0" applyFont="1" applyFill="1" applyBorder="1" applyAlignment="1">
      <alignment horizontal="left" vertical="center" wrapText="1" indent="1"/>
    </xf>
    <xf numFmtId="194" fontId="153" fillId="83" borderId="146" xfId="7" applyNumberFormat="1" applyFont="1" applyFill="1" applyBorder="1" applyAlignment="1">
      <alignment vertical="center"/>
    </xf>
    <xf numFmtId="194" fontId="153" fillId="84" borderId="155" xfId="7" applyNumberFormat="1" applyFont="1" applyFill="1" applyBorder="1" applyAlignment="1">
      <alignment vertical="center"/>
    </xf>
    <xf numFmtId="194" fontId="154" fillId="82" borderId="146" xfId="7" applyNumberFormat="1" applyFont="1" applyFill="1" applyBorder="1" applyAlignment="1">
      <alignment vertical="center"/>
    </xf>
    <xf numFmtId="194" fontId="154" fillId="84" borderId="155" xfId="7" applyNumberFormat="1" applyFont="1" applyFill="1" applyBorder="1" applyAlignment="1">
      <alignment vertical="center"/>
    </xf>
    <xf numFmtId="0" fontId="152" fillId="82" borderId="153" xfId="0" applyFont="1" applyFill="1" applyBorder="1" applyAlignment="1">
      <alignment horizontal="left" vertical="center" wrapText="1" indent="5"/>
    </xf>
    <xf numFmtId="194" fontId="154" fillId="82" borderId="153" xfId="7" applyNumberFormat="1" applyFont="1" applyFill="1" applyBorder="1" applyAlignment="1">
      <alignment vertical="center"/>
    </xf>
    <xf numFmtId="194" fontId="154" fillId="84" borderId="152" xfId="7" applyNumberFormat="1" applyFont="1" applyFill="1" applyBorder="1" applyAlignment="1">
      <alignment vertical="center"/>
    </xf>
    <xf numFmtId="0" fontId="7" fillId="0" borderId="146" xfId="13" applyFont="1" applyBorder="1" applyAlignment="1" applyProtection="1">
      <alignment wrapText="1"/>
      <protection locked="0"/>
    </xf>
    <xf numFmtId="0" fontId="7" fillId="0" borderId="3" xfId="13" applyFont="1" applyBorder="1" applyAlignment="1" applyProtection="1">
      <alignment vertical="center" wrapText="1"/>
      <protection locked="0"/>
    </xf>
    <xf numFmtId="49" fontId="155" fillId="0" borderId="97" xfId="0" applyNumberFormat="1" applyFont="1" applyBorder="1" applyAlignment="1">
      <alignment horizontal="right" vertical="center"/>
    </xf>
    <xf numFmtId="0" fontId="155" fillId="0" borderId="146" xfId="12672" applyFont="1" applyBorder="1" applyAlignment="1">
      <alignment horizontal="left" vertical="center" wrapText="1"/>
    </xf>
    <xf numFmtId="0" fontId="155" fillId="0" borderId="147" xfId="0" applyFont="1" applyBorder="1" applyAlignment="1">
      <alignment horizontal="left" vertical="top" wrapText="1"/>
    </xf>
    <xf numFmtId="0" fontId="155" fillId="0" borderId="146" xfId="0" applyFont="1" applyBorder="1" applyAlignment="1">
      <alignment vertical="center" wrapText="1"/>
    </xf>
    <xf numFmtId="0" fontId="132" fillId="0" borderId="146" xfId="21414" applyFont="1" applyBorder="1" applyAlignment="1">
      <alignment horizontal="left" vertical="center" wrapText="1"/>
    </xf>
    <xf numFmtId="0" fontId="4" fillId="0" borderId="146" xfId="0" applyFont="1" applyBorder="1"/>
    <xf numFmtId="0" fontId="11" fillId="0" borderId="146" xfId="17" applyFill="1" applyBorder="1" applyAlignment="1" applyProtection="1"/>
    <xf numFmtId="0" fontId="139" fillId="3" borderId="146" xfId="5" applyFont="1" applyFill="1" applyBorder="1" applyProtection="1">
      <protection locked="0"/>
    </xf>
    <xf numFmtId="0" fontId="139" fillId="0" borderId="146" xfId="21416" applyFont="1" applyBorder="1" applyAlignment="1" applyProtection="1">
      <alignment horizontal="center" vertical="top" wrapText="1"/>
      <protection locked="0"/>
    </xf>
    <xf numFmtId="0" fontId="156" fillId="3" borderId="146" xfId="21416" applyFont="1" applyFill="1" applyBorder="1" applyAlignment="1" applyProtection="1">
      <alignment wrapText="1"/>
      <protection locked="0"/>
    </xf>
    <xf numFmtId="3" fontId="139" fillId="80" borderId="146" xfId="5" applyNumberFormat="1" applyFont="1" applyFill="1" applyBorder="1"/>
    <xf numFmtId="0" fontId="137" fillId="3" borderId="146" xfId="21416" applyFont="1" applyFill="1" applyBorder="1" applyAlignment="1" applyProtection="1">
      <alignment horizontal="right" wrapText="1"/>
      <protection locked="0"/>
    </xf>
    <xf numFmtId="3" fontId="139" fillId="0" borderId="146" xfId="5" applyNumberFormat="1" applyFont="1" applyBorder="1"/>
    <xf numFmtId="0" fontId="157" fillId="0" borderId="0" xfId="21415" applyFont="1" applyAlignment="1" applyProtection="1">
      <alignment vertical="center"/>
      <protection locked="0"/>
    </xf>
    <xf numFmtId="0" fontId="112" fillId="76" borderId="149" xfId="21412" applyFont="1" applyFill="1" applyBorder="1" applyAlignment="1" applyProtection="1">
      <alignment vertical="center" wrapText="1"/>
      <protection locked="0"/>
    </xf>
    <xf numFmtId="0" fontId="62" fillId="76" borderId="148" xfId="21412" applyFont="1" applyFill="1" applyBorder="1" applyProtection="1">
      <alignment vertical="center"/>
      <protection locked="0"/>
    </xf>
    <xf numFmtId="0" fontId="113" fillId="69" borderId="147" xfId="21412" applyFont="1" applyFill="1" applyBorder="1" applyAlignment="1" applyProtection="1">
      <alignment horizontal="center" vertical="center"/>
      <protection locked="0"/>
    </xf>
    <xf numFmtId="0" fontId="113" fillId="0" borderId="148" xfId="21412" applyFont="1" applyBorder="1" applyAlignment="1" applyProtection="1">
      <alignment horizontal="left" vertical="center" wrapText="1"/>
      <protection locked="0"/>
    </xf>
    <xf numFmtId="164" fontId="113" fillId="0" borderId="146" xfId="948" applyNumberFormat="1" applyFont="1" applyFill="1" applyBorder="1" applyAlignment="1" applyProtection="1">
      <alignment horizontal="right" vertical="center"/>
      <protection locked="0"/>
    </xf>
    <xf numFmtId="0" fontId="112" fillId="77" borderId="146" xfId="21412" applyFont="1" applyFill="1" applyBorder="1" applyAlignment="1" applyProtection="1">
      <alignment horizontal="center" vertical="center"/>
      <protection locked="0"/>
    </xf>
    <xf numFmtId="0" fontId="112" fillId="77" borderId="148" xfId="21412" applyFont="1" applyFill="1" applyBorder="1" applyAlignment="1" applyProtection="1">
      <alignment vertical="top" wrapText="1"/>
      <protection locked="0"/>
    </xf>
    <xf numFmtId="164" fontId="113" fillId="77" borderId="146" xfId="948" applyNumberFormat="1" applyFont="1" applyFill="1" applyBorder="1" applyAlignment="1" applyProtection="1">
      <alignment horizontal="right" vertical="center"/>
    </xf>
    <xf numFmtId="0" fontId="112" fillId="76" borderId="149" xfId="21412" applyFont="1" applyFill="1" applyBorder="1" applyProtection="1">
      <alignment vertical="center"/>
      <protection locked="0"/>
    </xf>
    <xf numFmtId="164" fontId="62" fillId="76" borderId="148" xfId="948" applyNumberFormat="1" applyFont="1" applyFill="1" applyBorder="1" applyAlignment="1" applyProtection="1">
      <alignment horizontal="right" vertical="center"/>
      <protection locked="0"/>
    </xf>
    <xf numFmtId="0" fontId="114" fillId="69" borderId="147" xfId="21412" applyFont="1" applyFill="1" applyBorder="1" applyAlignment="1" applyProtection="1">
      <alignment horizontal="center" vertical="center"/>
      <protection locked="0"/>
    </xf>
    <xf numFmtId="0" fontId="113" fillId="69" borderId="146" xfId="21412" applyFont="1" applyFill="1" applyBorder="1" applyAlignment="1" applyProtection="1">
      <alignment vertical="center" wrapText="1"/>
      <protection locked="0"/>
    </xf>
    <xf numFmtId="0" fontId="113" fillId="69" borderId="146" xfId="21412" applyFont="1" applyFill="1" applyBorder="1" applyAlignment="1" applyProtection="1">
      <alignment horizontal="left" vertical="center" wrapText="1"/>
      <protection locked="0"/>
    </xf>
    <xf numFmtId="0" fontId="113" fillId="0" borderId="146" xfId="21412" applyFont="1" applyBorder="1" applyAlignment="1" applyProtection="1">
      <alignment horizontal="left" vertical="center" wrapText="1"/>
      <protection locked="0"/>
    </xf>
    <xf numFmtId="0" fontId="114" fillId="3" borderId="147" xfId="21412" applyFont="1" applyFill="1" applyBorder="1" applyAlignment="1" applyProtection="1">
      <alignment horizontal="center" vertical="center"/>
      <protection locked="0"/>
    </xf>
    <xf numFmtId="0" fontId="113" fillId="0" borderId="146" xfId="21412" applyFont="1" applyBorder="1" applyAlignment="1" applyProtection="1">
      <alignment vertical="center" wrapText="1"/>
      <protection locked="0"/>
    </xf>
    <xf numFmtId="0" fontId="115" fillId="77" borderId="146" xfId="21412" applyFont="1" applyFill="1" applyBorder="1" applyAlignment="1" applyProtection="1">
      <alignment horizontal="center" vertical="center"/>
      <protection locked="0"/>
    </xf>
    <xf numFmtId="0" fontId="112" fillId="77" borderId="148" xfId="21412" applyFont="1" applyFill="1" applyBorder="1" applyAlignment="1" applyProtection="1">
      <alignment vertical="center" wrapText="1"/>
      <protection locked="0"/>
    </xf>
    <xf numFmtId="164" fontId="112" fillId="76" borderId="148" xfId="948" applyNumberFormat="1" applyFont="1" applyFill="1" applyBorder="1" applyAlignment="1" applyProtection="1">
      <alignment horizontal="right" vertical="center"/>
      <protection locked="0"/>
    </xf>
    <xf numFmtId="0" fontId="113" fillId="69" borderId="148" xfId="21412" applyFont="1" applyFill="1" applyBorder="1" applyAlignment="1" applyProtection="1">
      <alignment vertical="center" wrapText="1"/>
      <protection locked="0"/>
    </xf>
    <xf numFmtId="0" fontId="62" fillId="76" borderId="149" xfId="21412" applyFont="1" applyFill="1" applyBorder="1" applyProtection="1">
      <alignment vertical="center"/>
      <protection locked="0"/>
    </xf>
    <xf numFmtId="164" fontId="113" fillId="3" borderId="146" xfId="948" applyNumberFormat="1" applyFont="1" applyFill="1" applyBorder="1" applyAlignment="1" applyProtection="1">
      <alignment horizontal="right" vertical="center"/>
      <protection locked="0"/>
    </xf>
    <xf numFmtId="0" fontId="114" fillId="3" borderId="146" xfId="21412" applyFont="1" applyFill="1" applyBorder="1" applyAlignment="1" applyProtection="1">
      <alignment horizontal="center" vertical="center"/>
      <protection locked="0"/>
    </xf>
    <xf numFmtId="0" fontId="113" fillId="69" borderId="148" xfId="21412" applyFont="1" applyFill="1" applyBorder="1" applyAlignment="1" applyProtection="1">
      <alignment horizontal="left" vertical="center" wrapText="1"/>
      <protection locked="0"/>
    </xf>
    <xf numFmtId="0" fontId="156" fillId="3" borderId="0" xfId="21415" applyFont="1" applyFill="1" applyAlignment="1" applyProtection="1">
      <alignment vertical="center"/>
      <protection locked="0"/>
    </xf>
    <xf numFmtId="0" fontId="139" fillId="3" borderId="146" xfId="5" applyFont="1" applyFill="1" applyBorder="1" applyAlignment="1" applyProtection="1">
      <alignment vertical="center" wrapText="1"/>
      <protection locked="0"/>
    </xf>
    <xf numFmtId="0" fontId="139" fillId="0" borderId="146" xfId="21416" applyFont="1" applyBorder="1" applyAlignment="1" applyProtection="1">
      <alignment horizontal="center" vertical="center" wrapText="1"/>
      <protection locked="0"/>
    </xf>
    <xf numFmtId="3" fontId="139" fillId="3" borderId="146" xfId="1" applyNumberFormat="1" applyFont="1" applyFill="1" applyBorder="1" applyAlignment="1" applyProtection="1">
      <alignment horizontal="center" vertical="center" wrapText="1"/>
      <protection locked="0"/>
    </xf>
    <xf numFmtId="9" fontId="139" fillId="3" borderId="146" xfId="15" applyNumberFormat="1" applyFont="1" applyFill="1" applyBorder="1" applyAlignment="1" applyProtection="1">
      <alignment horizontal="center" vertical="center" wrapText="1"/>
      <protection locked="0"/>
    </xf>
    <xf numFmtId="0" fontId="139" fillId="3" borderId="146" xfId="21416" applyFont="1" applyFill="1" applyBorder="1" applyAlignment="1" applyProtection="1">
      <alignment horizontal="center" vertical="center" wrapText="1"/>
      <protection locked="0"/>
    </xf>
    <xf numFmtId="0" fontId="156" fillId="3" borderId="146" xfId="21416" applyFont="1" applyFill="1" applyBorder="1" applyProtection="1">
      <protection locked="0"/>
    </xf>
    <xf numFmtId="0" fontId="159" fillId="3" borderId="146" xfId="21416" applyFont="1" applyFill="1" applyBorder="1" applyAlignment="1" applyProtection="1">
      <alignment horizontal="right"/>
      <protection locked="0"/>
    </xf>
    <xf numFmtId="195" fontId="139" fillId="80" borderId="146" xfId="5" applyNumberFormat="1" applyFont="1" applyFill="1" applyBorder="1" applyProtection="1">
      <protection locked="0"/>
    </xf>
    <xf numFmtId="164" fontId="139" fillId="80" borderId="146" xfId="1" applyNumberFormat="1" applyFont="1" applyFill="1" applyBorder="1" applyAlignment="1" applyProtection="1"/>
    <xf numFmtId="0" fontId="139" fillId="3" borderId="146" xfId="21416" applyFont="1" applyFill="1" applyBorder="1" applyAlignment="1" applyProtection="1">
      <alignment horizontal="left" vertical="center"/>
      <protection locked="0"/>
    </xf>
    <xf numFmtId="3" fontId="139" fillId="3" borderId="146" xfId="5" applyNumberFormat="1" applyFont="1" applyFill="1" applyBorder="1" applyProtection="1">
      <protection locked="0"/>
    </xf>
    <xf numFmtId="0" fontId="137" fillId="3" borderId="146" xfId="21416" applyFont="1" applyFill="1" applyBorder="1" applyAlignment="1" applyProtection="1">
      <alignment horizontal="right"/>
      <protection locked="0"/>
    </xf>
    <xf numFmtId="0" fontId="139" fillId="0" borderId="146" xfId="21416" applyFont="1" applyBorder="1" applyAlignment="1" applyProtection="1">
      <alignment horizontal="left" vertical="center"/>
      <protection locked="0"/>
    </xf>
    <xf numFmtId="0" fontId="156" fillId="3" borderId="146" xfId="16" applyFont="1" applyFill="1" applyBorder="1" applyProtection="1">
      <protection locked="0"/>
    </xf>
    <xf numFmtId="3" fontId="156" fillId="76" borderId="146" xfId="16" applyNumberFormat="1" applyFont="1" applyFill="1" applyBorder="1"/>
    <xf numFmtId="0" fontId="102" fillId="0" borderId="146" xfId="0" applyFont="1" applyBorder="1"/>
    <xf numFmtId="14" fontId="4" fillId="0" borderId="0" xfId="0" applyNumberFormat="1" applyFont="1" applyAlignment="1">
      <alignment horizontal="left"/>
    </xf>
    <xf numFmtId="10" fontId="9" fillId="2" borderId="97" xfId="20961" applyNumberFormat="1" applyFont="1" applyFill="1" applyBorder="1" applyAlignment="1" applyProtection="1">
      <alignment vertical="center"/>
      <protection locked="0"/>
    </xf>
    <xf numFmtId="10" fontId="9" fillId="2" borderId="22" xfId="20961" applyNumberFormat="1" applyFont="1" applyFill="1" applyBorder="1" applyAlignment="1" applyProtection="1">
      <alignment vertical="center"/>
      <protection locked="0"/>
    </xf>
    <xf numFmtId="10" fontId="17" fillId="2" borderId="22" xfId="20961" applyNumberFormat="1" applyFont="1" applyFill="1" applyBorder="1" applyAlignment="1" applyProtection="1">
      <alignment vertical="center"/>
      <protection locked="0"/>
    </xf>
    <xf numFmtId="10" fontId="17" fillId="2" borderId="23" xfId="20961" applyNumberFormat="1" applyFont="1" applyFill="1" applyBorder="1" applyAlignment="1" applyProtection="1">
      <alignment vertical="center"/>
      <protection locked="0"/>
    </xf>
    <xf numFmtId="196" fontId="0" fillId="0" borderId="0" xfId="7" applyNumberFormat="1" applyFont="1"/>
    <xf numFmtId="164" fontId="7" fillId="0" borderId="0" xfId="7" applyNumberFormat="1" applyFont="1"/>
    <xf numFmtId="164" fontId="4" fillId="0" borderId="0" xfId="7" applyNumberFormat="1" applyFont="1"/>
    <xf numFmtId="164" fontId="0" fillId="0" borderId="0" xfId="7" applyNumberFormat="1" applyFont="1"/>
    <xf numFmtId="164" fontId="9" fillId="0" borderId="97" xfId="7" applyNumberFormat="1" applyFont="1" applyBorder="1" applyAlignment="1">
      <alignment horizontal="center" vertical="center" wrapText="1"/>
    </xf>
    <xf numFmtId="164" fontId="0" fillId="0" borderId="97" xfId="7" applyNumberFormat="1" applyFont="1" applyBorder="1"/>
    <xf numFmtId="164" fontId="0" fillId="35" borderId="97" xfId="7" applyNumberFormat="1" applyFont="1" applyFill="1" applyBorder="1"/>
    <xf numFmtId="164" fontId="0" fillId="0" borderId="97" xfId="7" applyNumberFormat="1" applyFont="1" applyBorder="1" applyAlignment="1">
      <alignment vertical="center"/>
    </xf>
    <xf numFmtId="164" fontId="0" fillId="35" borderId="97" xfId="7" applyNumberFormat="1" applyFont="1" applyFill="1" applyBorder="1" applyAlignment="1">
      <alignment vertical="center"/>
    </xf>
    <xf numFmtId="164" fontId="0" fillId="0" borderId="138" xfId="7" applyNumberFormat="1" applyFont="1" applyBorder="1"/>
    <xf numFmtId="164" fontId="0" fillId="35" borderId="138" xfId="7" applyNumberFormat="1" applyFont="1" applyFill="1" applyBorder="1"/>
    <xf numFmtId="164" fontId="9" fillId="0" borderId="138" xfId="7" applyNumberFormat="1" applyFont="1" applyBorder="1" applyAlignment="1">
      <alignment horizontal="center" vertical="center" wrapText="1"/>
    </xf>
    <xf numFmtId="164" fontId="0" fillId="0" borderId="146" xfId="7" applyNumberFormat="1" applyFont="1" applyBorder="1"/>
    <xf numFmtId="164" fontId="9" fillId="0" borderId="112" xfId="7" applyNumberFormat="1" applyFont="1" applyBorder="1" applyAlignment="1">
      <alignment horizontal="center" vertical="center" wrapText="1"/>
    </xf>
    <xf numFmtId="164" fontId="9" fillId="0" borderId="138" xfId="7" applyNumberFormat="1" applyFont="1" applyBorder="1" applyAlignment="1">
      <alignment horizontal="right"/>
    </xf>
    <xf numFmtId="164" fontId="9" fillId="35" borderId="138" xfId="7" applyNumberFormat="1" applyFont="1" applyFill="1" applyBorder="1" applyAlignment="1">
      <alignment horizontal="right"/>
    </xf>
    <xf numFmtId="164" fontId="9" fillId="35" borderId="112" xfId="7" applyNumberFormat="1" applyFont="1" applyFill="1" applyBorder="1" applyAlignment="1">
      <alignment horizontal="right"/>
    </xf>
    <xf numFmtId="164" fontId="9" fillId="0" borderId="146" xfId="7" applyNumberFormat="1" applyFont="1" applyBorder="1" applyAlignment="1">
      <alignment horizontal="right"/>
    </xf>
    <xf numFmtId="164" fontId="9" fillId="0" borderId="0" xfId="7" applyNumberFormat="1" applyFont="1" applyAlignment="1">
      <alignment horizontal="right"/>
    </xf>
    <xf numFmtId="164" fontId="12" fillId="0" borderId="0" xfId="7" applyNumberFormat="1" applyFont="1"/>
    <xf numFmtId="164" fontId="21" fillId="0" borderId="97" xfId="7" applyNumberFormat="1" applyFont="1" applyBorder="1" applyAlignment="1">
      <alignment vertical="center" wrapText="1"/>
    </xf>
    <xf numFmtId="164" fontId="21" fillId="0" borderId="98" xfId="7" applyNumberFormat="1" applyFont="1" applyBorder="1" applyAlignment="1">
      <alignment vertical="center" wrapText="1"/>
    </xf>
    <xf numFmtId="164" fontId="21" fillId="0" borderId="20" xfId="7" applyNumberFormat="1" applyFont="1" applyBorder="1" applyAlignment="1">
      <alignment vertical="center" wrapText="1"/>
    </xf>
    <xf numFmtId="43" fontId="0" fillId="0" borderId="0" xfId="0" applyNumberFormat="1"/>
    <xf numFmtId="164" fontId="9" fillId="0" borderId="0" xfId="7" applyNumberFormat="1" applyFont="1"/>
    <xf numFmtId="164" fontId="7" fillId="3" borderId="17" xfId="7" applyNumberFormat="1" applyFont="1" applyFill="1" applyBorder="1" applyAlignment="1" applyProtection="1">
      <alignment horizontal="center" vertical="center"/>
      <protection locked="0"/>
    </xf>
    <xf numFmtId="164" fontId="7" fillId="35" borderId="19" xfId="7" applyNumberFormat="1" applyFont="1" applyFill="1" applyBorder="1" applyAlignment="1" applyProtection="1">
      <alignment vertical="top"/>
    </xf>
    <xf numFmtId="164" fontId="7" fillId="3" borderId="19" xfId="7" applyNumberFormat="1" applyFont="1" applyFill="1" applyBorder="1" applyAlignment="1" applyProtection="1">
      <alignment vertical="top"/>
      <protection locked="0"/>
    </xf>
    <xf numFmtId="164" fontId="7" fillId="35" borderId="19" xfId="7" applyNumberFormat="1" applyFont="1" applyFill="1" applyBorder="1" applyAlignment="1" applyProtection="1">
      <alignment vertical="top" wrapText="1"/>
    </xf>
    <xf numFmtId="164" fontId="7" fillId="3" borderId="19" xfId="7" applyNumberFormat="1" applyFont="1" applyFill="1" applyBorder="1" applyAlignment="1" applyProtection="1">
      <alignment vertical="top" wrapText="1"/>
      <protection locked="0"/>
    </xf>
    <xf numFmtId="164" fontId="7" fillId="3" borderId="112" xfId="7" applyNumberFormat="1" applyFont="1" applyFill="1" applyBorder="1" applyAlignment="1" applyProtection="1">
      <alignment vertical="top" wrapText="1"/>
      <protection locked="0"/>
    </xf>
    <xf numFmtId="164" fontId="7" fillId="35" borderId="19" xfId="7" applyNumberFormat="1" applyFont="1" applyFill="1" applyBorder="1" applyAlignment="1" applyProtection="1">
      <alignment vertical="top" wrapText="1"/>
      <protection locked="0"/>
    </xf>
    <xf numFmtId="164" fontId="7" fillId="35" borderId="23" xfId="7" applyNumberFormat="1" applyFont="1" applyFill="1" applyBorder="1" applyAlignment="1" applyProtection="1">
      <alignment vertical="top" wrapText="1"/>
    </xf>
    <xf numFmtId="164" fontId="4" fillId="0" borderId="0" xfId="7" applyNumberFormat="1" applyFont="1" applyAlignment="1">
      <alignment horizontal="left" vertical="center"/>
    </xf>
    <xf numFmtId="164" fontId="6" fillId="35" borderId="17" xfId="7" applyNumberFormat="1" applyFont="1" applyFill="1" applyBorder="1" applyAlignment="1">
      <alignment horizontal="center" vertical="center" wrapText="1"/>
    </xf>
    <xf numFmtId="164" fontId="6" fillId="35" borderId="112" xfId="7" applyNumberFormat="1" applyFont="1" applyFill="1" applyBorder="1" applyAlignment="1">
      <alignment horizontal="left" vertical="center" wrapText="1"/>
    </xf>
    <xf numFmtId="164" fontId="4" fillId="0" borderId="112" xfId="7" applyNumberFormat="1" applyFont="1" applyBorder="1" applyAlignment="1">
      <alignment horizontal="right" vertical="center" wrapText="1"/>
    </xf>
    <xf numFmtId="164" fontId="6" fillId="35" borderId="112" xfId="7" applyNumberFormat="1" applyFont="1" applyFill="1" applyBorder="1" applyAlignment="1">
      <alignment horizontal="right" vertical="center" wrapText="1"/>
    </xf>
    <xf numFmtId="164" fontId="109" fillId="0" borderId="112" xfId="7" applyNumberFormat="1" applyFont="1" applyBorder="1" applyAlignment="1">
      <alignment horizontal="right" vertical="center" wrapText="1"/>
    </xf>
    <xf numFmtId="164" fontId="6" fillId="35" borderId="112" xfId="7" applyNumberFormat="1" applyFont="1" applyFill="1" applyBorder="1" applyAlignment="1">
      <alignment horizontal="center" vertical="center" wrapText="1"/>
    </xf>
    <xf numFmtId="164" fontId="7" fillId="0" borderId="23" xfId="7" applyNumberFormat="1" applyFont="1" applyFill="1" applyBorder="1" applyAlignment="1" applyProtection="1">
      <alignment horizontal="right" vertical="center"/>
    </xf>
    <xf numFmtId="164" fontId="23" fillId="0" borderId="0" xfId="7" applyNumberFormat="1" applyFont="1"/>
    <xf numFmtId="164" fontId="4" fillId="0" borderId="58" xfId="7" applyNumberFormat="1" applyFont="1" applyBorder="1" applyAlignment="1">
      <alignment horizontal="center" vertical="center" wrapText="1"/>
    </xf>
    <xf numFmtId="164" fontId="22" fillId="0" borderId="29" xfId="7" applyNumberFormat="1" applyFont="1" applyBorder="1" applyAlignment="1">
      <alignment horizontal="center" vertical="center"/>
    </xf>
    <xf numFmtId="164" fontId="23" fillId="0" borderId="12" xfId="7" applyNumberFormat="1" applyFont="1" applyBorder="1" applyAlignment="1">
      <alignment horizontal="center" vertical="center"/>
    </xf>
    <xf numFmtId="164" fontId="104" fillId="0" borderId="12" xfId="7" applyNumberFormat="1" applyFont="1" applyBorder="1" applyAlignment="1">
      <alignment horizontal="center" vertical="center"/>
    </xf>
    <xf numFmtId="164" fontId="22" fillId="0" borderId="12" xfId="7" applyNumberFormat="1" applyFont="1" applyBorder="1" applyAlignment="1">
      <alignment horizontal="center" vertical="center"/>
    </xf>
    <xf numFmtId="164" fontId="22" fillId="0" borderId="14" xfId="7" applyNumberFormat="1" applyFont="1" applyBorder="1" applyAlignment="1">
      <alignment horizontal="center" vertical="center"/>
    </xf>
    <xf numFmtId="164" fontId="22" fillId="0" borderId="13" xfId="7" applyNumberFormat="1" applyFont="1" applyBorder="1" applyAlignment="1">
      <alignment horizontal="center" vertical="center"/>
    </xf>
    <xf numFmtId="164" fontId="22" fillId="0" borderId="138" xfId="7" applyNumberFormat="1" applyFont="1" applyBorder="1" applyAlignment="1">
      <alignment horizontal="center"/>
    </xf>
    <xf numFmtId="164" fontId="23" fillId="0" borderId="138" xfId="7" applyNumberFormat="1" applyFont="1" applyBorder="1"/>
    <xf numFmtId="164" fontId="22" fillId="0" borderId="138" xfId="7" applyNumberFormat="1" applyFont="1" applyBorder="1" applyAlignment="1">
      <alignment horizontal="center" vertical="center"/>
    </xf>
    <xf numFmtId="164" fontId="4" fillId="0" borderId="3" xfId="7" applyNumberFormat="1" applyFont="1" applyBorder="1"/>
    <xf numFmtId="164" fontId="4" fillId="0" borderId="16" xfId="7" applyNumberFormat="1" applyFont="1" applyBorder="1" applyAlignment="1">
      <alignment horizontal="center" vertical="center"/>
    </xf>
    <xf numFmtId="164" fontId="4" fillId="0" borderId="25" xfId="7" applyNumberFormat="1" applyFont="1" applyBorder="1" applyAlignment="1">
      <alignment horizontal="center" vertical="center"/>
    </xf>
    <xf numFmtId="164" fontId="4" fillId="0" borderId="17" xfId="7" applyNumberFormat="1" applyFont="1" applyBorder="1" applyAlignment="1">
      <alignment horizontal="center" vertical="center"/>
    </xf>
    <xf numFmtId="164" fontId="107" fillId="0" borderId="3" xfId="7" applyNumberFormat="1" applyFont="1" applyBorder="1" applyAlignment="1">
      <alignment horizontal="center" vertical="center"/>
    </xf>
    <xf numFmtId="164" fontId="4" fillId="0" borderId="19" xfId="7" applyNumberFormat="1" applyFont="1" applyBorder="1"/>
    <xf numFmtId="164" fontId="4" fillId="35" borderId="22" xfId="7" applyNumberFormat="1" applyFont="1" applyFill="1" applyBorder="1"/>
    <xf numFmtId="164" fontId="4" fillId="35" borderId="23" xfId="7" applyNumberFormat="1" applyFont="1" applyFill="1" applyBorder="1"/>
    <xf numFmtId="43" fontId="4" fillId="0" borderId="0" xfId="7" applyFont="1" applyAlignment="1">
      <alignment horizontal="center" vertical="center" wrapText="1"/>
    </xf>
    <xf numFmtId="164" fontId="4" fillId="0" borderId="18" xfId="7" applyNumberFormat="1" applyFont="1" applyBorder="1"/>
    <xf numFmtId="164" fontId="4" fillId="0" borderId="20" xfId="7" applyNumberFormat="1" applyFont="1" applyBorder="1" applyAlignment="1">
      <alignment wrapText="1"/>
    </xf>
    <xf numFmtId="164" fontId="4" fillId="0" borderId="20" xfId="7" applyNumberFormat="1" applyFont="1" applyBorder="1"/>
    <xf numFmtId="164" fontId="4" fillId="0" borderId="52" xfId="7" applyNumberFormat="1" applyFont="1" applyBorder="1" applyAlignment="1">
      <alignment vertical="center"/>
    </xf>
    <xf numFmtId="164" fontId="4" fillId="0" borderId="63" xfId="7" applyNumberFormat="1" applyFont="1" applyBorder="1" applyAlignment="1">
      <alignment vertical="center"/>
    </xf>
    <xf numFmtId="164" fontId="4" fillId="0" borderId="98" xfId="7" applyNumberFormat="1" applyFont="1" applyBorder="1" applyAlignment="1">
      <alignment vertical="center"/>
    </xf>
    <xf numFmtId="164" fontId="4" fillId="0" borderId="112" xfId="7" applyNumberFormat="1" applyFont="1" applyBorder="1" applyAlignment="1">
      <alignment vertical="center"/>
    </xf>
    <xf numFmtId="164" fontId="4" fillId="0" borderId="22" xfId="7" applyNumberFormat="1" applyFont="1" applyBorder="1" applyAlignment="1">
      <alignment vertical="center"/>
    </xf>
    <xf numFmtId="164" fontId="4" fillId="0" borderId="24" xfId="7" applyNumberFormat="1" applyFont="1" applyBorder="1" applyAlignment="1">
      <alignment vertical="center"/>
    </xf>
    <xf numFmtId="164" fontId="4" fillId="0" borderId="23" xfId="7" applyNumberFormat="1" applyFont="1" applyBorder="1" applyAlignment="1">
      <alignment vertical="center"/>
    </xf>
    <xf numFmtId="164" fontId="4" fillId="0" borderId="25" xfId="7" applyNumberFormat="1" applyFont="1" applyFill="1" applyBorder="1" applyAlignment="1">
      <alignment vertical="center"/>
    </xf>
    <xf numFmtId="164" fontId="4" fillId="0" borderId="17" xfId="7" applyNumberFormat="1" applyFont="1" applyFill="1" applyBorder="1" applyAlignment="1">
      <alignment vertical="center"/>
    </xf>
    <xf numFmtId="164" fontId="4" fillId="0" borderId="145" xfId="7" applyNumberFormat="1" applyFont="1" applyFill="1" applyBorder="1" applyAlignment="1">
      <alignment vertical="center"/>
    </xf>
    <xf numFmtId="164" fontId="4" fillId="0" borderId="106" xfId="7" applyNumberFormat="1" applyFont="1" applyFill="1" applyBorder="1" applyAlignment="1">
      <alignment vertical="center"/>
    </xf>
    <xf numFmtId="10" fontId="4" fillId="0" borderId="92" xfId="20961" applyNumberFormat="1" applyFont="1" applyFill="1" applyBorder="1" applyAlignment="1">
      <alignment vertical="center"/>
    </xf>
    <xf numFmtId="10" fontId="4" fillId="0" borderId="108" xfId="20961" applyNumberFormat="1" applyFont="1" applyFill="1" applyBorder="1" applyAlignment="1">
      <alignment vertical="center"/>
    </xf>
    <xf numFmtId="164" fontId="0" fillId="0" borderId="0" xfId="0" applyNumberFormat="1"/>
    <xf numFmtId="14" fontId="117" fillId="0" borderId="0" xfId="0" applyNumberFormat="1" applyFont="1" applyAlignment="1">
      <alignment horizontal="left"/>
    </xf>
    <xf numFmtId="164" fontId="4" fillId="0" borderId="0" xfId="7" applyNumberFormat="1" applyFont="1" applyFill="1" applyBorder="1"/>
    <xf numFmtId="164" fontId="117" fillId="0" borderId="0" xfId="7" applyNumberFormat="1" applyFont="1"/>
    <xf numFmtId="164" fontId="117" fillId="0" borderId="138" xfId="7" applyNumberFormat="1" applyFont="1" applyBorder="1"/>
    <xf numFmtId="164" fontId="120" fillId="0" borderId="138" xfId="7" applyNumberFormat="1" applyFont="1" applyBorder="1"/>
    <xf numFmtId="164" fontId="116" fillId="0" borderId="146" xfId="7" applyNumberFormat="1" applyFont="1" applyBorder="1"/>
    <xf numFmtId="164" fontId="116" fillId="35" borderId="146" xfId="7" applyNumberFormat="1" applyFont="1" applyFill="1" applyBorder="1"/>
    <xf numFmtId="164" fontId="119" fillId="0" borderId="146" xfId="7" applyNumberFormat="1" applyFont="1" applyBorder="1"/>
    <xf numFmtId="43" fontId="116" fillId="0" borderId="0" xfId="7" applyFont="1"/>
    <xf numFmtId="164" fontId="116" fillId="0" borderId="0" xfId="7" applyNumberFormat="1" applyFont="1"/>
    <xf numFmtId="164" fontId="116" fillId="0" borderId="146" xfId="7" applyNumberFormat="1" applyFont="1" applyBorder="1" applyAlignment="1">
      <alignment horizontal="center" vertical="center"/>
    </xf>
    <xf numFmtId="164" fontId="116" fillId="0" borderId="147" xfId="7" applyNumberFormat="1" applyFont="1" applyBorder="1" applyAlignment="1">
      <alignment horizontal="center" vertical="center" wrapText="1"/>
    </xf>
    <xf numFmtId="164" fontId="116" fillId="0" borderId="146" xfId="7" applyNumberFormat="1" applyFont="1" applyBorder="1" applyAlignment="1">
      <alignment horizontal="center" vertical="center" wrapText="1"/>
    </xf>
    <xf numFmtId="164" fontId="119" fillId="35" borderId="146" xfId="7" applyNumberFormat="1" applyFont="1" applyFill="1" applyBorder="1"/>
    <xf numFmtId="164" fontId="120" fillId="0" borderId="146" xfId="7" applyNumberFormat="1" applyFont="1" applyBorder="1" applyAlignment="1">
      <alignment horizontal="center" vertical="center" wrapText="1"/>
    </xf>
    <xf numFmtId="164" fontId="117" fillId="0" borderId="146" xfId="7" applyNumberFormat="1" applyFont="1" applyBorder="1"/>
    <xf numFmtId="164" fontId="120" fillId="0" borderId="146" xfId="7" applyNumberFormat="1" applyFont="1" applyBorder="1"/>
    <xf numFmtId="164" fontId="116" fillId="78" borderId="146" xfId="7" applyNumberFormat="1" applyFont="1" applyFill="1" applyBorder="1"/>
    <xf numFmtId="164" fontId="116" fillId="0" borderId="146" xfId="7" applyNumberFormat="1" applyFont="1" applyBorder="1" applyAlignment="1">
      <alignment horizontal="left" indent="1"/>
    </xf>
    <xf numFmtId="164" fontId="119" fillId="80" borderId="146" xfId="7" applyNumberFormat="1" applyFont="1" applyFill="1" applyBorder="1"/>
    <xf numFmtId="164" fontId="116" fillId="0" borderId="0" xfId="0" applyNumberFormat="1" applyFont="1"/>
    <xf numFmtId="164" fontId="116" fillId="0" borderId="155" xfId="7" applyNumberFormat="1" applyFont="1" applyBorder="1"/>
    <xf numFmtId="164" fontId="116" fillId="0" borderId="156" xfId="7" applyNumberFormat="1" applyFont="1" applyBorder="1" applyAlignment="1">
      <alignment horizontal="left" indent="1"/>
    </xf>
    <xf numFmtId="164" fontId="116" fillId="0" borderId="156" xfId="7" applyNumberFormat="1" applyFont="1" applyBorder="1" applyAlignment="1">
      <alignment horizontal="left" indent="2"/>
    </xf>
    <xf numFmtId="164" fontId="116" fillId="0" borderId="156" xfId="7" applyNumberFormat="1" applyFont="1" applyBorder="1" applyAlignment="1">
      <alignment horizontal="left" indent="3"/>
    </xf>
    <xf numFmtId="164" fontId="116" fillId="79" borderId="156" xfId="7" applyNumberFormat="1" applyFont="1" applyFill="1" applyBorder="1"/>
    <xf numFmtId="164" fontId="116" fillId="79" borderId="146" xfId="7" applyNumberFormat="1" applyFont="1" applyFill="1" applyBorder="1"/>
    <xf numFmtId="164" fontId="116" fillId="79" borderId="155" xfId="7" applyNumberFormat="1" applyFont="1" applyFill="1" applyBorder="1"/>
    <xf numFmtId="164" fontId="116" fillId="0" borderId="156" xfId="7" applyNumberFormat="1" applyFont="1" applyBorder="1" applyAlignment="1">
      <alignment horizontal="left" vertical="top" wrapText="1" indent="2"/>
    </xf>
    <xf numFmtId="164" fontId="116" fillId="0" borderId="156" xfId="7" applyNumberFormat="1" applyFont="1" applyBorder="1" applyAlignment="1">
      <alignment horizontal="left" wrapText="1" indent="3"/>
    </xf>
    <xf numFmtId="164" fontId="116" fillId="0" borderId="156" xfId="7" applyNumberFormat="1" applyFont="1" applyBorder="1" applyAlignment="1">
      <alignment horizontal="left" wrapText="1" indent="2"/>
    </xf>
    <xf numFmtId="164" fontId="116" fillId="0" borderId="156" xfId="7" applyNumberFormat="1" applyFont="1" applyBorder="1" applyAlignment="1">
      <alignment horizontal="left" wrapText="1" indent="1"/>
    </xf>
    <xf numFmtId="164" fontId="116" fillId="0" borderId="154" xfId="7" applyNumberFormat="1" applyFont="1" applyBorder="1" applyAlignment="1">
      <alignment horizontal="left" wrapText="1" indent="1"/>
    </xf>
    <xf numFmtId="164" fontId="116" fillId="0" borderId="153" xfId="7" applyNumberFormat="1" applyFont="1" applyBorder="1"/>
    <xf numFmtId="164" fontId="116" fillId="0" borderId="152" xfId="7" applyNumberFormat="1" applyFont="1" applyBorder="1"/>
    <xf numFmtId="164" fontId="10" fillId="0" borderId="146" xfId="0" applyNumberFormat="1" applyFont="1" applyBorder="1" applyAlignment="1">
      <alignment horizontal="left" vertical="center" wrapText="1"/>
    </xf>
    <xf numFmtId="164" fontId="116" fillId="0" borderId="146" xfId="7" applyNumberFormat="1" applyFont="1" applyBorder="1" applyAlignment="1">
      <alignment horizontal="left" vertical="center" wrapText="1"/>
    </xf>
    <xf numFmtId="164" fontId="116" fillId="0" borderId="146" xfId="7" applyNumberFormat="1" applyFont="1" applyBorder="1" applyAlignment="1">
      <alignment horizontal="center" vertical="center" textRotation="90" wrapText="1"/>
    </xf>
    <xf numFmtId="164" fontId="125" fillId="0" borderId="0" xfId="7" applyNumberFormat="1" applyFont="1"/>
    <xf numFmtId="164" fontId="139" fillId="0" borderId="0" xfId="7" applyNumberFormat="1" applyFont="1"/>
    <xf numFmtId="164" fontId="121" fillId="0" borderId="146" xfId="7" applyNumberFormat="1" applyFont="1" applyBorder="1"/>
    <xf numFmtId="164" fontId="121" fillId="0" borderId="147" xfId="7" applyNumberFormat="1" applyFont="1" applyBorder="1"/>
    <xf numFmtId="165" fontId="121" fillId="0" borderId="146" xfId="20961" applyNumberFormat="1" applyFont="1" applyBorder="1"/>
    <xf numFmtId="165" fontId="121" fillId="0" borderId="147" xfId="20961" applyNumberFormat="1" applyFont="1" applyBorder="1"/>
    <xf numFmtId="10" fontId="121" fillId="0" borderId="146" xfId="20961" applyNumberFormat="1" applyFont="1" applyBorder="1"/>
    <xf numFmtId="10" fontId="121" fillId="0" borderId="147" xfId="20961" applyNumberFormat="1" applyFont="1" applyBorder="1"/>
    <xf numFmtId="0" fontId="13" fillId="0" borderId="149" xfId="0" applyFont="1" applyBorder="1" applyAlignment="1">
      <alignment wrapText="1"/>
    </xf>
    <xf numFmtId="0" fontId="4" fillId="0" borderId="155" xfId="0" applyFont="1" applyBorder="1"/>
    <xf numFmtId="0" fontId="9" fillId="0" borderId="149" xfId="0" applyFont="1" applyBorder="1" applyAlignment="1">
      <alignment wrapText="1"/>
    </xf>
    <xf numFmtId="0" fontId="9" fillId="0" borderId="155" xfId="0" applyFont="1" applyBorder="1"/>
    <xf numFmtId="10" fontId="13" fillId="0" borderId="8" xfId="20961" applyNumberFormat="1" applyFont="1" applyBorder="1" applyAlignment="1">
      <alignment wrapText="1"/>
    </xf>
    <xf numFmtId="10" fontId="4" fillId="0" borderId="20" xfId="20961" applyNumberFormat="1" applyFont="1" applyBorder="1"/>
    <xf numFmtId="10" fontId="4" fillId="0" borderId="112" xfId="20961" applyNumberFormat="1" applyFont="1" applyBorder="1"/>
    <xf numFmtId="43" fontId="0" fillId="0" borderId="0" xfId="7" applyFont="1"/>
    <xf numFmtId="193" fontId="0" fillId="0" borderId="0" xfId="0" applyNumberFormat="1"/>
    <xf numFmtId="167" fontId="23" fillId="0" borderId="155" xfId="0" applyNumberFormat="1" applyFont="1" applyBorder="1" applyAlignment="1">
      <alignment horizontal="center"/>
    </xf>
    <xf numFmtId="0" fontId="23" fillId="0" borderId="155" xfId="0" applyFont="1" applyBorder="1"/>
    <xf numFmtId="0" fontId="0" fillId="0" borderId="153" xfId="0" applyBorder="1" applyAlignment="1">
      <alignment horizontal="center"/>
    </xf>
    <xf numFmtId="0" fontId="132" fillId="0" borderId="153" xfId="0" applyFont="1" applyBorder="1" applyAlignment="1">
      <alignment horizontal="left" vertical="center" wrapText="1"/>
    </xf>
    <xf numFmtId="164" fontId="22" fillId="0" borderId="153" xfId="7" applyNumberFormat="1" applyFont="1" applyBorder="1" applyAlignment="1">
      <alignment horizontal="center" vertical="center"/>
    </xf>
    <xf numFmtId="0" fontId="23" fillId="0" borderId="152" xfId="0" applyFont="1" applyBorder="1"/>
    <xf numFmtId="9" fontId="4" fillId="35" borderId="23" xfId="20961" applyFont="1" applyFill="1" applyBorder="1"/>
    <xf numFmtId="10" fontId="113" fillId="77" borderId="146" xfId="20961" applyNumberFormat="1" applyFont="1" applyFill="1" applyBorder="1" applyAlignment="1" applyProtection="1">
      <alignment horizontal="right" vertical="center"/>
    </xf>
    <xf numFmtId="10" fontId="4" fillId="0" borderId="155" xfId="20961" applyNumberFormat="1" applyFont="1" applyBorder="1" applyAlignment="1" applyProtection="1">
      <alignment vertical="center" wrapText="1"/>
      <protection locked="0"/>
    </xf>
    <xf numFmtId="10" fontId="9" fillId="2" borderId="155" xfId="20961" applyNumberFormat="1" applyFont="1" applyFill="1" applyBorder="1" applyAlignment="1" applyProtection="1">
      <alignment vertical="center"/>
      <protection locked="0"/>
    </xf>
    <xf numFmtId="193" fontId="4" fillId="0" borderId="155" xfId="0" applyNumberFormat="1" applyFont="1" applyBorder="1" applyAlignment="1" applyProtection="1">
      <alignment vertical="center" wrapText="1"/>
      <protection locked="0"/>
    </xf>
    <xf numFmtId="193" fontId="17" fillId="2" borderId="155" xfId="0" applyNumberFormat="1" applyFont="1" applyFill="1" applyBorder="1" applyAlignment="1" applyProtection="1">
      <alignment vertical="center"/>
      <protection locked="0"/>
    </xf>
    <xf numFmtId="3" fontId="12" fillId="0" borderId="0" xfId="0" applyNumberFormat="1" applyFont="1"/>
    <xf numFmtId="0" fontId="4" fillId="0" borderId="155" xfId="0" applyFont="1" applyBorder="1" applyAlignment="1">
      <alignment horizontal="center" vertical="center" wrapText="1"/>
    </xf>
    <xf numFmtId="43" fontId="4" fillId="0" borderId="155" xfId="7" applyFont="1" applyFill="1" applyBorder="1" applyAlignment="1">
      <alignment vertical="center" wrapText="1"/>
    </xf>
    <xf numFmtId="43" fontId="4" fillId="0" borderId="155" xfId="7" applyFont="1" applyBorder="1" applyAlignment="1">
      <alignment vertical="center"/>
    </xf>
    <xf numFmtId="167" fontId="6" fillId="35" borderId="152" xfId="0" applyNumberFormat="1" applyFont="1" applyFill="1" applyBorder="1" applyAlignment="1">
      <alignment horizontal="center" vertical="center"/>
    </xf>
    <xf numFmtId="164" fontId="119" fillId="0" borderId="68" xfId="7" applyNumberFormat="1" applyFont="1" applyBorder="1"/>
    <xf numFmtId="0" fontId="104" fillId="0" borderId="65" xfId="0" applyFont="1" applyBorder="1" applyAlignment="1">
      <alignment horizontal="left" vertical="center" wrapText="1"/>
    </xf>
    <xf numFmtId="0" fontId="104" fillId="0" borderId="64" xfId="0" applyFont="1" applyBorder="1" applyAlignment="1">
      <alignment horizontal="left" vertical="center" wrapText="1"/>
    </xf>
    <xf numFmtId="0" fontId="141" fillId="0" borderId="159" xfId="0" applyFont="1" applyBorder="1" applyAlignment="1">
      <alignment horizontal="center" vertical="center"/>
    </xf>
    <xf numFmtId="0" fontId="141" fillId="0" borderId="28" xfId="0" applyFont="1" applyBorder="1" applyAlignment="1">
      <alignment horizontal="center" vertical="center"/>
    </xf>
    <xf numFmtId="0" fontId="141" fillId="0" borderId="160" xfId="0" applyFont="1" applyBorder="1" applyAlignment="1">
      <alignment horizontal="center" vertical="center"/>
    </xf>
    <xf numFmtId="164" fontId="0" fillId="0" borderId="98" xfId="7" applyNumberFormat="1" applyFont="1" applyBorder="1" applyAlignment="1">
      <alignment horizontal="center"/>
    </xf>
    <xf numFmtId="164" fontId="0" fillId="0" borderId="95" xfId="7" applyNumberFormat="1" applyFont="1" applyBorder="1" applyAlignment="1">
      <alignment horizontal="center"/>
    </xf>
    <xf numFmtId="164" fontId="0" fillId="0" borderId="96" xfId="7" applyNumberFormat="1" applyFont="1" applyBorder="1" applyAlignment="1">
      <alignment horizontal="center"/>
    </xf>
    <xf numFmtId="164" fontId="0" fillId="0" borderId="139" xfId="7" applyNumberFormat="1" applyFont="1" applyBorder="1" applyAlignment="1">
      <alignment horizontal="center"/>
    </xf>
    <xf numFmtId="164" fontId="0" fillId="0" borderId="140" xfId="7" applyNumberFormat="1" applyFont="1" applyBorder="1" applyAlignment="1">
      <alignment horizontal="center"/>
    </xf>
    <xf numFmtId="164" fontId="0" fillId="0" borderId="141" xfId="7" applyNumberFormat="1" applyFont="1" applyBorder="1" applyAlignment="1">
      <alignment horizontal="center"/>
    </xf>
    <xf numFmtId="0" fontId="0" fillId="0" borderId="138" xfId="0" applyBorder="1" applyAlignment="1">
      <alignment horizontal="center" vertical="center"/>
    </xf>
    <xf numFmtId="0" fontId="128" fillId="0" borderId="93" xfId="0" applyFont="1" applyBorder="1" applyAlignment="1">
      <alignment horizontal="center" vertical="center"/>
    </xf>
    <xf numFmtId="0" fontId="128" fillId="0" borderId="7" xfId="0" applyFont="1" applyBorder="1" applyAlignment="1">
      <alignment horizontal="center" vertical="center"/>
    </xf>
    <xf numFmtId="164" fontId="10" fillId="0" borderId="16" xfId="7" applyNumberFormat="1" applyFont="1" applyBorder="1" applyAlignment="1">
      <alignment horizontal="center" vertical="center"/>
    </xf>
    <xf numFmtId="164" fontId="10" fillId="0" borderId="17" xfId="7" applyNumberFormat="1" applyFont="1" applyBorder="1" applyAlignment="1">
      <alignment horizontal="center" vertical="center"/>
    </xf>
    <xf numFmtId="0" fontId="128" fillId="0" borderId="142"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28" xfId="0" applyBorder="1" applyAlignment="1">
      <alignment horizontal="center" vertical="center"/>
    </xf>
    <xf numFmtId="0" fontId="0" fillId="0" borderId="11" xfId="0" applyBorder="1" applyAlignment="1">
      <alignment horizontal="center" vertical="center"/>
    </xf>
    <xf numFmtId="0" fontId="0" fillId="0" borderId="138" xfId="0" applyBorder="1" applyAlignment="1">
      <alignment horizontal="center" vertical="center" wrapText="1"/>
    </xf>
    <xf numFmtId="164" fontId="10" fillId="0" borderId="16" xfId="7" applyNumberFormat="1" applyFont="1" applyBorder="1" applyAlignment="1">
      <alignment horizontal="center"/>
    </xf>
    <xf numFmtId="164" fontId="10" fillId="0" borderId="17" xfId="7" applyNumberFormat="1" applyFont="1" applyBorder="1" applyAlignment="1">
      <alignment horizontal="center"/>
    </xf>
    <xf numFmtId="0" fontId="13" fillId="0" borderId="3" xfId="0" applyFont="1" applyBorder="1" applyAlignment="1">
      <alignment wrapText="1"/>
    </xf>
    <xf numFmtId="0" fontId="4" fillId="0" borderId="19" xfId="0" applyFont="1" applyBorder="1"/>
    <xf numFmtId="10" fontId="10" fillId="0" borderId="8" xfId="20961" applyNumberFormat="1" applyFont="1" applyBorder="1" applyAlignment="1">
      <alignment horizontal="center" vertical="center" wrapText="1"/>
    </xf>
    <xf numFmtId="10" fontId="10" fillId="0" borderId="20" xfId="20961" applyNumberFormat="1" applyFont="1" applyBorder="1" applyAlignment="1">
      <alignment horizontal="center" vertical="center" wrapText="1"/>
    </xf>
    <xf numFmtId="0" fontId="10" fillId="0" borderId="8" xfId="0" applyFont="1" applyBorder="1" applyAlignment="1">
      <alignment horizontal="center" vertical="center" wrapText="1"/>
    </xf>
    <xf numFmtId="0" fontId="10" fillId="0" borderId="20"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98" xfId="0" applyFont="1" applyBorder="1" applyAlignment="1">
      <alignment horizontal="center"/>
    </xf>
    <xf numFmtId="0" fontId="4" fillId="0" borderId="20" xfId="0" applyFont="1" applyBorder="1" applyAlignment="1">
      <alignment horizontal="center"/>
    </xf>
    <xf numFmtId="0" fontId="6" fillId="35" borderId="116" xfId="0" applyFont="1" applyFill="1" applyBorder="1" applyAlignment="1">
      <alignment horizontal="center" vertical="center" wrapText="1"/>
    </xf>
    <xf numFmtId="0" fontId="6" fillId="35" borderId="27" xfId="0" applyFont="1" applyFill="1" applyBorder="1" applyAlignment="1">
      <alignment horizontal="center" vertical="center" wrapText="1"/>
    </xf>
    <xf numFmtId="0" fontId="6" fillId="35" borderId="113" xfId="0" applyFont="1" applyFill="1" applyBorder="1" applyAlignment="1">
      <alignment horizontal="center" vertical="center" wrapText="1"/>
    </xf>
    <xf numFmtId="0" fontId="6" fillId="35" borderId="96" xfId="0" applyFont="1" applyFill="1" applyBorder="1" applyAlignment="1">
      <alignment horizontal="center" vertical="center" wrapText="1"/>
    </xf>
    <xf numFmtId="0" fontId="4" fillId="85" borderId="7" xfId="0" applyFont="1" applyFill="1" applyBorder="1" applyAlignment="1">
      <alignment horizontal="center" vertical="center" wrapText="1"/>
    </xf>
    <xf numFmtId="0" fontId="4" fillId="85" borderId="146" xfId="0" applyFont="1" applyFill="1" applyBorder="1" applyAlignment="1">
      <alignment horizontal="center" vertical="center" wrapText="1"/>
    </xf>
    <xf numFmtId="0" fontId="4" fillId="85" borderId="7" xfId="11" applyFont="1" applyFill="1" applyBorder="1" applyAlignment="1">
      <alignment horizontal="center" vertical="top"/>
    </xf>
    <xf numFmtId="0" fontId="6" fillId="86" borderId="63" xfId="0" applyFont="1" applyFill="1" applyBorder="1" applyAlignment="1">
      <alignment horizontal="center" vertical="center" wrapText="1"/>
    </xf>
    <xf numFmtId="0" fontId="6" fillId="86" borderId="155" xfId="0" applyFont="1" applyFill="1" applyBorder="1" applyAlignment="1">
      <alignment horizontal="center" vertical="center" wrapText="1"/>
    </xf>
    <xf numFmtId="164" fontId="101" fillId="3" borderId="66" xfId="7" applyNumberFormat="1" applyFont="1" applyFill="1" applyBorder="1" applyAlignment="1" applyProtection="1">
      <alignment horizontal="center" vertical="center" wrapText="1"/>
      <protection locked="0"/>
    </xf>
    <xf numFmtId="164" fontId="101" fillId="3" borderId="63" xfId="7" applyNumberFormat="1" applyFont="1" applyFill="1" applyBorder="1" applyAlignment="1" applyProtection="1">
      <alignment horizontal="center" vertical="center" wrapText="1"/>
      <protection locked="0"/>
    </xf>
    <xf numFmtId="164" fontId="4" fillId="0" borderId="8" xfId="7" applyNumberFormat="1" applyFont="1" applyBorder="1" applyAlignment="1">
      <alignment horizontal="center" vertical="center"/>
    </xf>
    <xf numFmtId="164" fontId="4" fillId="0" borderId="10" xfId="7"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5" xfId="1" applyNumberFormat="1" applyFont="1" applyFill="1" applyBorder="1" applyAlignment="1" applyProtection="1">
      <alignment horizontal="center"/>
      <protection locked="0"/>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5" fillId="0" borderId="89" xfId="1" applyNumberFormat="1" applyFont="1" applyFill="1" applyBorder="1" applyAlignment="1" applyProtection="1">
      <alignment horizontal="center" vertical="center" wrapText="1"/>
      <protection locked="0"/>
    </xf>
    <xf numFmtId="164" fontId="15" fillId="0" borderId="90" xfId="1" applyNumberFormat="1" applyFont="1" applyFill="1" applyBorder="1" applyAlignment="1" applyProtection="1">
      <alignment horizontal="center" vertical="center" wrapText="1"/>
      <protection locked="0"/>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8"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104" xfId="0" applyFont="1" applyBorder="1" applyAlignment="1">
      <alignment horizontal="center" vertical="center" wrapText="1"/>
    </xf>
    <xf numFmtId="0" fontId="14" fillId="0" borderId="53" xfId="0" applyFont="1" applyBorder="1" applyAlignment="1">
      <alignment horizontal="left" vertical="center"/>
    </xf>
    <xf numFmtId="0" fontId="14" fillId="0" borderId="54" xfId="0" applyFont="1" applyBorder="1" applyAlignment="1">
      <alignment horizontal="left" vertical="center"/>
    </xf>
    <xf numFmtId="0" fontId="4" fillId="0" borderId="16" xfId="0" applyFont="1" applyBorder="1" applyAlignment="1">
      <alignment horizontal="center"/>
    </xf>
    <xf numFmtId="0" fontId="4" fillId="0" borderId="17" xfId="0" applyFont="1" applyBorder="1" applyAlignment="1">
      <alignment horizontal="center" vertical="center" wrapText="1"/>
    </xf>
    <xf numFmtId="0" fontId="4" fillId="0" borderId="112" xfId="0" applyFont="1" applyBorder="1" applyAlignment="1">
      <alignment horizontal="center" vertical="center" wrapText="1"/>
    </xf>
    <xf numFmtId="0" fontId="119" fillId="0" borderId="119" xfId="0" applyFont="1" applyBorder="1" applyAlignment="1">
      <alignment horizontal="left" vertical="center" wrapText="1"/>
    </xf>
    <xf numFmtId="0" fontId="119" fillId="0" borderId="120" xfId="0" applyFont="1" applyBorder="1" applyAlignment="1">
      <alignment horizontal="left" vertical="center" wrapText="1"/>
    </xf>
    <xf numFmtId="0" fontId="119" fillId="0" borderId="122" xfId="0" applyFont="1" applyBorder="1" applyAlignment="1">
      <alignment horizontal="left" vertical="center" wrapText="1"/>
    </xf>
    <xf numFmtId="0" fontId="119" fillId="0" borderId="123" xfId="0" applyFont="1" applyBorder="1" applyAlignment="1">
      <alignment horizontal="left" vertical="center" wrapText="1"/>
    </xf>
    <xf numFmtId="0" fontId="119" fillId="0" borderId="125" xfId="0" applyFont="1" applyBorder="1" applyAlignment="1">
      <alignment horizontal="left" vertical="center" wrapText="1"/>
    </xf>
    <xf numFmtId="0" fontId="119" fillId="0" borderId="126" xfId="0" applyFont="1" applyBorder="1" applyAlignment="1">
      <alignment horizontal="left" vertical="center" wrapText="1"/>
    </xf>
    <xf numFmtId="0" fontId="120" fillId="0" borderId="145" xfId="0" applyFont="1" applyBorder="1" applyAlignment="1">
      <alignment horizontal="center" vertical="center" wrapText="1"/>
    </xf>
    <xf numFmtId="0" fontId="120" fillId="0" borderId="144" xfId="0" applyFont="1" applyBorder="1" applyAlignment="1">
      <alignment horizontal="center" vertical="center" wrapText="1"/>
    </xf>
    <xf numFmtId="0" fontId="120" fillId="0" borderId="121" xfId="0" applyFont="1" applyBorder="1" applyAlignment="1">
      <alignment horizontal="center" vertical="center" wrapText="1"/>
    </xf>
    <xf numFmtId="0" fontId="120" fillId="0" borderId="52" xfId="0" applyFont="1" applyBorder="1" applyAlignment="1">
      <alignment horizontal="center" vertical="center" wrapText="1"/>
    </xf>
    <xf numFmtId="0" fontId="120" fillId="0" borderId="124"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46" xfId="0" applyFont="1" applyBorder="1" applyAlignment="1">
      <alignment horizontal="center" vertical="center" wrapText="1"/>
    </xf>
    <xf numFmtId="164" fontId="116" fillId="0" borderId="147" xfId="7" applyNumberFormat="1" applyFont="1" applyBorder="1" applyAlignment="1">
      <alignment horizontal="center" vertical="center" wrapText="1"/>
    </xf>
    <xf numFmtId="164" fontId="116" fillId="0" borderId="7" xfId="7" applyNumberFormat="1" applyFont="1" applyBorder="1" applyAlignment="1">
      <alignment horizontal="center" vertical="center" wrapText="1"/>
    </xf>
    <xf numFmtId="164" fontId="116" fillId="0" borderId="149" xfId="7" applyNumberFormat="1" applyFont="1" applyBorder="1" applyAlignment="1">
      <alignment horizontal="center" vertical="center" wrapText="1"/>
    </xf>
    <xf numFmtId="164" fontId="116" fillId="0" borderId="148" xfId="7" applyNumberFormat="1" applyFont="1" applyBorder="1" applyAlignment="1">
      <alignment horizontal="center" vertical="center" wrapText="1"/>
    </xf>
    <xf numFmtId="0" fontId="124" fillId="0" borderId="146" xfId="0" applyFont="1" applyBorder="1" applyAlignment="1">
      <alignment horizontal="center" vertical="center"/>
    </xf>
    <xf numFmtId="0" fontId="118" fillId="0" borderId="145" xfId="0" applyFont="1" applyBorder="1" applyAlignment="1">
      <alignment horizontal="center" vertical="center"/>
    </xf>
    <xf numFmtId="0" fontId="118" fillId="0" borderId="150" xfId="0" applyFont="1" applyBorder="1" applyAlignment="1">
      <alignment horizontal="center" vertical="center"/>
    </xf>
    <xf numFmtId="0" fontId="118" fillId="0" borderId="52" xfId="0" applyFont="1" applyBorder="1" applyAlignment="1">
      <alignment horizontal="center" vertical="center"/>
    </xf>
    <xf numFmtId="0" fontId="118" fillId="0" borderId="11" xfId="0" applyFont="1" applyBorder="1" applyAlignment="1">
      <alignment horizontal="center" vertical="center"/>
    </xf>
    <xf numFmtId="164" fontId="119" fillId="0" borderId="146" xfId="7" applyNumberFormat="1" applyFont="1" applyBorder="1" applyAlignment="1">
      <alignment horizontal="center" vertical="center" wrapText="1"/>
    </xf>
    <xf numFmtId="0" fontId="116" fillId="0" borderId="148" xfId="0" applyFont="1" applyBorder="1" applyAlignment="1">
      <alignment horizontal="center" vertical="center" wrapText="1"/>
    </xf>
    <xf numFmtId="0" fontId="119" fillId="0" borderId="145" xfId="0" applyFont="1" applyBorder="1" applyAlignment="1">
      <alignment horizontal="center" vertical="center" wrapText="1"/>
    </xf>
    <xf numFmtId="0" fontId="119" fillId="0" borderId="150" xfId="0" applyFont="1" applyBorder="1" applyAlignment="1">
      <alignment horizontal="center" vertical="center" wrapText="1"/>
    </xf>
    <xf numFmtId="0" fontId="119" fillId="0" borderId="127" xfId="0" applyFont="1" applyBorder="1" applyAlignment="1">
      <alignment horizontal="center" vertical="center" wrapText="1"/>
    </xf>
    <xf numFmtId="0" fontId="119" fillId="0" borderId="128" xfId="0" applyFont="1" applyBorder="1" applyAlignment="1">
      <alignment horizontal="center" vertical="center" wrapText="1"/>
    </xf>
    <xf numFmtId="0" fontId="119" fillId="0" borderId="52"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49" xfId="0" applyFont="1" applyBorder="1" applyAlignment="1">
      <alignment horizontal="center" vertical="center" wrapText="1"/>
    </xf>
    <xf numFmtId="0" fontId="116" fillId="0" borderId="151" xfId="0" applyFont="1" applyBorder="1" applyAlignment="1">
      <alignment horizontal="center" vertical="center" wrapText="1"/>
    </xf>
    <xf numFmtId="0" fontId="119" fillId="0" borderId="129"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29" xfId="0" applyFont="1" applyBorder="1" applyAlignment="1">
      <alignment horizontal="center" vertical="center" wrapText="1"/>
    </xf>
    <xf numFmtId="0" fontId="116" fillId="0" borderId="145" xfId="0" applyFont="1" applyBorder="1" applyAlignment="1">
      <alignment horizontal="center" vertical="center" wrapText="1"/>
    </xf>
    <xf numFmtId="0" fontId="116" fillId="0" borderId="144" xfId="0" applyFont="1" applyBorder="1" applyAlignment="1">
      <alignment horizontal="center" vertical="center" wrapText="1"/>
    </xf>
    <xf numFmtId="0" fontId="116" fillId="0" borderId="150"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55" xfId="0" applyFont="1" applyBorder="1" applyAlignment="1">
      <alignment horizontal="center" vertical="center" wrapText="1"/>
    </xf>
    <xf numFmtId="0" fontId="116" fillId="0" borderId="53" xfId="0" applyFont="1" applyBorder="1" applyAlignment="1">
      <alignment horizontal="center" vertical="center" wrapText="1"/>
    </xf>
    <xf numFmtId="0" fontId="116" fillId="0" borderId="54" xfId="0" applyFont="1" applyBorder="1" applyAlignment="1">
      <alignment horizontal="center" vertical="center" wrapText="1"/>
    </xf>
    <xf numFmtId="0" fontId="116" fillId="0" borderId="104" xfId="0" applyFont="1" applyBorder="1" applyAlignment="1">
      <alignment horizontal="center" vertical="center" wrapText="1"/>
    </xf>
    <xf numFmtId="0" fontId="119" fillId="0" borderId="53" xfId="0" applyFont="1" applyBorder="1" applyAlignment="1">
      <alignment horizontal="left" vertical="top" wrapText="1"/>
    </xf>
    <xf numFmtId="0" fontId="119" fillId="0" borderId="104" xfId="0" applyFont="1" applyBorder="1" applyAlignment="1">
      <alignment horizontal="left" vertical="top" wrapText="1"/>
    </xf>
    <xf numFmtId="0" fontId="119" fillId="0" borderId="62" xfId="0" applyFont="1" applyBorder="1" applyAlignment="1">
      <alignment horizontal="left" vertical="top" wrapText="1"/>
    </xf>
    <xf numFmtId="0" fontId="119" fillId="0" borderId="91" xfId="0" applyFont="1" applyBorder="1" applyAlignment="1">
      <alignment horizontal="left" vertical="top" wrapText="1"/>
    </xf>
    <xf numFmtId="0" fontId="119" fillId="0" borderId="118" xfId="0" applyFont="1" applyBorder="1" applyAlignment="1">
      <alignment horizontal="left" vertical="top" wrapText="1"/>
    </xf>
    <xf numFmtId="0" fontId="119" fillId="0" borderId="157" xfId="0" applyFont="1" applyBorder="1" applyAlignment="1">
      <alignment horizontal="left" vertical="top" wrapText="1"/>
    </xf>
    <xf numFmtId="0" fontId="119" fillId="0" borderId="158" xfId="0" applyFont="1" applyBorder="1" applyAlignment="1">
      <alignment horizontal="center" vertical="center" wrapText="1"/>
    </xf>
    <xf numFmtId="0" fontId="119" fillId="0" borderId="68" xfId="0" applyFont="1" applyBorder="1" applyAlignment="1">
      <alignment horizontal="center" vertical="center" wrapText="1"/>
    </xf>
    <xf numFmtId="0" fontId="116" fillId="0" borderId="145" xfId="0" applyFont="1" applyBorder="1" applyAlignment="1">
      <alignment horizontal="center" vertical="top" wrapText="1"/>
    </xf>
    <xf numFmtId="0" fontId="116" fillId="0" borderId="144" xfId="0" applyFont="1" applyBorder="1" applyAlignment="1">
      <alignment horizontal="center" vertical="top" wrapText="1"/>
    </xf>
    <xf numFmtId="0" fontId="116" fillId="0" borderId="151" xfId="0" applyFont="1" applyBorder="1" applyAlignment="1">
      <alignment horizontal="center" vertical="top" wrapText="1"/>
    </xf>
    <xf numFmtId="0" fontId="116" fillId="0" borderId="148" xfId="0" applyFont="1" applyBorder="1" applyAlignment="1">
      <alignment horizontal="center" vertical="top" wrapText="1"/>
    </xf>
    <xf numFmtId="0" fontId="105" fillId="0" borderId="130" xfId="0" applyFont="1" applyBorder="1" applyAlignment="1">
      <alignment horizontal="left" vertical="top" wrapText="1"/>
    </xf>
    <xf numFmtId="0" fontId="105" fillId="0" borderId="131" xfId="0" applyFont="1" applyBorder="1" applyAlignment="1">
      <alignment horizontal="left" vertical="top" wrapText="1"/>
    </xf>
    <xf numFmtId="0" fontId="122" fillId="0" borderId="146" xfId="0" applyFont="1" applyBorder="1" applyAlignment="1">
      <alignment horizontal="center" vertical="center"/>
    </xf>
    <xf numFmtId="0" fontId="121" fillId="0" borderId="146" xfId="0" applyFont="1" applyBorder="1" applyAlignment="1">
      <alignment horizontal="center" vertical="center" wrapText="1"/>
    </xf>
    <xf numFmtId="0" fontId="121" fillId="0" borderId="147" xfId="0" applyFont="1" applyBorder="1" applyAlignment="1">
      <alignment horizontal="center" vertical="center" wrapText="1"/>
    </xf>
    <xf numFmtId="0" fontId="105" fillId="75" borderId="149" xfId="0" applyFont="1" applyFill="1" applyBorder="1" applyAlignment="1">
      <alignment horizontal="center" vertical="center" wrapText="1"/>
    </xf>
    <xf numFmtId="0" fontId="105" fillId="75" borderId="148" xfId="0" applyFont="1" applyFill="1" applyBorder="1" applyAlignment="1">
      <alignment horizontal="center" vertical="center" wrapText="1"/>
    </xf>
    <xf numFmtId="0" fontId="106" fillId="0" borderId="149" xfId="0" applyFont="1" applyBorder="1" applyAlignment="1">
      <alignment horizontal="left" vertical="center" wrapText="1"/>
    </xf>
    <xf numFmtId="0" fontId="106" fillId="0" borderId="148" xfId="0" applyFont="1" applyBorder="1" applyAlignment="1">
      <alignment horizontal="left" vertical="center" wrapText="1"/>
    </xf>
    <xf numFmtId="0" fontId="106" fillId="0" borderId="149" xfId="13" applyFont="1" applyBorder="1" applyAlignment="1" applyProtection="1">
      <alignment horizontal="left" vertical="top" wrapText="1"/>
      <protection locked="0"/>
    </xf>
    <xf numFmtId="0" fontId="106" fillId="0" borderId="148" xfId="13" applyFont="1" applyBorder="1" applyAlignment="1" applyProtection="1">
      <alignment horizontal="left" vertical="top" wrapText="1"/>
      <protection locked="0"/>
    </xf>
    <xf numFmtId="0" fontId="155" fillId="0" borderId="149" xfId="13" applyFont="1" applyBorder="1" applyAlignment="1" applyProtection="1">
      <alignment horizontal="left" vertical="top" wrapText="1"/>
      <protection locked="0"/>
    </xf>
    <xf numFmtId="0" fontId="155" fillId="0" borderId="148" xfId="13" applyFont="1" applyBorder="1" applyAlignment="1" applyProtection="1">
      <alignment horizontal="left" vertical="top" wrapText="1"/>
      <protection locked="0"/>
    </xf>
    <xf numFmtId="0" fontId="106" fillId="0" borderId="149" xfId="0" applyFont="1" applyBorder="1" applyAlignment="1">
      <alignment horizontal="left" vertical="top" wrapText="1"/>
    </xf>
    <xf numFmtId="0" fontId="106" fillId="0" borderId="148" xfId="0" applyFont="1" applyBorder="1" applyAlignment="1">
      <alignment horizontal="left" vertical="top" wrapText="1"/>
    </xf>
    <xf numFmtId="49" fontId="106" fillId="0" borderId="0" xfId="0" applyNumberFormat="1" applyFont="1" applyAlignment="1">
      <alignment horizontal="center" vertical="center"/>
    </xf>
    <xf numFmtId="0" fontId="106" fillId="0" borderId="146" xfId="0" applyFont="1" applyBorder="1" applyAlignment="1">
      <alignment horizontal="left" vertical="top" wrapText="1"/>
    </xf>
    <xf numFmtId="0" fontId="106" fillId="0" borderId="146" xfId="0" applyFont="1" applyBorder="1" applyAlignment="1">
      <alignment horizontal="left" vertical="center" wrapText="1"/>
    </xf>
    <xf numFmtId="0" fontId="105" fillId="75" borderId="146" xfId="0" applyFont="1" applyFill="1" applyBorder="1" applyAlignment="1">
      <alignment horizontal="center" vertical="center" wrapText="1"/>
    </xf>
    <xf numFmtId="0" fontId="106" fillId="0" borderId="146" xfId="0" applyFont="1" applyBorder="1" applyAlignment="1">
      <alignment horizontal="center"/>
    </xf>
    <xf numFmtId="0" fontId="106" fillId="0" borderId="98" xfId="0" applyFont="1" applyBorder="1" applyAlignment="1">
      <alignment horizontal="left" vertical="center" wrapText="1"/>
    </xf>
    <xf numFmtId="0" fontId="106" fillId="0" borderId="96" xfId="0" applyFont="1" applyBorder="1" applyAlignment="1">
      <alignment horizontal="left" vertical="center" wrapText="1"/>
    </xf>
    <xf numFmtId="0" fontId="105" fillId="0" borderId="146" xfId="0" applyFont="1" applyBorder="1" applyAlignment="1">
      <alignment horizontal="center" vertical="center"/>
    </xf>
    <xf numFmtId="0" fontId="106" fillId="3" borderId="149" xfId="13" applyFont="1" applyFill="1" applyBorder="1" applyAlignment="1" applyProtection="1">
      <alignment horizontal="left" vertical="top" wrapText="1"/>
      <protection locked="0"/>
    </xf>
    <xf numFmtId="0" fontId="106" fillId="3" borderId="148" xfId="13" applyFont="1" applyFill="1" applyBorder="1" applyAlignment="1" applyProtection="1">
      <alignment horizontal="left" vertical="top" wrapText="1"/>
      <protection locked="0"/>
    </xf>
    <xf numFmtId="0" fontId="105" fillId="0" borderId="84" xfId="0" applyFont="1" applyBorder="1" applyAlignment="1">
      <alignment horizontal="center" vertical="center"/>
    </xf>
    <xf numFmtId="0" fontId="105" fillId="75" borderId="81" xfId="0" applyFont="1" applyFill="1" applyBorder="1" applyAlignment="1">
      <alignment horizontal="center" vertical="center" wrapText="1"/>
    </xf>
    <xf numFmtId="0" fontId="105" fillId="75" borderId="0" xfId="0" applyFont="1" applyFill="1" applyAlignment="1">
      <alignment horizontal="center" vertical="center" wrapText="1"/>
    </xf>
    <xf numFmtId="0" fontId="105" fillId="75" borderId="82" xfId="0" applyFont="1" applyFill="1" applyBorder="1" applyAlignment="1">
      <alignment horizontal="center" vertical="center" wrapText="1"/>
    </xf>
    <xf numFmtId="0" fontId="106" fillId="0" borderId="98" xfId="0" applyFont="1" applyBorder="1" applyAlignment="1">
      <alignment vertical="center" wrapText="1"/>
    </xf>
    <xf numFmtId="0" fontId="106" fillId="0" borderId="96" xfId="0" applyFont="1" applyBorder="1" applyAlignment="1">
      <alignment vertical="center" wrapText="1"/>
    </xf>
    <xf numFmtId="0" fontId="105" fillId="75" borderId="86" xfId="0" applyFont="1" applyFill="1" applyBorder="1" applyAlignment="1">
      <alignment horizontal="center" vertical="center"/>
    </xf>
    <xf numFmtId="0" fontId="105" fillId="75" borderId="87" xfId="0" applyFont="1" applyFill="1" applyBorder="1" applyAlignment="1">
      <alignment horizontal="center" vertical="center"/>
    </xf>
    <xf numFmtId="0" fontId="105" fillId="75" borderId="88" xfId="0" applyFont="1" applyFill="1" applyBorder="1" applyAlignment="1">
      <alignment horizontal="center" vertical="center"/>
    </xf>
    <xf numFmtId="0" fontId="106" fillId="3" borderId="98" xfId="0" applyFont="1" applyFill="1" applyBorder="1" applyAlignment="1">
      <alignment horizontal="left" vertical="center" wrapText="1"/>
    </xf>
    <xf numFmtId="0" fontId="106" fillId="3" borderId="96" xfId="0" applyFont="1" applyFill="1" applyBorder="1" applyAlignment="1">
      <alignment horizontal="left" vertical="center" wrapText="1"/>
    </xf>
    <xf numFmtId="0" fontId="106" fillId="0" borderId="76" xfId="0" applyFont="1" applyBorder="1" applyAlignment="1">
      <alignment horizontal="left" vertical="center" wrapText="1"/>
    </xf>
    <xf numFmtId="0" fontId="106" fillId="0" borderId="77" xfId="0" applyFont="1" applyBorder="1" applyAlignment="1">
      <alignment horizontal="left" vertical="center" wrapText="1"/>
    </xf>
    <xf numFmtId="0" fontId="105" fillId="75" borderId="72" xfId="0" applyFont="1" applyFill="1" applyBorder="1" applyAlignment="1">
      <alignment horizontal="center" vertical="center" wrapText="1"/>
    </xf>
    <xf numFmtId="0" fontId="105" fillId="75" borderId="73" xfId="0" applyFont="1" applyFill="1" applyBorder="1" applyAlignment="1">
      <alignment horizontal="center" vertical="center" wrapText="1"/>
    </xf>
    <xf numFmtId="0" fontId="105" fillId="75" borderId="74" xfId="0" applyFont="1" applyFill="1" applyBorder="1" applyAlignment="1">
      <alignment horizontal="center" vertical="center" wrapText="1"/>
    </xf>
    <xf numFmtId="0" fontId="106" fillId="0" borderId="52" xfId="0" applyFont="1" applyBorder="1" applyAlignment="1">
      <alignment horizontal="left" vertical="center" wrapText="1"/>
    </xf>
    <xf numFmtId="0" fontId="106" fillId="0" borderId="11" xfId="0" applyFont="1" applyBorder="1" applyAlignment="1">
      <alignment horizontal="left" vertical="center" wrapText="1"/>
    </xf>
    <xf numFmtId="0" fontId="155" fillId="3" borderId="98" xfId="0" applyFont="1" applyFill="1" applyBorder="1" applyAlignment="1">
      <alignment horizontal="left" vertical="center" wrapText="1"/>
    </xf>
    <xf numFmtId="0" fontId="155" fillId="3" borderId="96" xfId="0" applyFont="1" applyFill="1" applyBorder="1" applyAlignment="1">
      <alignment horizontal="left" vertical="center" wrapText="1"/>
    </xf>
    <xf numFmtId="0" fontId="106" fillId="0" borderId="139" xfId="0" applyFont="1" applyBorder="1" applyAlignment="1">
      <alignment horizontal="left" vertical="center" wrapText="1"/>
    </xf>
    <xf numFmtId="0" fontId="106" fillId="0" borderId="140" xfId="0" applyFont="1" applyBorder="1" applyAlignment="1">
      <alignment horizontal="left" vertical="center" wrapText="1"/>
    </xf>
    <xf numFmtId="0" fontId="106" fillId="0" borderId="141" xfId="0" applyFont="1" applyBorder="1" applyAlignment="1">
      <alignment horizontal="left" vertical="center" wrapText="1"/>
    </xf>
    <xf numFmtId="0" fontId="106" fillId="3" borderId="76" xfId="0" applyFont="1" applyFill="1" applyBorder="1" applyAlignment="1">
      <alignment horizontal="left" vertical="center" wrapText="1"/>
    </xf>
    <xf numFmtId="0" fontId="106" fillId="3" borderId="77" xfId="0" applyFont="1" applyFill="1" applyBorder="1" applyAlignment="1">
      <alignment horizontal="left" vertical="center" wrapText="1"/>
    </xf>
    <xf numFmtId="0" fontId="106" fillId="0" borderId="79" xfId="0" applyFont="1" applyBorder="1" applyAlignment="1">
      <alignment horizontal="left" vertical="center" wrapText="1"/>
    </xf>
    <xf numFmtId="0" fontId="106" fillId="0" borderId="80" xfId="0" applyFont="1" applyBorder="1" applyAlignment="1">
      <alignment horizontal="left" vertical="center" wrapText="1"/>
    </xf>
    <xf numFmtId="0" fontId="106" fillId="0" borderId="52" xfId="0" applyFont="1" applyBorder="1" applyAlignment="1">
      <alignment vertical="center" wrapText="1"/>
    </xf>
    <xf numFmtId="0" fontId="106" fillId="0" borderId="11" xfId="0" applyFont="1" applyBorder="1" applyAlignment="1">
      <alignment vertical="center" wrapText="1"/>
    </xf>
    <xf numFmtId="0" fontId="106" fillId="3" borderId="98" xfId="0" applyFont="1" applyFill="1" applyBorder="1" applyAlignment="1">
      <alignment vertical="center" wrapText="1"/>
    </xf>
    <xf numFmtId="0" fontId="106" fillId="3" borderId="96" xfId="0" applyFont="1" applyFill="1" applyBorder="1" applyAlignment="1">
      <alignment vertical="center" wrapText="1"/>
    </xf>
    <xf numFmtId="0" fontId="105" fillId="0" borderId="69" xfId="0" applyFont="1" applyBorder="1" applyAlignment="1">
      <alignment horizontal="center" vertical="center"/>
    </xf>
    <xf numFmtId="0" fontId="105" fillId="0" borderId="70" xfId="0" applyFont="1" applyBorder="1" applyAlignment="1">
      <alignment horizontal="center" vertical="center"/>
    </xf>
    <xf numFmtId="0" fontId="105" fillId="0" borderId="71" xfId="0" applyFont="1" applyBorder="1" applyAlignment="1">
      <alignment horizontal="center" vertical="center"/>
    </xf>
    <xf numFmtId="0" fontId="106" fillId="0" borderId="97" xfId="0" applyFont="1" applyBorder="1" applyAlignment="1">
      <alignment horizontal="left" vertical="center" wrapText="1"/>
    </xf>
    <xf numFmtId="0" fontId="155" fillId="3" borderId="98" xfId="0" applyFont="1" applyFill="1" applyBorder="1" applyAlignment="1">
      <alignment vertical="center" wrapText="1"/>
    </xf>
    <xf numFmtId="0" fontId="155" fillId="3" borderId="96" xfId="0" applyFont="1" applyFill="1" applyBorder="1" applyAlignment="1">
      <alignment vertical="center" wrapText="1"/>
    </xf>
    <xf numFmtId="0" fontId="106" fillId="0" borderId="98" xfId="0" applyFont="1" applyBorder="1" applyAlignment="1">
      <alignment horizontal="left"/>
    </xf>
    <xf numFmtId="0" fontId="106" fillId="0" borderId="96" xfId="0" applyFont="1" applyBorder="1" applyAlignment="1">
      <alignment horizontal="left"/>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tabSelected="1" zoomScaleNormal="100"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10.140625" style="1" customWidth="1"/>
    <col min="2" max="2" width="153" bestFit="1" customWidth="1"/>
    <col min="3" max="3" width="39.42578125" customWidth="1"/>
    <col min="7" max="7" width="25" customWidth="1"/>
  </cols>
  <sheetData>
    <row r="1" spans="1:3" ht="15.75">
      <c r="A1" s="6"/>
      <c r="B1" s="87" t="s">
        <v>148</v>
      </c>
      <c r="C1" s="44"/>
    </row>
    <row r="2" spans="1:3" s="84" customFormat="1" ht="15.75">
      <c r="A2" s="128">
        <v>1</v>
      </c>
      <c r="B2" s="85" t="s">
        <v>149</v>
      </c>
      <c r="C2" s="584" t="s">
        <v>999</v>
      </c>
    </row>
    <row r="3" spans="1:3" s="84" customFormat="1" ht="15.75">
      <c r="A3" s="128">
        <v>2</v>
      </c>
      <c r="B3" s="86" t="s">
        <v>150</v>
      </c>
      <c r="C3" s="584" t="s">
        <v>1000</v>
      </c>
    </row>
    <row r="4" spans="1:3" s="84" customFormat="1" ht="15.75">
      <c r="A4" s="128">
        <v>3</v>
      </c>
      <c r="B4" s="86" t="s">
        <v>151</v>
      </c>
      <c r="C4" s="584" t="s">
        <v>1001</v>
      </c>
    </row>
    <row r="5" spans="1:3" s="84" customFormat="1" ht="15.75">
      <c r="A5" s="129">
        <v>4</v>
      </c>
      <c r="B5" s="89" t="s">
        <v>152</v>
      </c>
      <c r="C5" s="535" t="s">
        <v>1002</v>
      </c>
    </row>
    <row r="6" spans="1:3" s="88" customFormat="1" ht="65.25" customHeight="1">
      <c r="A6" s="741" t="s">
        <v>309</v>
      </c>
      <c r="B6" s="742"/>
      <c r="C6" s="742"/>
    </row>
    <row r="7" spans="1:3">
      <c r="A7" s="204" t="s">
        <v>240</v>
      </c>
      <c r="B7" s="205" t="s">
        <v>153</v>
      </c>
    </row>
    <row r="8" spans="1:3">
      <c r="A8" s="206">
        <v>1</v>
      </c>
      <c r="B8" s="202" t="s">
        <v>128</v>
      </c>
    </row>
    <row r="9" spans="1:3">
      <c r="A9" s="206">
        <v>2</v>
      </c>
      <c r="B9" s="202" t="s">
        <v>154</v>
      </c>
    </row>
    <row r="10" spans="1:3">
      <c r="A10" s="206">
        <v>3</v>
      </c>
      <c r="B10" s="202" t="s">
        <v>155</v>
      </c>
    </row>
    <row r="11" spans="1:3">
      <c r="A11" s="206">
        <v>4</v>
      </c>
      <c r="B11" s="202" t="s">
        <v>156</v>
      </c>
    </row>
    <row r="12" spans="1:3">
      <c r="A12" s="206">
        <v>5</v>
      </c>
      <c r="B12" s="202" t="s">
        <v>96</v>
      </c>
    </row>
    <row r="13" spans="1:3">
      <c r="A13" s="206">
        <v>6</v>
      </c>
      <c r="B13" s="207" t="s">
        <v>80</v>
      </c>
    </row>
    <row r="14" spans="1:3">
      <c r="A14" s="206">
        <v>7</v>
      </c>
      <c r="B14" s="202" t="s">
        <v>157</v>
      </c>
    </row>
    <row r="15" spans="1:3">
      <c r="A15" s="206">
        <v>8</v>
      </c>
      <c r="B15" s="202" t="s">
        <v>160</v>
      </c>
    </row>
    <row r="16" spans="1:3">
      <c r="A16" s="206">
        <v>9</v>
      </c>
      <c r="B16" s="202" t="s">
        <v>74</v>
      </c>
    </row>
    <row r="17" spans="1:2">
      <c r="A17" s="208" t="s">
        <v>366</v>
      </c>
      <c r="B17" s="202" t="s">
        <v>346</v>
      </c>
    </row>
    <row r="18" spans="1:2">
      <c r="A18" s="206">
        <v>9.1999999999999993</v>
      </c>
      <c r="B18" s="536" t="s">
        <v>945</v>
      </c>
    </row>
    <row r="19" spans="1:2">
      <c r="A19" s="206">
        <v>9.3000000000000007</v>
      </c>
      <c r="B19" s="536" t="s">
        <v>946</v>
      </c>
    </row>
    <row r="20" spans="1:2">
      <c r="A20" s="206">
        <v>10</v>
      </c>
      <c r="B20" s="202" t="s">
        <v>161</v>
      </c>
    </row>
    <row r="21" spans="1:2">
      <c r="A21" s="206">
        <v>11</v>
      </c>
      <c r="B21" s="207" t="s">
        <v>144</v>
      </c>
    </row>
    <row r="22" spans="1:2">
      <c r="A22" s="206">
        <v>12</v>
      </c>
      <c r="B22" s="207" t="s">
        <v>141</v>
      </c>
    </row>
    <row r="23" spans="1:2">
      <c r="A23" s="206">
        <v>13</v>
      </c>
      <c r="B23" s="209" t="s">
        <v>285</v>
      </c>
    </row>
    <row r="24" spans="1:2">
      <c r="A24" s="206">
        <v>14</v>
      </c>
      <c r="B24" s="202" t="s">
        <v>339</v>
      </c>
    </row>
    <row r="25" spans="1:2">
      <c r="A25" s="206">
        <v>15</v>
      </c>
      <c r="B25" s="202" t="s">
        <v>73</v>
      </c>
    </row>
    <row r="26" spans="1:2">
      <c r="A26" s="206">
        <v>15.1</v>
      </c>
      <c r="B26" s="202" t="s">
        <v>375</v>
      </c>
    </row>
    <row r="27" spans="1:2">
      <c r="A27" s="535">
        <v>15.2</v>
      </c>
      <c r="B27" s="536" t="s">
        <v>969</v>
      </c>
    </row>
    <row r="28" spans="1:2">
      <c r="A28" s="206">
        <v>16</v>
      </c>
      <c r="B28" s="202" t="s">
        <v>422</v>
      </c>
    </row>
    <row r="29" spans="1:2">
      <c r="A29" s="206">
        <v>17</v>
      </c>
      <c r="B29" s="202" t="s">
        <v>646</v>
      </c>
    </row>
    <row r="30" spans="1:2">
      <c r="A30" s="206">
        <v>18</v>
      </c>
      <c r="B30" s="202" t="s">
        <v>905</v>
      </c>
    </row>
    <row r="31" spans="1:2">
      <c r="A31" s="206">
        <v>19</v>
      </c>
      <c r="B31" s="202" t="s">
        <v>906</v>
      </c>
    </row>
    <row r="32" spans="1:2">
      <c r="A32" s="206">
        <v>20</v>
      </c>
      <c r="B32" s="202" t="s">
        <v>907</v>
      </c>
    </row>
    <row r="33" spans="1:2">
      <c r="A33" s="206">
        <v>21</v>
      </c>
      <c r="B33" s="202" t="s">
        <v>515</v>
      </c>
    </row>
    <row r="34" spans="1:2">
      <c r="A34" s="206">
        <v>22</v>
      </c>
      <c r="B34" s="202" t="s">
        <v>908</v>
      </c>
    </row>
    <row r="35" spans="1:2" ht="25.5">
      <c r="A35" s="206">
        <v>23</v>
      </c>
      <c r="B35" s="493" t="s">
        <v>904</v>
      </c>
    </row>
    <row r="36" spans="1:2">
      <c r="A36" s="206">
        <v>24</v>
      </c>
      <c r="B36" s="202" t="s">
        <v>909</v>
      </c>
    </row>
    <row r="37" spans="1:2">
      <c r="A37" s="206">
        <v>25</v>
      </c>
      <c r="B37" s="202" t="s">
        <v>910</v>
      </c>
    </row>
    <row r="38" spans="1:2">
      <c r="A38" s="206">
        <v>26</v>
      </c>
      <c r="B38" s="202"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showGridLines="0" zoomScale="80" zoomScaleNormal="80" workbookViewId="0">
      <pane xSplit="1" ySplit="5" topLeftCell="B6" activePane="bottomRight" state="frozen"/>
      <selection pane="topRight" activeCell="B1" sqref="B1"/>
      <selection pane="bottomLeft" activeCell="A5" sqref="A5"/>
      <selection pane="bottomRight"/>
    </sheetView>
  </sheetViews>
  <sheetFormatPr defaultRowHeight="15"/>
  <cols>
    <col min="1" max="1" width="9.5703125" style="1" bestFit="1" customWidth="1"/>
    <col min="2" max="2" width="132.42578125" style="1" customWidth="1"/>
    <col min="3" max="3" width="18.42578125" style="592" customWidth="1"/>
    <col min="5" max="5" width="17" bestFit="1" customWidth="1"/>
  </cols>
  <sheetData>
    <row r="1" spans="1:6" ht="15.75">
      <c r="A1" s="13" t="s">
        <v>97</v>
      </c>
      <c r="B1" s="12" t="str">
        <f>Info!C2</f>
        <v>სს "ბანკი ქართუ"</v>
      </c>
      <c r="D1" s="1"/>
      <c r="E1" s="1"/>
      <c r="F1" s="1"/>
    </row>
    <row r="2" spans="1:6" s="13" customFormat="1" ht="15.75" customHeight="1">
      <c r="A2" s="13" t="s">
        <v>98</v>
      </c>
      <c r="B2" s="585">
        <f>'1. key ratios'!B2</f>
        <v>45747</v>
      </c>
      <c r="C2" s="614"/>
    </row>
    <row r="3" spans="1:6" s="13" customFormat="1" ht="15.75" customHeight="1">
      <c r="C3" s="614"/>
    </row>
    <row r="4" spans="1:6" ht="15.75" thickBot="1">
      <c r="A4" s="1" t="s">
        <v>246</v>
      </c>
      <c r="B4" s="22" t="s">
        <v>74</v>
      </c>
    </row>
    <row r="5" spans="1:6">
      <c r="A5" s="60" t="s">
        <v>25</v>
      </c>
      <c r="B5" s="61"/>
      <c r="C5" s="615" t="s">
        <v>26</v>
      </c>
    </row>
    <row r="6" spans="1:6">
      <c r="A6" s="62">
        <v>1</v>
      </c>
      <c r="B6" s="40" t="s">
        <v>27</v>
      </c>
      <c r="C6" s="616">
        <f>SUM(C7:C11)</f>
        <v>430691945.11729014</v>
      </c>
      <c r="E6" s="593"/>
    </row>
    <row r="7" spans="1:6">
      <c r="A7" s="62">
        <v>2</v>
      </c>
      <c r="B7" s="37" t="s">
        <v>28</v>
      </c>
      <c r="C7" s="617">
        <v>114430000</v>
      </c>
      <c r="E7" s="593"/>
    </row>
    <row r="8" spans="1:6">
      <c r="A8" s="62">
        <v>3</v>
      </c>
      <c r="B8" s="32" t="s">
        <v>29</v>
      </c>
      <c r="C8" s="617">
        <v>0</v>
      </c>
      <c r="E8" s="593"/>
    </row>
    <row r="9" spans="1:6">
      <c r="A9" s="62">
        <v>4</v>
      </c>
      <c r="B9" s="32" t="s">
        <v>30</v>
      </c>
      <c r="C9" s="617">
        <v>21959.87840556982</v>
      </c>
      <c r="E9" s="593"/>
    </row>
    <row r="10" spans="1:6">
      <c r="A10" s="62">
        <v>5</v>
      </c>
      <c r="B10" s="32" t="s">
        <v>31</v>
      </c>
      <c r="C10" s="617">
        <v>7438034.3799999999</v>
      </c>
      <c r="E10" s="593"/>
    </row>
    <row r="11" spans="1:6">
      <c r="A11" s="62">
        <v>6</v>
      </c>
      <c r="B11" s="38" t="s">
        <v>32</v>
      </c>
      <c r="C11" s="617">
        <v>308801950.85888457</v>
      </c>
      <c r="E11" s="593"/>
    </row>
    <row r="12" spans="1:6" s="2" customFormat="1">
      <c r="A12" s="62">
        <v>7</v>
      </c>
      <c r="B12" s="40" t="s">
        <v>33</v>
      </c>
      <c r="C12" s="618">
        <f>SUM(C13:C28)</f>
        <v>12372374.228405572</v>
      </c>
      <c r="E12" s="593"/>
      <c r="F12"/>
    </row>
    <row r="13" spans="1:6" s="2" customFormat="1">
      <c r="A13" s="62">
        <v>8</v>
      </c>
      <c r="B13" s="39" t="s">
        <v>34</v>
      </c>
      <c r="C13" s="619">
        <v>21959.87840556982</v>
      </c>
      <c r="E13" s="593"/>
      <c r="F13"/>
    </row>
    <row r="14" spans="1:6" s="2" customFormat="1" ht="25.5">
      <c r="A14" s="62">
        <v>9</v>
      </c>
      <c r="B14" s="33" t="s">
        <v>35</v>
      </c>
      <c r="C14" s="619">
        <v>0</v>
      </c>
      <c r="E14" s="593"/>
      <c r="F14"/>
    </row>
    <row r="15" spans="1:6" s="2" customFormat="1">
      <c r="A15" s="62">
        <v>10</v>
      </c>
      <c r="B15" s="34" t="s">
        <v>36</v>
      </c>
      <c r="C15" s="619">
        <v>12350414.350000003</v>
      </c>
      <c r="E15" s="593"/>
      <c r="F15"/>
    </row>
    <row r="16" spans="1:6" s="2" customFormat="1">
      <c r="A16" s="62">
        <v>11</v>
      </c>
      <c r="B16" s="35" t="s">
        <v>37</v>
      </c>
      <c r="C16" s="619">
        <v>0</v>
      </c>
      <c r="E16" s="593"/>
      <c r="F16"/>
    </row>
    <row r="17" spans="1:6" s="2" customFormat="1">
      <c r="A17" s="62">
        <v>12</v>
      </c>
      <c r="B17" s="34" t="s">
        <v>38</v>
      </c>
      <c r="C17" s="619">
        <v>0</v>
      </c>
      <c r="E17" s="593"/>
      <c r="F17"/>
    </row>
    <row r="18" spans="1:6" s="2" customFormat="1">
      <c r="A18" s="62">
        <v>13</v>
      </c>
      <c r="B18" s="34" t="s">
        <v>39</v>
      </c>
      <c r="C18" s="619">
        <v>0</v>
      </c>
      <c r="E18" s="593"/>
      <c r="F18"/>
    </row>
    <row r="19" spans="1:6" s="2" customFormat="1">
      <c r="A19" s="62">
        <v>14</v>
      </c>
      <c r="B19" s="34" t="s">
        <v>40</v>
      </c>
      <c r="C19" s="619">
        <v>0</v>
      </c>
      <c r="E19" s="593"/>
      <c r="F19"/>
    </row>
    <row r="20" spans="1:6" s="2" customFormat="1" ht="25.5">
      <c r="A20" s="62">
        <v>15</v>
      </c>
      <c r="B20" s="34" t="s">
        <v>41</v>
      </c>
      <c r="C20" s="619">
        <v>0</v>
      </c>
      <c r="E20" s="593"/>
      <c r="F20"/>
    </row>
    <row r="21" spans="1:6" s="2" customFormat="1" ht="25.5">
      <c r="A21" s="62">
        <v>16</v>
      </c>
      <c r="B21" s="33" t="s">
        <v>42</v>
      </c>
      <c r="C21" s="619">
        <v>0</v>
      </c>
      <c r="E21" s="593"/>
      <c r="F21"/>
    </row>
    <row r="22" spans="1:6" s="2" customFormat="1">
      <c r="A22" s="62">
        <v>17</v>
      </c>
      <c r="B22" s="63" t="s">
        <v>43</v>
      </c>
      <c r="C22" s="619">
        <v>0</v>
      </c>
      <c r="E22" s="593"/>
      <c r="F22"/>
    </row>
    <row r="23" spans="1:6" s="2" customFormat="1">
      <c r="A23" s="62">
        <v>18</v>
      </c>
      <c r="B23" s="528" t="s">
        <v>694</v>
      </c>
      <c r="C23" s="620">
        <v>0</v>
      </c>
      <c r="E23" s="593"/>
      <c r="F23"/>
    </row>
    <row r="24" spans="1:6" s="2" customFormat="1" ht="25.5">
      <c r="A24" s="62">
        <v>19</v>
      </c>
      <c r="B24" s="33" t="s">
        <v>44</v>
      </c>
      <c r="C24" s="619">
        <v>0</v>
      </c>
      <c r="E24" s="593"/>
      <c r="F24"/>
    </row>
    <row r="25" spans="1:6" s="2" customFormat="1" ht="25.5">
      <c r="A25" s="62">
        <v>20</v>
      </c>
      <c r="B25" s="33" t="s">
        <v>45</v>
      </c>
      <c r="C25" s="619">
        <v>0</v>
      </c>
      <c r="E25" s="593"/>
      <c r="F25"/>
    </row>
    <row r="26" spans="1:6" s="2" customFormat="1" ht="25.5">
      <c r="A26" s="62">
        <v>21</v>
      </c>
      <c r="B26" s="35" t="s">
        <v>46</v>
      </c>
      <c r="C26" s="619">
        <v>0</v>
      </c>
      <c r="E26" s="593"/>
      <c r="F26"/>
    </row>
    <row r="27" spans="1:6" s="2" customFormat="1">
      <c r="A27" s="62">
        <v>22</v>
      </c>
      <c r="B27" s="35" t="s">
        <v>47</v>
      </c>
      <c r="C27" s="619">
        <v>0</v>
      </c>
      <c r="E27" s="593"/>
      <c r="F27"/>
    </row>
    <row r="28" spans="1:6" s="2" customFormat="1" ht="25.5">
      <c r="A28" s="62">
        <v>23</v>
      </c>
      <c r="B28" s="35" t="s">
        <v>48</v>
      </c>
      <c r="C28" s="619">
        <v>0</v>
      </c>
      <c r="E28" s="593"/>
      <c r="F28"/>
    </row>
    <row r="29" spans="1:6" s="2" customFormat="1">
      <c r="A29" s="62">
        <v>24</v>
      </c>
      <c r="B29" s="41" t="s">
        <v>22</v>
      </c>
      <c r="C29" s="618">
        <f>C6-C12</f>
        <v>418319570.88888454</v>
      </c>
      <c r="E29" s="593"/>
      <c r="F29"/>
    </row>
    <row r="30" spans="1:6" s="2" customFormat="1">
      <c r="A30" s="64"/>
      <c r="B30" s="36"/>
      <c r="C30" s="619"/>
      <c r="E30" s="593"/>
      <c r="F30"/>
    </row>
    <row r="31" spans="1:6" s="2" customFormat="1">
      <c r="A31" s="64">
        <v>25</v>
      </c>
      <c r="B31" s="41" t="s">
        <v>49</v>
      </c>
      <c r="C31" s="618">
        <f>C32+C35</f>
        <v>74717100</v>
      </c>
      <c r="E31" s="593"/>
      <c r="F31"/>
    </row>
    <row r="32" spans="1:6" s="2" customFormat="1">
      <c r="A32" s="64">
        <v>26</v>
      </c>
      <c r="B32" s="32" t="s">
        <v>50</v>
      </c>
      <c r="C32" s="621">
        <f>C33+C34</f>
        <v>74717100</v>
      </c>
      <c r="E32" s="593"/>
      <c r="F32"/>
    </row>
    <row r="33" spans="1:6" s="2" customFormat="1">
      <c r="A33" s="64">
        <v>27</v>
      </c>
      <c r="B33" s="82" t="s">
        <v>51</v>
      </c>
      <c r="C33" s="619">
        <v>23845347.84</v>
      </c>
      <c r="E33" s="593"/>
      <c r="F33"/>
    </row>
    <row r="34" spans="1:6" s="2" customFormat="1">
      <c r="A34" s="64">
        <v>28</v>
      </c>
      <c r="B34" s="82" t="s">
        <v>52</v>
      </c>
      <c r="C34" s="619">
        <v>50871752.159999996</v>
      </c>
      <c r="E34" s="593"/>
      <c r="F34"/>
    </row>
    <row r="35" spans="1:6" s="2" customFormat="1">
      <c r="A35" s="64">
        <v>29</v>
      </c>
      <c r="B35" s="32" t="s">
        <v>53</v>
      </c>
      <c r="C35" s="619">
        <v>0</v>
      </c>
      <c r="E35" s="593"/>
      <c r="F35"/>
    </row>
    <row r="36" spans="1:6" s="2" customFormat="1">
      <c r="A36" s="64">
        <v>30</v>
      </c>
      <c r="B36" s="41" t="s">
        <v>54</v>
      </c>
      <c r="C36" s="618">
        <f>SUM(C37:C41)</f>
        <v>0</v>
      </c>
      <c r="E36" s="593"/>
      <c r="F36"/>
    </row>
    <row r="37" spans="1:6" s="2" customFormat="1">
      <c r="A37" s="64">
        <v>31</v>
      </c>
      <c r="B37" s="33" t="s">
        <v>55</v>
      </c>
      <c r="C37" s="619">
        <v>0</v>
      </c>
      <c r="E37" s="593"/>
      <c r="F37"/>
    </row>
    <row r="38" spans="1:6" s="2" customFormat="1">
      <c r="A38" s="64">
        <v>32</v>
      </c>
      <c r="B38" s="34" t="s">
        <v>56</v>
      </c>
      <c r="C38" s="619">
        <v>0</v>
      </c>
      <c r="E38" s="593"/>
      <c r="F38"/>
    </row>
    <row r="39" spans="1:6" s="2" customFormat="1" ht="25.5">
      <c r="A39" s="64">
        <v>33</v>
      </c>
      <c r="B39" s="33" t="s">
        <v>57</v>
      </c>
      <c r="C39" s="619">
        <v>0</v>
      </c>
      <c r="E39" s="593"/>
      <c r="F39"/>
    </row>
    <row r="40" spans="1:6" s="2" customFormat="1" ht="25.5">
      <c r="A40" s="64">
        <v>34</v>
      </c>
      <c r="B40" s="33" t="s">
        <v>45</v>
      </c>
      <c r="C40" s="619">
        <v>0</v>
      </c>
      <c r="E40" s="593"/>
      <c r="F40"/>
    </row>
    <row r="41" spans="1:6" s="2" customFormat="1" ht="25.5">
      <c r="A41" s="64">
        <v>35</v>
      </c>
      <c r="B41" s="35" t="s">
        <v>58</v>
      </c>
      <c r="C41" s="619">
        <v>0</v>
      </c>
      <c r="E41" s="593"/>
      <c r="F41"/>
    </row>
    <row r="42" spans="1:6" s="2" customFormat="1">
      <c r="A42" s="64">
        <v>36</v>
      </c>
      <c r="B42" s="41" t="s">
        <v>23</v>
      </c>
      <c r="C42" s="618">
        <f>C31-C36</f>
        <v>74717100</v>
      </c>
      <c r="E42" s="593"/>
      <c r="F42"/>
    </row>
    <row r="43" spans="1:6" s="2" customFormat="1">
      <c r="A43" s="64"/>
      <c r="B43" s="36"/>
      <c r="C43" s="619"/>
      <c r="E43" s="593"/>
      <c r="F43"/>
    </row>
    <row r="44" spans="1:6" s="2" customFormat="1">
      <c r="A44" s="64">
        <v>37</v>
      </c>
      <c r="B44" s="42" t="s">
        <v>59</v>
      </c>
      <c r="C44" s="618">
        <f>SUM(C45:C47)</f>
        <v>16050340</v>
      </c>
      <c r="E44" s="593"/>
      <c r="F44"/>
    </row>
    <row r="45" spans="1:6" s="2" customFormat="1">
      <c r="A45" s="64">
        <v>38</v>
      </c>
      <c r="B45" s="32" t="s">
        <v>60</v>
      </c>
      <c r="C45" s="619">
        <v>16050340</v>
      </c>
      <c r="E45" s="593"/>
      <c r="F45"/>
    </row>
    <row r="46" spans="1:6" s="2" customFormat="1">
      <c r="A46" s="64">
        <v>39</v>
      </c>
      <c r="B46" s="32" t="s">
        <v>61</v>
      </c>
      <c r="C46" s="619">
        <v>0</v>
      </c>
      <c r="E46" s="593"/>
      <c r="F46"/>
    </row>
    <row r="47" spans="1:6" s="2" customFormat="1">
      <c r="A47" s="64">
        <v>40</v>
      </c>
      <c r="B47" s="529" t="s">
        <v>693</v>
      </c>
      <c r="C47" s="619">
        <v>0</v>
      </c>
      <c r="E47" s="593"/>
      <c r="F47"/>
    </row>
    <row r="48" spans="1:6" s="2" customFormat="1">
      <c r="A48" s="64">
        <v>41</v>
      </c>
      <c r="B48" s="42" t="s">
        <v>62</v>
      </c>
      <c r="C48" s="618">
        <f>SUM(C49:C52)</f>
        <v>0</v>
      </c>
      <c r="E48" s="593"/>
      <c r="F48"/>
    </row>
    <row r="49" spans="1:6" s="2" customFormat="1">
      <c r="A49" s="64">
        <v>42</v>
      </c>
      <c r="B49" s="33" t="s">
        <v>63</v>
      </c>
      <c r="C49" s="619">
        <v>0</v>
      </c>
      <c r="E49" s="593"/>
      <c r="F49"/>
    </row>
    <row r="50" spans="1:6" s="2" customFormat="1">
      <c r="A50" s="64">
        <v>43</v>
      </c>
      <c r="B50" s="34" t="s">
        <v>64</v>
      </c>
      <c r="C50" s="619">
        <v>0</v>
      </c>
      <c r="E50" s="593"/>
      <c r="F50"/>
    </row>
    <row r="51" spans="1:6" s="2" customFormat="1" ht="25.5">
      <c r="A51" s="64">
        <v>44</v>
      </c>
      <c r="B51" s="33" t="s">
        <v>65</v>
      </c>
      <c r="C51" s="619">
        <v>0</v>
      </c>
      <c r="E51" s="593"/>
      <c r="F51"/>
    </row>
    <row r="52" spans="1:6" s="2" customFormat="1" ht="25.5">
      <c r="A52" s="64">
        <v>45</v>
      </c>
      <c r="B52" s="33" t="s">
        <v>45</v>
      </c>
      <c r="C52" s="619">
        <v>0</v>
      </c>
      <c r="E52" s="593"/>
      <c r="F52"/>
    </row>
    <row r="53" spans="1:6" s="2" customFormat="1" ht="15.75" thickBot="1">
      <c r="A53" s="64">
        <v>46</v>
      </c>
      <c r="B53" s="65" t="s">
        <v>24</v>
      </c>
      <c r="C53" s="622">
        <f>C44-C48</f>
        <v>16050340</v>
      </c>
      <c r="E53" s="593"/>
      <c r="F53"/>
    </row>
    <row r="56" spans="1:6">
      <c r="B56" s="1"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H23"/>
  <sheetViews>
    <sheetView showGridLines="0" zoomScale="80" zoomScaleNormal="80" workbookViewId="0"/>
  </sheetViews>
  <sheetFormatPr defaultColWidth="9.140625" defaultRowHeight="12.75"/>
  <cols>
    <col min="1" max="1" width="10.85546875" style="1" bestFit="1" customWidth="1"/>
    <col min="2" max="2" width="59" style="1" customWidth="1"/>
    <col min="3" max="3" width="16.85546875" style="1" bestFit="1" customWidth="1"/>
    <col min="4" max="4" width="22.140625" style="592" customWidth="1"/>
    <col min="5" max="6" width="9.140625" style="1"/>
    <col min="7" max="7" width="9.28515625" style="1" bestFit="1" customWidth="1"/>
    <col min="8" max="8" width="16.42578125" style="1" bestFit="1" customWidth="1"/>
    <col min="9" max="16384" width="9.140625" style="1"/>
  </cols>
  <sheetData>
    <row r="1" spans="1:8" ht="15">
      <c r="A1" s="13" t="s">
        <v>97</v>
      </c>
      <c r="B1" s="12" t="str">
        <f>Info!C2</f>
        <v>სს "ბანკი ქართუ"</v>
      </c>
    </row>
    <row r="2" spans="1:8" s="13" customFormat="1" ht="15.75" customHeight="1">
      <c r="A2" s="13" t="s">
        <v>98</v>
      </c>
      <c r="B2" s="585">
        <f>'1. key ratios'!B2</f>
        <v>45747</v>
      </c>
      <c r="D2" s="614"/>
    </row>
    <row r="3" spans="1:8" s="13" customFormat="1" ht="15.75" customHeight="1">
      <c r="D3" s="614"/>
    </row>
    <row r="4" spans="1:8" ht="13.5" thickBot="1">
      <c r="A4" s="1" t="s">
        <v>345</v>
      </c>
      <c r="B4" s="193" t="s">
        <v>346</v>
      </c>
    </row>
    <row r="5" spans="1:8" s="29" customFormat="1">
      <c r="A5" s="773" t="s">
        <v>347</v>
      </c>
      <c r="B5" s="774"/>
      <c r="C5" s="185" t="s">
        <v>348</v>
      </c>
      <c r="D5" s="624" t="s">
        <v>349</v>
      </c>
    </row>
    <row r="6" spans="1:8" s="194" customFormat="1">
      <c r="A6" s="186">
        <v>1</v>
      </c>
      <c r="B6" s="187" t="s">
        <v>350</v>
      </c>
      <c r="C6" s="187"/>
      <c r="D6" s="625"/>
    </row>
    <row r="7" spans="1:8" s="194" customFormat="1">
      <c r="A7" s="188" t="s">
        <v>351</v>
      </c>
      <c r="B7" s="189" t="s">
        <v>352</v>
      </c>
      <c r="C7" s="210">
        <v>4.4999999999999998E-2</v>
      </c>
      <c r="D7" s="626">
        <f>C7*'5. RWA'!$C$13</f>
        <v>78011395.39587301</v>
      </c>
      <c r="G7" s="623"/>
      <c r="H7" s="623"/>
    </row>
    <row r="8" spans="1:8" s="194" customFormat="1">
      <c r="A8" s="188" t="s">
        <v>353</v>
      </c>
      <c r="B8" s="189" t="s">
        <v>354</v>
      </c>
      <c r="C8" s="211">
        <v>0.06</v>
      </c>
      <c r="D8" s="626">
        <f>C8*'5. RWA'!$C$13</f>
        <v>104015193.86116402</v>
      </c>
      <c r="G8" s="623"/>
      <c r="H8" s="623"/>
    </row>
    <row r="9" spans="1:8" s="194" customFormat="1">
      <c r="A9" s="188" t="s">
        <v>355</v>
      </c>
      <c r="B9" s="189" t="s">
        <v>356</v>
      </c>
      <c r="C9" s="211">
        <v>0.08</v>
      </c>
      <c r="D9" s="626">
        <f>C9*'5. RWA'!$C$13</f>
        <v>138686925.14821869</v>
      </c>
      <c r="G9" s="623"/>
      <c r="H9" s="623"/>
    </row>
    <row r="10" spans="1:8" s="194" customFormat="1">
      <c r="A10" s="186" t="s">
        <v>357</v>
      </c>
      <c r="B10" s="187" t="s">
        <v>358</v>
      </c>
      <c r="C10" s="212"/>
      <c r="D10" s="627"/>
      <c r="G10" s="623"/>
      <c r="H10" s="623"/>
    </row>
    <row r="11" spans="1:8" s="195" customFormat="1">
      <c r="A11" s="190" t="s">
        <v>359</v>
      </c>
      <c r="B11" s="191" t="s">
        <v>996</v>
      </c>
      <c r="C11" s="213">
        <v>2.5000000000000001E-2</v>
      </c>
      <c r="D11" s="628">
        <f>C11*'5. RWA'!$C$13</f>
        <v>43339664.108818345</v>
      </c>
      <c r="F11" s="194"/>
      <c r="G11" s="623"/>
      <c r="H11" s="623"/>
    </row>
    <row r="12" spans="1:8" s="195" customFormat="1">
      <c r="A12" s="190" t="s">
        <v>360</v>
      </c>
      <c r="B12" s="191" t="s">
        <v>361</v>
      </c>
      <c r="C12" s="213">
        <v>5.0000000000000001E-3</v>
      </c>
      <c r="D12" s="628">
        <f>C12*'5. RWA'!$C$13</f>
        <v>8667932.8217636682</v>
      </c>
      <c r="F12" s="194"/>
      <c r="G12" s="623"/>
      <c r="H12" s="623"/>
    </row>
    <row r="13" spans="1:8" s="195" customFormat="1">
      <c r="A13" s="190" t="s">
        <v>362</v>
      </c>
      <c r="B13" s="191" t="s">
        <v>363</v>
      </c>
      <c r="C13" s="213">
        <v>0</v>
      </c>
      <c r="D13" s="628">
        <f>C13*'5. RWA'!$C$13</f>
        <v>0</v>
      </c>
      <c r="F13" s="194"/>
      <c r="G13" s="623"/>
      <c r="H13" s="623"/>
    </row>
    <row r="14" spans="1:8" s="194" customFormat="1">
      <c r="A14" s="186" t="s">
        <v>364</v>
      </c>
      <c r="B14" s="187" t="s">
        <v>409</v>
      </c>
      <c r="C14" s="214"/>
      <c r="D14" s="627"/>
      <c r="G14" s="623"/>
      <c r="H14" s="623"/>
    </row>
    <row r="15" spans="1:8" s="194" customFormat="1">
      <c r="A15" s="203" t="s">
        <v>367</v>
      </c>
      <c r="B15" s="191" t="s">
        <v>410</v>
      </c>
      <c r="C15" s="213">
        <v>9.7681247412716471E-2</v>
      </c>
      <c r="D15" s="628">
        <f>C15*'5. RWA'!$C$13</f>
        <v>169338898.10390049</v>
      </c>
      <c r="G15" s="623"/>
      <c r="H15" s="623"/>
    </row>
    <row r="16" spans="1:8" s="194" customFormat="1">
      <c r="A16" s="203" t="s">
        <v>368</v>
      </c>
      <c r="B16" s="191" t="s">
        <v>370</v>
      </c>
      <c r="C16" s="213">
        <v>0.11710244604049888</v>
      </c>
      <c r="D16" s="628">
        <f>C16*'5. RWA'!$C$13</f>
        <v>203007227.10864982</v>
      </c>
      <c r="G16" s="623"/>
      <c r="H16" s="623"/>
    </row>
    <row r="17" spans="1:8" s="194" customFormat="1">
      <c r="A17" s="203" t="s">
        <v>369</v>
      </c>
      <c r="B17" s="191" t="s">
        <v>407</v>
      </c>
      <c r="C17" s="213">
        <v>0.14265665476126524</v>
      </c>
      <c r="D17" s="628">
        <f>C17*'5. RWA'!$C$13</f>
        <v>247307660.00963584</v>
      </c>
      <c r="G17" s="623"/>
      <c r="H17" s="623"/>
    </row>
    <row r="18" spans="1:8" s="29" customFormat="1">
      <c r="A18" s="775" t="s">
        <v>408</v>
      </c>
      <c r="B18" s="776"/>
      <c r="C18" s="215" t="s">
        <v>348</v>
      </c>
      <c r="D18" s="629" t="s">
        <v>349</v>
      </c>
      <c r="F18" s="194"/>
      <c r="G18" s="623"/>
      <c r="H18" s="623"/>
    </row>
    <row r="19" spans="1:8" s="194" customFormat="1">
      <c r="A19" s="192">
        <v>4</v>
      </c>
      <c r="B19" s="191" t="s">
        <v>22</v>
      </c>
      <c r="C19" s="213">
        <f>C7+C11+C12+C13+C15</f>
        <v>0.17268124741271648</v>
      </c>
      <c r="D19" s="626">
        <f>C19*'5. RWA'!$C$13</f>
        <v>299357890.43035555</v>
      </c>
      <c r="G19" s="623"/>
      <c r="H19" s="623"/>
    </row>
    <row r="20" spans="1:8" s="194" customFormat="1">
      <c r="A20" s="192">
        <v>5</v>
      </c>
      <c r="B20" s="191" t="s">
        <v>75</v>
      </c>
      <c r="C20" s="213">
        <f>C8+C11+C12+C13+C16</f>
        <v>0.20710244604049888</v>
      </c>
      <c r="D20" s="626">
        <f>C20*'5. RWA'!$C$13</f>
        <v>359030017.90039587</v>
      </c>
      <c r="G20" s="623"/>
      <c r="H20" s="623"/>
    </row>
    <row r="21" spans="1:8" s="194" customFormat="1" ht="13.5" thickBot="1">
      <c r="A21" s="196" t="s">
        <v>365</v>
      </c>
      <c r="B21" s="197" t="s">
        <v>74</v>
      </c>
      <c r="C21" s="216">
        <f>C9+C11+C12+C13+C17</f>
        <v>0.25265665476126525</v>
      </c>
      <c r="D21" s="630">
        <f>C21*'5. RWA'!$C$13</f>
        <v>438002182.08843654</v>
      </c>
      <c r="G21" s="623"/>
      <c r="H21" s="623"/>
    </row>
    <row r="23" spans="1:8">
      <c r="B23" s="17"/>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80" zoomScaleNormal="80" workbookViewId="0"/>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499" t="s">
        <v>97</v>
      </c>
      <c r="B1" s="12" t="str">
        <f>Info!C2</f>
        <v>სს "ბანკი ქართუ"</v>
      </c>
    </row>
    <row r="2" spans="1:2">
      <c r="A2" s="499" t="s">
        <v>98</v>
      </c>
      <c r="B2" s="585">
        <f>'1. key ratios'!B2</f>
        <v>45747</v>
      </c>
    </row>
    <row r="3" spans="1:2">
      <c r="A3" s="500" t="s">
        <v>947</v>
      </c>
      <c r="B3" s="495" t="s">
        <v>918</v>
      </c>
    </row>
    <row r="4" spans="1:2" ht="15.75" thickBot="1"/>
    <row r="5" spans="1:2">
      <c r="A5" s="505"/>
      <c r="B5" s="506" t="s">
        <v>919</v>
      </c>
    </row>
    <row r="6" spans="1:2">
      <c r="A6" s="501" t="s">
        <v>920</v>
      </c>
      <c r="B6" s="507">
        <f>SUM(B7,B11)</f>
        <v>509087010.88888454</v>
      </c>
    </row>
    <row r="7" spans="1:2">
      <c r="A7" s="501" t="s">
        <v>953</v>
      </c>
      <c r="B7" s="507">
        <f>SUM(B8:B10)</f>
        <v>509087010.88888454</v>
      </c>
    </row>
    <row r="8" spans="1:2">
      <c r="A8" s="502" t="s">
        <v>921</v>
      </c>
      <c r="B8" s="508">
        <f>'9. Capital'!C29</f>
        <v>418319570.88888454</v>
      </c>
    </row>
    <row r="9" spans="1:2">
      <c r="A9" s="502" t="s">
        <v>922</v>
      </c>
      <c r="B9" s="508">
        <f>'9. Capital'!C42</f>
        <v>74717100</v>
      </c>
    </row>
    <row r="10" spans="1:2">
      <c r="A10" s="502" t="s">
        <v>923</v>
      </c>
      <c r="B10" s="508">
        <f>'9. Capital'!C53</f>
        <v>16050340</v>
      </c>
    </row>
    <row r="11" spans="1:2">
      <c r="A11" s="501" t="s">
        <v>924</v>
      </c>
      <c r="B11" s="507">
        <f>SUM(B12:B13)</f>
        <v>0</v>
      </c>
    </row>
    <row r="12" spans="1:2">
      <c r="A12" s="502" t="s">
        <v>954</v>
      </c>
      <c r="B12" s="508"/>
    </row>
    <row r="13" spans="1:2">
      <c r="A13" s="502" t="s">
        <v>955</v>
      </c>
      <c r="B13" s="508"/>
    </row>
    <row r="14" spans="1:2">
      <c r="A14" s="501" t="s">
        <v>925</v>
      </c>
      <c r="B14" s="507">
        <f>SUM(B15:B16)</f>
        <v>509087010.88888454</v>
      </c>
    </row>
    <row r="15" spans="1:2">
      <c r="A15" s="503" t="s">
        <v>926</v>
      </c>
      <c r="B15" s="508"/>
    </row>
    <row r="16" spans="1:2">
      <c r="A16" s="503" t="s">
        <v>74</v>
      </c>
      <c r="B16" s="508">
        <f>B7</f>
        <v>509087010.88888454</v>
      </c>
    </row>
    <row r="17" spans="1:5">
      <c r="A17" s="501" t="s">
        <v>927</v>
      </c>
      <c r="B17" s="507"/>
    </row>
    <row r="18" spans="1:5">
      <c r="A18" s="503" t="s">
        <v>928</v>
      </c>
      <c r="B18" s="508">
        <f>'5. RWA'!C13</f>
        <v>1733586564.3527336</v>
      </c>
    </row>
    <row r="19" spans="1:5">
      <c r="A19" s="503" t="s">
        <v>929</v>
      </c>
      <c r="B19" s="508">
        <f>'15.1. LR'!C36</f>
        <v>0</v>
      </c>
    </row>
    <row r="20" spans="1:5">
      <c r="A20" s="501" t="s">
        <v>930</v>
      </c>
      <c r="B20" s="507"/>
    </row>
    <row r="21" spans="1:5">
      <c r="A21" s="504" t="s">
        <v>931</v>
      </c>
      <c r="B21" s="509">
        <f>IFERROR(B6/B18,0)</f>
        <v>0.29366114237217888</v>
      </c>
    </row>
    <row r="22" spans="1:5">
      <c r="A22" s="504" t="s">
        <v>932</v>
      </c>
      <c r="B22" s="509">
        <f>IFERROR(B6/B19,0)</f>
        <v>0</v>
      </c>
    </row>
    <row r="23" spans="1:5" ht="15.75" thickBot="1">
      <c r="A23" s="510" t="s">
        <v>933</v>
      </c>
      <c r="B23" s="511">
        <f>IFERROR(B6/B14,0)</f>
        <v>1</v>
      </c>
    </row>
    <row r="24" spans="1:5" ht="16.5" customHeight="1">
      <c r="A24" s="498" t="s">
        <v>956</v>
      </c>
      <c r="B24" s="496"/>
      <c r="C24" s="496"/>
      <c r="D24" s="496"/>
      <c r="E24" s="496"/>
    </row>
    <row r="25" spans="1:5" ht="25.5" customHeight="1">
      <c r="A25" s="498" t="s">
        <v>957</v>
      </c>
    </row>
    <row r="26" spans="1:5" ht="57" customHeight="1">
      <c r="A26" s="498" t="s">
        <v>958</v>
      </c>
    </row>
    <row r="27" spans="1:5">
      <c r="A27" s="497"/>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80" zoomScaleNormal="80" workbookViewId="0"/>
  </sheetViews>
  <sheetFormatPr defaultRowHeight="15"/>
  <cols>
    <col min="1" max="1" width="82" customWidth="1"/>
    <col min="2" max="2" width="28.140625" bestFit="1" customWidth="1"/>
    <col min="3" max="6" width="28.140625" customWidth="1"/>
  </cols>
  <sheetData>
    <row r="1" spans="1:6">
      <c r="A1" s="499" t="s">
        <v>97</v>
      </c>
      <c r="B1" s="12" t="str">
        <f>Info!C2</f>
        <v>სს "ბანკი ქართუ"</v>
      </c>
      <c r="C1" s="1"/>
    </row>
    <row r="2" spans="1:6">
      <c r="A2" s="499" t="s">
        <v>98</v>
      </c>
      <c r="B2" s="585">
        <f>'1. key ratios'!B2</f>
        <v>45747</v>
      </c>
      <c r="C2" s="1"/>
    </row>
    <row r="3" spans="1:6">
      <c r="A3" s="500" t="s">
        <v>948</v>
      </c>
      <c r="B3" s="495" t="s">
        <v>918</v>
      </c>
      <c r="C3" s="1"/>
    </row>
    <row r="5" spans="1:6">
      <c r="A5" s="497"/>
    </row>
    <row r="6" spans="1:6" ht="15.75" thickBot="1">
      <c r="A6" s="512"/>
      <c r="B6" s="512"/>
      <c r="C6" s="512"/>
      <c r="D6" s="512"/>
      <c r="E6" s="512"/>
      <c r="F6" s="512"/>
    </row>
    <row r="7" spans="1:6">
      <c r="A7" s="777"/>
      <c r="B7" s="779" t="s">
        <v>934</v>
      </c>
      <c r="C7" s="779"/>
      <c r="D7" s="779"/>
      <c r="E7" s="779"/>
      <c r="F7" s="780" t="s">
        <v>935</v>
      </c>
    </row>
    <row r="8" spans="1:6" ht="25.5">
      <c r="A8" s="778"/>
      <c r="B8" s="513" t="s">
        <v>936</v>
      </c>
      <c r="C8" s="513" t="s">
        <v>937</v>
      </c>
      <c r="D8" s="513" t="s">
        <v>938</v>
      </c>
      <c r="E8" s="513" t="s">
        <v>939</v>
      </c>
      <c r="F8" s="781"/>
    </row>
    <row r="9" spans="1:6">
      <c r="A9" s="514" t="s">
        <v>940</v>
      </c>
      <c r="B9" s="515">
        <f>B13+B17</f>
        <v>0</v>
      </c>
      <c r="C9" s="515">
        <f t="shared" ref="C9:E9" si="0">C13+C17</f>
        <v>0</v>
      </c>
      <c r="D9" s="515">
        <f t="shared" si="0"/>
        <v>0</v>
      </c>
      <c r="E9" s="515">
        <f t="shared" si="0"/>
        <v>0</v>
      </c>
      <c r="F9" s="516">
        <f>F13+F17</f>
        <v>0</v>
      </c>
    </row>
    <row r="10" spans="1:6">
      <c r="A10" s="517" t="s">
        <v>941</v>
      </c>
      <c r="B10" s="518">
        <f t="shared" ref="B10:E12" si="1">B14+B18</f>
        <v>0</v>
      </c>
      <c r="C10" s="518">
        <f t="shared" si="1"/>
        <v>0</v>
      </c>
      <c r="D10" s="518">
        <f t="shared" si="1"/>
        <v>0</v>
      </c>
      <c r="E10" s="518">
        <f t="shared" si="1"/>
        <v>0</v>
      </c>
      <c r="F10" s="516">
        <f>SUM(B10:E10)</f>
        <v>0</v>
      </c>
    </row>
    <row r="11" spans="1:6">
      <c r="A11" s="517" t="s">
        <v>942</v>
      </c>
      <c r="B11" s="518">
        <f t="shared" si="1"/>
        <v>0</v>
      </c>
      <c r="C11" s="518">
        <f t="shared" si="1"/>
        <v>0</v>
      </c>
      <c r="D11" s="518">
        <f t="shared" si="1"/>
        <v>0</v>
      </c>
      <c r="E11" s="518">
        <f t="shared" si="1"/>
        <v>0</v>
      </c>
      <c r="F11" s="516">
        <f t="shared" ref="F11:F12" si="2">SUM(B11:E11)</f>
        <v>0</v>
      </c>
    </row>
    <row r="12" spans="1:6">
      <c r="A12" s="519" t="s">
        <v>943</v>
      </c>
      <c r="B12" s="518">
        <f t="shared" si="1"/>
        <v>0</v>
      </c>
      <c r="C12" s="518">
        <f t="shared" si="1"/>
        <v>0</v>
      </c>
      <c r="D12" s="518">
        <f t="shared" si="1"/>
        <v>0</v>
      </c>
      <c r="E12" s="518">
        <f t="shared" si="1"/>
        <v>0</v>
      </c>
      <c r="F12" s="516">
        <f t="shared" si="2"/>
        <v>0</v>
      </c>
    </row>
    <row r="13" spans="1:6">
      <c r="A13" s="520" t="s">
        <v>944</v>
      </c>
      <c r="B13" s="521"/>
      <c r="C13" s="521"/>
      <c r="D13" s="521"/>
      <c r="E13" s="521"/>
      <c r="F13" s="522"/>
    </row>
    <row r="14" spans="1:6">
      <c r="A14" s="517" t="s">
        <v>941</v>
      </c>
      <c r="B14" s="523"/>
      <c r="C14" s="523"/>
      <c r="D14" s="523"/>
      <c r="E14" s="523"/>
      <c r="F14" s="524"/>
    </row>
    <row r="15" spans="1:6">
      <c r="A15" s="517" t="s">
        <v>942</v>
      </c>
      <c r="B15" s="523"/>
      <c r="C15" s="523"/>
      <c r="D15" s="523"/>
      <c r="E15" s="523"/>
      <c r="F15" s="524"/>
    </row>
    <row r="16" spans="1:6">
      <c r="A16" s="519" t="s">
        <v>943</v>
      </c>
      <c r="B16" s="523"/>
      <c r="C16" s="523"/>
      <c r="D16" s="523"/>
      <c r="E16" s="523"/>
      <c r="F16" s="524"/>
    </row>
    <row r="17" spans="1:6">
      <c r="A17" s="520" t="s">
        <v>924</v>
      </c>
      <c r="B17" s="521"/>
      <c r="C17" s="521"/>
      <c r="D17" s="521"/>
      <c r="E17" s="521"/>
      <c r="F17" s="524"/>
    </row>
    <row r="18" spans="1:6">
      <c r="A18" s="517" t="s">
        <v>941</v>
      </c>
      <c r="B18" s="523"/>
      <c r="C18" s="523"/>
      <c r="D18" s="523"/>
      <c r="E18" s="523"/>
      <c r="F18" s="524"/>
    </row>
    <row r="19" spans="1:6">
      <c r="A19" s="517" t="s">
        <v>942</v>
      </c>
      <c r="B19" s="523"/>
      <c r="C19" s="523"/>
      <c r="D19" s="523"/>
      <c r="E19" s="523"/>
      <c r="F19" s="524"/>
    </row>
    <row r="20" spans="1:6" ht="15.75" thickBot="1">
      <c r="A20" s="525" t="s">
        <v>943</v>
      </c>
      <c r="B20" s="526"/>
      <c r="C20" s="526"/>
      <c r="D20" s="526"/>
      <c r="E20" s="526"/>
      <c r="F20" s="527"/>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H68"/>
  <sheetViews>
    <sheetView showGridLines="0" zoomScale="80" zoomScaleNormal="80" workbookViewId="0">
      <pane xSplit="1" ySplit="5" topLeftCell="B6" activePane="bottomRight" state="frozen"/>
      <selection pane="topRight" activeCell="B1" sqref="B1"/>
      <selection pane="bottomLeft" activeCell="A5" sqref="A5"/>
      <selection pane="bottomRight"/>
    </sheetView>
  </sheetViews>
  <sheetFormatPr defaultRowHeight="15.75"/>
  <cols>
    <col min="1" max="1" width="10.85546875" style="30" customWidth="1"/>
    <col min="2" max="2" width="91.85546875" style="30" customWidth="1"/>
    <col min="3" max="3" width="53.140625" style="631" customWidth="1"/>
    <col min="4" max="4" width="32.140625" style="30" customWidth="1"/>
    <col min="5" max="5" width="9.42578125" customWidth="1"/>
    <col min="8" max="8" width="17" bestFit="1" customWidth="1"/>
  </cols>
  <sheetData>
    <row r="1" spans="1:8">
      <c r="A1" s="13" t="s">
        <v>97</v>
      </c>
      <c r="B1" s="14" t="str">
        <f>Info!C2</f>
        <v>სს "ბანკი ქართუ"</v>
      </c>
      <c r="E1" s="1"/>
      <c r="F1" s="1"/>
    </row>
    <row r="2" spans="1:8" s="13" customFormat="1" ht="15.75" customHeight="1">
      <c r="A2" s="13" t="s">
        <v>98</v>
      </c>
      <c r="B2" s="585">
        <f>'1. key ratios'!B2</f>
        <v>45747</v>
      </c>
      <c r="C2" s="614"/>
    </row>
    <row r="3" spans="1:8" s="13" customFormat="1" ht="15.75" customHeight="1">
      <c r="A3" s="19"/>
      <c r="C3" s="614"/>
    </row>
    <row r="4" spans="1:8" s="13" customFormat="1" ht="15.75" customHeight="1" thickBot="1">
      <c r="A4" s="13" t="s">
        <v>247</v>
      </c>
      <c r="B4" s="104" t="s">
        <v>161</v>
      </c>
      <c r="C4" s="614"/>
      <c r="D4" s="106" t="s">
        <v>76</v>
      </c>
    </row>
    <row r="5" spans="1:8" ht="25.5">
      <c r="A5" s="71" t="s">
        <v>25</v>
      </c>
      <c r="B5" s="72" t="s">
        <v>133</v>
      </c>
      <c r="C5" s="632" t="s">
        <v>826</v>
      </c>
      <c r="D5" s="105" t="s">
        <v>162</v>
      </c>
    </row>
    <row r="6" spans="1:8">
      <c r="A6" s="352">
        <v>1</v>
      </c>
      <c r="B6" s="315" t="s">
        <v>811</v>
      </c>
      <c r="C6" s="633">
        <f>SUM(C7:C9)</f>
        <v>614885522.81033564</v>
      </c>
      <c r="D6" s="66"/>
      <c r="E6" s="4"/>
      <c r="H6" s="593"/>
    </row>
    <row r="7" spans="1:8">
      <c r="A7" s="352">
        <v>1.1000000000000001</v>
      </c>
      <c r="B7" s="316" t="s">
        <v>85</v>
      </c>
      <c r="C7" s="634">
        <v>46297032.326199993</v>
      </c>
      <c r="D7" s="67"/>
      <c r="E7" s="4"/>
      <c r="H7" s="593"/>
    </row>
    <row r="8" spans="1:8">
      <c r="A8" s="352">
        <v>1.2</v>
      </c>
      <c r="B8" s="316" t="s">
        <v>86</v>
      </c>
      <c r="C8" s="634">
        <v>284804637.23051971</v>
      </c>
      <c r="D8" s="67"/>
      <c r="E8" s="4"/>
      <c r="H8" s="593"/>
    </row>
    <row r="9" spans="1:8">
      <c r="A9" s="352">
        <v>1.3</v>
      </c>
      <c r="B9" s="316" t="s">
        <v>87</v>
      </c>
      <c r="C9" s="634">
        <v>283783853.25361586</v>
      </c>
      <c r="D9" s="67"/>
      <c r="E9" s="4"/>
      <c r="H9" s="593"/>
    </row>
    <row r="10" spans="1:8">
      <c r="A10" s="352">
        <v>2</v>
      </c>
      <c r="B10" s="317" t="s">
        <v>698</v>
      </c>
      <c r="C10" s="634">
        <v>0</v>
      </c>
      <c r="D10" s="67"/>
      <c r="E10" s="4"/>
      <c r="H10" s="593"/>
    </row>
    <row r="11" spans="1:8">
      <c r="A11" s="352">
        <v>2.1</v>
      </c>
      <c r="B11" s="318" t="s">
        <v>699</v>
      </c>
      <c r="C11" s="634">
        <v>0</v>
      </c>
      <c r="D11" s="68"/>
      <c r="E11" s="5"/>
      <c r="H11" s="593"/>
    </row>
    <row r="12" spans="1:8" ht="23.45" customHeight="1">
      <c r="A12" s="352">
        <v>3</v>
      </c>
      <c r="B12" s="319" t="s">
        <v>700</v>
      </c>
      <c r="C12" s="634">
        <v>0</v>
      </c>
      <c r="D12" s="68"/>
      <c r="E12" s="5"/>
      <c r="H12" s="593"/>
    </row>
    <row r="13" spans="1:8" ht="23.1" customHeight="1">
      <c r="A13" s="352">
        <v>4</v>
      </c>
      <c r="B13" s="320" t="s">
        <v>701</v>
      </c>
      <c r="C13" s="634">
        <v>0</v>
      </c>
      <c r="D13" s="68"/>
      <c r="E13" s="5"/>
      <c r="H13" s="593"/>
    </row>
    <row r="14" spans="1:8">
      <c r="A14" s="352">
        <v>5</v>
      </c>
      <c r="B14" s="320" t="s">
        <v>702</v>
      </c>
      <c r="C14" s="635">
        <f>SUM(C15:C17)</f>
        <v>7408054.2999999998</v>
      </c>
      <c r="D14" s="68"/>
      <c r="E14" s="5"/>
      <c r="H14" s="593"/>
    </row>
    <row r="15" spans="1:8">
      <c r="A15" s="352">
        <v>5.0999999999999996</v>
      </c>
      <c r="B15" s="321" t="s">
        <v>703</v>
      </c>
      <c r="C15" s="634">
        <v>175637.53</v>
      </c>
      <c r="D15" s="68"/>
      <c r="E15" s="4"/>
      <c r="H15" s="593"/>
    </row>
    <row r="16" spans="1:8">
      <c r="A16" s="352">
        <v>5.2</v>
      </c>
      <c r="B16" s="321" t="s">
        <v>538</v>
      </c>
      <c r="C16" s="634">
        <v>7232416.7699999996</v>
      </c>
      <c r="D16" s="67"/>
      <c r="E16" s="4"/>
      <c r="H16" s="593"/>
    </row>
    <row r="17" spans="1:8">
      <c r="A17" s="352">
        <v>5.3</v>
      </c>
      <c r="B17" s="321" t="s">
        <v>704</v>
      </c>
      <c r="C17" s="634">
        <v>0</v>
      </c>
      <c r="D17" s="67"/>
      <c r="E17" s="4"/>
      <c r="H17" s="593"/>
    </row>
    <row r="18" spans="1:8">
      <c r="A18" s="352">
        <v>6</v>
      </c>
      <c r="B18" s="319" t="s">
        <v>705</v>
      </c>
      <c r="C18" s="636">
        <f>SUM(C19:C20)</f>
        <v>1100414094.1733408</v>
      </c>
      <c r="D18" s="67"/>
      <c r="E18" s="4"/>
      <c r="H18" s="593"/>
    </row>
    <row r="19" spans="1:8">
      <c r="A19" s="352">
        <v>6.1</v>
      </c>
      <c r="B19" s="321" t="s">
        <v>538</v>
      </c>
      <c r="C19" s="634">
        <v>60336411.374246351</v>
      </c>
      <c r="D19" s="67"/>
      <c r="E19" s="4"/>
      <c r="H19" s="593"/>
    </row>
    <row r="20" spans="1:8">
      <c r="A20" s="352">
        <v>6.2</v>
      </c>
      <c r="B20" s="321" t="s">
        <v>704</v>
      </c>
      <c r="C20" s="634">
        <v>1040077682.7990946</v>
      </c>
      <c r="D20" s="67"/>
      <c r="E20" s="4"/>
      <c r="H20" s="593"/>
    </row>
    <row r="21" spans="1:8">
      <c r="A21" s="352">
        <v>7</v>
      </c>
      <c r="B21" s="322" t="s">
        <v>706</v>
      </c>
      <c r="C21" s="634">
        <v>9522300</v>
      </c>
      <c r="D21" s="67"/>
      <c r="E21" s="4"/>
      <c r="H21" s="593"/>
    </row>
    <row r="22" spans="1:8">
      <c r="A22" s="352">
        <v>8</v>
      </c>
      <c r="B22" s="323" t="s">
        <v>707</v>
      </c>
      <c r="C22" s="634">
        <v>0</v>
      </c>
      <c r="D22" s="67"/>
      <c r="E22" s="4"/>
      <c r="H22" s="593"/>
    </row>
    <row r="23" spans="1:8">
      <c r="A23" s="352">
        <v>9</v>
      </c>
      <c r="B23" s="320" t="s">
        <v>708</v>
      </c>
      <c r="C23" s="636">
        <f>SUM(C24:C25)</f>
        <v>22057337.192990594</v>
      </c>
      <c r="D23" s="372"/>
      <c r="E23" s="4"/>
      <c r="H23" s="593"/>
    </row>
    <row r="24" spans="1:8">
      <c r="A24" s="352">
        <v>9.1</v>
      </c>
      <c r="B24" s="324" t="s">
        <v>709</v>
      </c>
      <c r="C24" s="634">
        <v>22057337.192990594</v>
      </c>
      <c r="D24" s="69"/>
      <c r="E24" s="4"/>
      <c r="H24" s="593"/>
    </row>
    <row r="25" spans="1:8">
      <c r="A25" s="352">
        <v>9.1999999999999993</v>
      </c>
      <c r="B25" s="324" t="s">
        <v>710</v>
      </c>
      <c r="C25" s="634">
        <v>0</v>
      </c>
      <c r="D25" s="371"/>
      <c r="E25" s="3"/>
      <c r="H25" s="593"/>
    </row>
    <row r="26" spans="1:8">
      <c r="A26" s="352">
        <v>10</v>
      </c>
      <c r="B26" s="320" t="s">
        <v>36</v>
      </c>
      <c r="C26" s="637">
        <f>SUM(C27:C28)</f>
        <v>12350414.350000001</v>
      </c>
      <c r="D26" s="492" t="s">
        <v>902</v>
      </c>
      <c r="E26" s="4"/>
      <c r="H26" s="593"/>
    </row>
    <row r="27" spans="1:8">
      <c r="A27" s="352">
        <v>10.1</v>
      </c>
      <c r="B27" s="324" t="s">
        <v>711</v>
      </c>
      <c r="C27" s="634">
        <v>0</v>
      </c>
      <c r="D27" s="67"/>
      <c r="E27" s="4"/>
      <c r="H27" s="593"/>
    </row>
    <row r="28" spans="1:8">
      <c r="A28" s="352">
        <v>10.199999999999999</v>
      </c>
      <c r="B28" s="324" t="s">
        <v>712</v>
      </c>
      <c r="C28" s="634">
        <v>12350414.350000001</v>
      </c>
      <c r="D28" s="67"/>
      <c r="E28" s="4"/>
      <c r="H28" s="593"/>
    </row>
    <row r="29" spans="1:8">
      <c r="A29" s="352">
        <v>11</v>
      </c>
      <c r="B29" s="320" t="s">
        <v>713</v>
      </c>
      <c r="C29" s="636">
        <f>SUM(C30:C31)</f>
        <v>8513796.4670122191</v>
      </c>
      <c r="D29" s="67"/>
      <c r="E29" s="4"/>
      <c r="H29" s="593"/>
    </row>
    <row r="30" spans="1:8">
      <c r="A30" s="352">
        <v>11.1</v>
      </c>
      <c r="B30" s="324" t="s">
        <v>714</v>
      </c>
      <c r="C30" s="634">
        <v>8513796.4670122191</v>
      </c>
      <c r="D30" s="67"/>
      <c r="E30" s="4"/>
      <c r="H30" s="593"/>
    </row>
    <row r="31" spans="1:8">
      <c r="A31" s="352">
        <v>11.2</v>
      </c>
      <c r="B31" s="324" t="s">
        <v>715</v>
      </c>
      <c r="C31" s="634">
        <v>0</v>
      </c>
      <c r="D31" s="67"/>
      <c r="E31" s="4"/>
      <c r="H31" s="593"/>
    </row>
    <row r="32" spans="1:8">
      <c r="A32" s="352">
        <v>13</v>
      </c>
      <c r="B32" s="320" t="s">
        <v>88</v>
      </c>
      <c r="C32" s="634">
        <v>46888607.682966106</v>
      </c>
      <c r="D32" s="67"/>
      <c r="E32" s="4"/>
      <c r="H32" s="593"/>
    </row>
    <row r="33" spans="1:8">
      <c r="A33" s="352">
        <v>13.1</v>
      </c>
      <c r="B33" s="325" t="s">
        <v>716</v>
      </c>
      <c r="C33" s="634">
        <v>45010351.173766114</v>
      </c>
      <c r="D33" s="67"/>
      <c r="E33" s="4"/>
      <c r="H33" s="593"/>
    </row>
    <row r="34" spans="1:8">
      <c r="A34" s="352">
        <v>13.2</v>
      </c>
      <c r="B34" s="325" t="s">
        <v>717</v>
      </c>
      <c r="C34" s="634">
        <v>0</v>
      </c>
      <c r="D34" s="69"/>
      <c r="E34" s="4"/>
      <c r="H34" s="593"/>
    </row>
    <row r="35" spans="1:8">
      <c r="A35" s="352">
        <v>14</v>
      </c>
      <c r="B35" s="326" t="s">
        <v>718</v>
      </c>
      <c r="C35" s="638">
        <f>SUM(C6,C10,C12,C13,C14,C18,C21,C22,C23,C26,C29,C32)</f>
        <v>1822040126.976645</v>
      </c>
      <c r="D35" s="69"/>
      <c r="E35" s="4"/>
      <c r="H35" s="593"/>
    </row>
    <row r="36" spans="1:8">
      <c r="A36" s="352"/>
      <c r="B36" s="327" t="s">
        <v>93</v>
      </c>
      <c r="C36" s="634"/>
      <c r="D36" s="70"/>
      <c r="E36" s="4"/>
      <c r="H36" s="593"/>
    </row>
    <row r="37" spans="1:8">
      <c r="A37" s="352">
        <v>15</v>
      </c>
      <c r="B37" s="328" t="s">
        <v>719</v>
      </c>
      <c r="C37" s="634">
        <v>0</v>
      </c>
      <c r="D37" s="371"/>
      <c r="E37" s="3"/>
      <c r="H37" s="593"/>
    </row>
    <row r="38" spans="1:8">
      <c r="A38" s="352">
        <v>15.1</v>
      </c>
      <c r="B38" s="329" t="s">
        <v>699</v>
      </c>
      <c r="C38" s="634">
        <v>0</v>
      </c>
      <c r="D38" s="67"/>
      <c r="E38" s="4"/>
      <c r="H38" s="593"/>
    </row>
    <row r="39" spans="1:8" ht="21">
      <c r="A39" s="352">
        <v>16</v>
      </c>
      <c r="B39" s="322" t="s">
        <v>720</v>
      </c>
      <c r="C39" s="634">
        <v>0</v>
      </c>
      <c r="D39" s="67"/>
      <c r="E39" s="4"/>
      <c r="H39" s="593"/>
    </row>
    <row r="40" spans="1:8">
      <c r="A40" s="352">
        <v>17</v>
      </c>
      <c r="B40" s="322" t="s">
        <v>721</v>
      </c>
      <c r="C40" s="636">
        <f>SUM(C41:C44)</f>
        <v>1278952037.302727</v>
      </c>
      <c r="D40" s="67"/>
      <c r="E40" s="4"/>
      <c r="H40" s="593"/>
    </row>
    <row r="41" spans="1:8">
      <c r="A41" s="352">
        <v>17.100000000000001</v>
      </c>
      <c r="B41" s="330" t="s">
        <v>722</v>
      </c>
      <c r="C41" s="634">
        <v>1269315369.4386001</v>
      </c>
      <c r="D41" s="67"/>
      <c r="E41" s="4"/>
      <c r="H41" s="593"/>
    </row>
    <row r="42" spans="1:8">
      <c r="A42" s="365">
        <v>17.2</v>
      </c>
      <c r="B42" s="366" t="s">
        <v>89</v>
      </c>
      <c r="C42" s="634">
        <v>0</v>
      </c>
      <c r="D42" s="69"/>
      <c r="E42" s="4"/>
      <c r="H42" s="593"/>
    </row>
    <row r="43" spans="1:8">
      <c r="A43" s="352">
        <v>17.3</v>
      </c>
      <c r="B43" s="367" t="s">
        <v>723</v>
      </c>
      <c r="C43" s="634">
        <v>0</v>
      </c>
      <c r="D43" s="723"/>
      <c r="E43" s="4"/>
      <c r="H43" s="593"/>
    </row>
    <row r="44" spans="1:8">
      <c r="A44" s="352">
        <v>17.399999999999999</v>
      </c>
      <c r="B44" s="367" t="s">
        <v>724</v>
      </c>
      <c r="C44" s="634">
        <v>9636667.8641270045</v>
      </c>
      <c r="D44" s="723"/>
      <c r="E44" s="4"/>
      <c r="H44" s="593"/>
    </row>
    <row r="45" spans="1:8">
      <c r="A45" s="352">
        <v>18</v>
      </c>
      <c r="B45" s="338" t="s">
        <v>725</v>
      </c>
      <c r="C45" s="634">
        <v>494803.57085730316</v>
      </c>
      <c r="D45" s="723"/>
      <c r="E45" s="3"/>
      <c r="H45" s="593"/>
    </row>
    <row r="46" spans="1:8">
      <c r="A46" s="352">
        <v>19</v>
      </c>
      <c r="B46" s="338" t="s">
        <v>726</v>
      </c>
      <c r="C46" s="639">
        <f>SUM(C47:C48)</f>
        <v>2580677.1735710576</v>
      </c>
      <c r="D46" s="724"/>
      <c r="H46" s="593"/>
    </row>
    <row r="47" spans="1:8">
      <c r="A47" s="352">
        <v>19.100000000000001</v>
      </c>
      <c r="B47" s="368" t="s">
        <v>727</v>
      </c>
      <c r="C47" s="634">
        <v>0</v>
      </c>
      <c r="D47" s="724"/>
      <c r="H47" s="593"/>
    </row>
    <row r="48" spans="1:8">
      <c r="A48" s="352">
        <v>19.2</v>
      </c>
      <c r="B48" s="368" t="s">
        <v>728</v>
      </c>
      <c r="C48" s="634">
        <v>2580677.1735710576</v>
      </c>
      <c r="D48" s="724"/>
      <c r="H48" s="593"/>
    </row>
    <row r="49" spans="1:8">
      <c r="A49" s="352">
        <v>20</v>
      </c>
      <c r="B49" s="334" t="s">
        <v>90</v>
      </c>
      <c r="C49" s="634">
        <v>84096865.765199766</v>
      </c>
      <c r="D49" s="492" t="s">
        <v>1025</v>
      </c>
      <c r="H49" s="593"/>
    </row>
    <row r="50" spans="1:8">
      <c r="A50" s="352">
        <v>21</v>
      </c>
      <c r="B50" s="335" t="s">
        <v>78</v>
      </c>
      <c r="C50" s="634">
        <v>1378456.5766999996</v>
      </c>
      <c r="D50" s="724"/>
      <c r="H50" s="593"/>
    </row>
    <row r="51" spans="1:8">
      <c r="A51" s="352">
        <v>21.1</v>
      </c>
      <c r="B51" s="331" t="s">
        <v>729</v>
      </c>
      <c r="C51" s="634">
        <v>0</v>
      </c>
      <c r="D51" s="724"/>
      <c r="H51" s="593"/>
    </row>
    <row r="52" spans="1:8">
      <c r="A52" s="352">
        <v>22</v>
      </c>
      <c r="B52" s="334" t="s">
        <v>730</v>
      </c>
      <c r="C52" s="639">
        <f>SUM(C37,C39,C40,C45,C46,C49,C50)</f>
        <v>1367502840.389055</v>
      </c>
      <c r="D52" s="724"/>
      <c r="H52" s="593"/>
    </row>
    <row r="53" spans="1:8">
      <c r="A53" s="352"/>
      <c r="B53" s="336" t="s">
        <v>731</v>
      </c>
      <c r="C53" s="640"/>
      <c r="D53" s="724"/>
      <c r="H53" s="593"/>
    </row>
    <row r="54" spans="1:8">
      <c r="A54" s="352">
        <v>23</v>
      </c>
      <c r="B54" s="334" t="s">
        <v>94</v>
      </c>
      <c r="C54" s="634">
        <v>114430000</v>
      </c>
      <c r="D54" s="492" t="s">
        <v>1026</v>
      </c>
      <c r="H54" s="593"/>
    </row>
    <row r="55" spans="1:8">
      <c r="A55" s="352">
        <v>24</v>
      </c>
      <c r="B55" s="334" t="s">
        <v>732</v>
      </c>
      <c r="C55" s="634">
        <v>0</v>
      </c>
      <c r="D55" s="724"/>
      <c r="H55" s="593"/>
    </row>
    <row r="56" spans="1:8">
      <c r="A56" s="352">
        <v>25</v>
      </c>
      <c r="B56" s="334" t="s">
        <v>91</v>
      </c>
      <c r="C56" s="634">
        <v>0</v>
      </c>
      <c r="D56" s="724"/>
      <c r="H56" s="593"/>
    </row>
    <row r="57" spans="1:8">
      <c r="A57" s="352">
        <v>26</v>
      </c>
      <c r="B57" s="338" t="s">
        <v>733</v>
      </c>
      <c r="C57" s="634">
        <v>0</v>
      </c>
      <c r="D57" s="724"/>
      <c r="H57" s="593"/>
    </row>
    <row r="58" spans="1:8">
      <c r="A58" s="352">
        <v>27</v>
      </c>
      <c r="B58" s="338" t="s">
        <v>734</v>
      </c>
      <c r="C58" s="641">
        <f>SUM(C59:C60)</f>
        <v>23845347.84</v>
      </c>
      <c r="D58" s="724"/>
      <c r="H58" s="593"/>
    </row>
    <row r="59" spans="1:8">
      <c r="A59" s="352">
        <v>27.1</v>
      </c>
      <c r="B59" s="368" t="s">
        <v>735</v>
      </c>
      <c r="C59" s="634">
        <v>23845347.84</v>
      </c>
      <c r="D59" s="492" t="s">
        <v>1027</v>
      </c>
      <c r="H59" s="593"/>
    </row>
    <row r="60" spans="1:8">
      <c r="A60" s="352">
        <v>27.2</v>
      </c>
      <c r="B60" s="367" t="s">
        <v>736</v>
      </c>
      <c r="C60" s="634">
        <v>0</v>
      </c>
      <c r="D60" s="724"/>
      <c r="H60" s="593"/>
    </row>
    <row r="61" spans="1:8">
      <c r="A61" s="352">
        <v>28</v>
      </c>
      <c r="B61" s="335" t="s">
        <v>737</v>
      </c>
      <c r="C61" s="634">
        <v>0</v>
      </c>
      <c r="D61" s="724"/>
      <c r="H61" s="593"/>
    </row>
    <row r="62" spans="1:8">
      <c r="A62" s="352">
        <v>29</v>
      </c>
      <c r="B62" s="338" t="s">
        <v>738</v>
      </c>
      <c r="C62" s="641">
        <f>SUM(C63:C65)</f>
        <v>21959.87840556982</v>
      </c>
      <c r="D62" s="724"/>
      <c r="H62" s="593"/>
    </row>
    <row r="63" spans="1:8">
      <c r="A63" s="352">
        <v>29.1</v>
      </c>
      <c r="B63" s="369" t="s">
        <v>739</v>
      </c>
      <c r="C63" s="634">
        <v>0</v>
      </c>
      <c r="D63" s="724"/>
      <c r="H63" s="593"/>
    </row>
    <row r="64" spans="1:8" ht="24" customHeight="1">
      <c r="A64" s="352">
        <v>29.2</v>
      </c>
      <c r="B64" s="368" t="s">
        <v>740</v>
      </c>
      <c r="C64" s="634">
        <v>0</v>
      </c>
      <c r="D64" s="724"/>
      <c r="H64" s="593"/>
    </row>
    <row r="65" spans="1:8" ht="21.95" customHeight="1">
      <c r="A65" s="352">
        <v>29.3</v>
      </c>
      <c r="B65" s="370" t="s">
        <v>741</v>
      </c>
      <c r="C65" s="634">
        <v>21959.87840556982</v>
      </c>
      <c r="D65" s="492" t="s">
        <v>1030</v>
      </c>
      <c r="H65" s="593"/>
    </row>
    <row r="66" spans="1:8">
      <c r="A66" s="352">
        <v>30</v>
      </c>
      <c r="B66" s="338" t="s">
        <v>92</v>
      </c>
      <c r="C66" s="634">
        <v>316239985.23888457</v>
      </c>
      <c r="D66" s="492" t="s">
        <v>1028</v>
      </c>
      <c r="H66" s="593"/>
    </row>
    <row r="67" spans="1:8">
      <c r="A67" s="352">
        <v>31</v>
      </c>
      <c r="B67" s="337" t="s">
        <v>742</v>
      </c>
      <c r="C67" s="641">
        <f>SUM(C54,C55,C56,C57,C58,C61,C62,C66)</f>
        <v>454537292.95729017</v>
      </c>
      <c r="D67" s="724"/>
      <c r="H67" s="593"/>
    </row>
    <row r="68" spans="1:8" ht="16.5" thickBot="1">
      <c r="A68" s="725">
        <v>32</v>
      </c>
      <c r="B68" s="726" t="s">
        <v>743</v>
      </c>
      <c r="C68" s="727">
        <f>SUM(C52,C67)</f>
        <v>1822040133.3463452</v>
      </c>
      <c r="D68" s="728"/>
      <c r="H68" s="593"/>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22"/>
  <sheetViews>
    <sheetView showGridLines="0" zoomScale="80" zoomScaleNormal="80" workbookViewId="0">
      <pane xSplit="2" ySplit="7" topLeftCell="C8" activePane="bottomRight" state="frozen"/>
      <selection pane="topRight" activeCell="C1" sqref="C1"/>
      <selection pane="bottomLeft" activeCell="A8" sqref="A8"/>
      <selection pane="bottomRight"/>
    </sheetView>
  </sheetViews>
  <sheetFormatPr defaultColWidth="9.140625" defaultRowHeight="12.75"/>
  <cols>
    <col min="1" max="1" width="10.5703125" style="1" bestFit="1" customWidth="1"/>
    <col min="2" max="2" width="97" style="1" bestFit="1" customWidth="1"/>
    <col min="3" max="3" width="15.42578125" style="592" bestFit="1" customWidth="1"/>
    <col min="4" max="4" width="13.28515625" style="592" bestFit="1" customWidth="1"/>
    <col min="5" max="5" width="15.85546875" style="592" bestFit="1" customWidth="1"/>
    <col min="6" max="6" width="13.28515625" style="592" bestFit="1" customWidth="1"/>
    <col min="7" max="7" width="9.5703125" style="592" bestFit="1" customWidth="1"/>
    <col min="8" max="8" width="13.28515625" style="592" bestFit="1" customWidth="1"/>
    <col min="9" max="9" width="14.85546875" style="592" bestFit="1" customWidth="1"/>
    <col min="10" max="10" width="13.28515625" style="592" bestFit="1" customWidth="1"/>
    <col min="11" max="11" width="9.5703125" style="592" bestFit="1" customWidth="1"/>
    <col min="12" max="12" width="13.28515625" style="592" bestFit="1" customWidth="1"/>
    <col min="13" max="14" width="15.85546875" style="592" bestFit="1" customWidth="1"/>
    <col min="15" max="15" width="9.5703125" style="592" bestFit="1" customWidth="1"/>
    <col min="16" max="16" width="13.28515625" style="592" bestFit="1" customWidth="1"/>
    <col min="17" max="17" width="14.85546875" style="592" bestFit="1" customWidth="1"/>
    <col min="18" max="18" width="13.28515625" style="592" bestFit="1" customWidth="1"/>
    <col min="19" max="19" width="31.5703125" style="592" bestFit="1" customWidth="1"/>
    <col min="20" max="16384" width="9.140625" style="8"/>
  </cols>
  <sheetData>
    <row r="1" spans="1:19">
      <c r="A1" s="1" t="s">
        <v>97</v>
      </c>
      <c r="B1" s="1" t="str">
        <f>Info!C2</f>
        <v>სს "ბანკი ქართუ"</v>
      </c>
    </row>
    <row r="2" spans="1:19">
      <c r="A2" s="1" t="s">
        <v>98</v>
      </c>
      <c r="B2" s="585">
        <f>'1. key ratios'!B2</f>
        <v>45747</v>
      </c>
    </row>
    <row r="4" spans="1:19" ht="26.25" thickBot="1">
      <c r="A4" s="29" t="s">
        <v>248</v>
      </c>
      <c r="B4" s="143" t="s">
        <v>282</v>
      </c>
    </row>
    <row r="5" spans="1:19">
      <c r="A5" s="57"/>
      <c r="B5" s="59"/>
      <c r="C5" s="643" t="s">
        <v>0</v>
      </c>
      <c r="D5" s="643" t="s">
        <v>1</v>
      </c>
      <c r="E5" s="643" t="s">
        <v>2</v>
      </c>
      <c r="F5" s="643" t="s">
        <v>3</v>
      </c>
      <c r="G5" s="643" t="s">
        <v>4</v>
      </c>
      <c r="H5" s="643" t="s">
        <v>5</v>
      </c>
      <c r="I5" s="643" t="s">
        <v>134</v>
      </c>
      <c r="J5" s="643" t="s">
        <v>135</v>
      </c>
      <c r="K5" s="643" t="s">
        <v>136</v>
      </c>
      <c r="L5" s="643" t="s">
        <v>137</v>
      </c>
      <c r="M5" s="643" t="s">
        <v>138</v>
      </c>
      <c r="N5" s="643" t="s">
        <v>139</v>
      </c>
      <c r="O5" s="643" t="s">
        <v>269</v>
      </c>
      <c r="P5" s="643" t="s">
        <v>270</v>
      </c>
      <c r="Q5" s="643" t="s">
        <v>271</v>
      </c>
      <c r="R5" s="644" t="s">
        <v>272</v>
      </c>
      <c r="S5" s="645" t="s">
        <v>273</v>
      </c>
    </row>
    <row r="6" spans="1:19" ht="46.5" customHeight="1">
      <c r="A6" s="73"/>
      <c r="B6" s="786" t="s">
        <v>274</v>
      </c>
      <c r="C6" s="784">
        <v>0</v>
      </c>
      <c r="D6" s="785"/>
      <c r="E6" s="784">
        <v>0.2</v>
      </c>
      <c r="F6" s="785"/>
      <c r="G6" s="784">
        <v>0.35</v>
      </c>
      <c r="H6" s="785"/>
      <c r="I6" s="784">
        <v>0.5</v>
      </c>
      <c r="J6" s="785"/>
      <c r="K6" s="784">
        <v>0.75</v>
      </c>
      <c r="L6" s="785"/>
      <c r="M6" s="784">
        <v>1</v>
      </c>
      <c r="N6" s="785"/>
      <c r="O6" s="784">
        <v>1.5</v>
      </c>
      <c r="P6" s="785"/>
      <c r="Q6" s="784">
        <v>2.5</v>
      </c>
      <c r="R6" s="785"/>
      <c r="S6" s="782" t="s">
        <v>145</v>
      </c>
    </row>
    <row r="7" spans="1:19">
      <c r="A7" s="73"/>
      <c r="B7" s="787"/>
      <c r="C7" s="646" t="s">
        <v>267</v>
      </c>
      <c r="D7" s="646" t="s">
        <v>268</v>
      </c>
      <c r="E7" s="646" t="s">
        <v>267</v>
      </c>
      <c r="F7" s="646" t="s">
        <v>268</v>
      </c>
      <c r="G7" s="646" t="s">
        <v>267</v>
      </c>
      <c r="H7" s="646" t="s">
        <v>268</v>
      </c>
      <c r="I7" s="646" t="s">
        <v>267</v>
      </c>
      <c r="J7" s="646" t="s">
        <v>268</v>
      </c>
      <c r="K7" s="646" t="s">
        <v>267</v>
      </c>
      <c r="L7" s="646" t="s">
        <v>268</v>
      </c>
      <c r="M7" s="646" t="s">
        <v>267</v>
      </c>
      <c r="N7" s="646" t="s">
        <v>268</v>
      </c>
      <c r="O7" s="646" t="s">
        <v>267</v>
      </c>
      <c r="P7" s="646" t="s">
        <v>268</v>
      </c>
      <c r="Q7" s="646" t="s">
        <v>267</v>
      </c>
      <c r="R7" s="646" t="s">
        <v>268</v>
      </c>
      <c r="S7" s="783"/>
    </row>
    <row r="8" spans="1:19">
      <c r="A8" s="55">
        <v>1</v>
      </c>
      <c r="B8" s="81" t="s">
        <v>123</v>
      </c>
      <c r="C8" s="642">
        <v>43308862.980447456</v>
      </c>
      <c r="D8" s="642">
        <v>0</v>
      </c>
      <c r="E8" s="642">
        <v>0</v>
      </c>
      <c r="F8" s="642">
        <v>0</v>
      </c>
      <c r="G8" s="642">
        <v>0</v>
      </c>
      <c r="H8" s="642">
        <v>0</v>
      </c>
      <c r="I8" s="642">
        <v>0</v>
      </c>
      <c r="J8" s="642">
        <v>0</v>
      </c>
      <c r="K8" s="642">
        <v>0</v>
      </c>
      <c r="L8" s="642">
        <v>0</v>
      </c>
      <c r="M8" s="642">
        <v>270092167.60051966</v>
      </c>
      <c r="N8" s="642">
        <v>0</v>
      </c>
      <c r="O8" s="642">
        <v>0</v>
      </c>
      <c r="P8" s="642">
        <v>0</v>
      </c>
      <c r="Q8" s="642">
        <v>0</v>
      </c>
      <c r="R8" s="642">
        <v>0</v>
      </c>
      <c r="S8" s="647">
        <f>$C$6*SUM(C8:D8)+$E$6*SUM(E8:F8)+$G$6*SUM(G8:H8)+$I$6*SUM(I8:J8)+$K$6*SUM(K8:L8)+$M$6*SUM(M8:N8)+$O$6*SUM(O8:P8)+$Q$6*SUM(Q8:R8)</f>
        <v>270092167.60051966</v>
      </c>
    </row>
    <row r="9" spans="1:19">
      <c r="A9" s="55">
        <v>2</v>
      </c>
      <c r="B9" s="81" t="s">
        <v>124</v>
      </c>
      <c r="C9" s="642">
        <v>0</v>
      </c>
      <c r="D9" s="642">
        <v>0</v>
      </c>
      <c r="E9" s="642">
        <v>0</v>
      </c>
      <c r="F9" s="642">
        <v>0</v>
      </c>
      <c r="G9" s="642">
        <v>0</v>
      </c>
      <c r="H9" s="642">
        <v>0</v>
      </c>
      <c r="I9" s="642">
        <v>0</v>
      </c>
      <c r="J9" s="642">
        <v>0</v>
      </c>
      <c r="K9" s="642">
        <v>0</v>
      </c>
      <c r="L9" s="642">
        <v>0</v>
      </c>
      <c r="M9" s="642">
        <v>0</v>
      </c>
      <c r="N9" s="642">
        <v>0</v>
      </c>
      <c r="O9" s="642">
        <v>0</v>
      </c>
      <c r="P9" s="642">
        <v>0</v>
      </c>
      <c r="Q9" s="642">
        <v>0</v>
      </c>
      <c r="R9" s="642">
        <v>0</v>
      </c>
      <c r="S9" s="647">
        <f t="shared" ref="S9:S21" si="0">$C$6*SUM(C9:D9)+$E$6*SUM(E9:F9)+$G$6*SUM(G9:H9)+$I$6*SUM(I9:J9)+$K$6*SUM(K9:L9)+$M$6*SUM(M9:N9)+$O$6*SUM(O9:P9)+$Q$6*SUM(Q9:R9)</f>
        <v>0</v>
      </c>
    </row>
    <row r="10" spans="1:19">
      <c r="A10" s="55">
        <v>3</v>
      </c>
      <c r="B10" s="81" t="s">
        <v>125</v>
      </c>
      <c r="C10" s="642">
        <v>0</v>
      </c>
      <c r="D10" s="642">
        <v>0</v>
      </c>
      <c r="E10" s="642">
        <v>0</v>
      </c>
      <c r="F10" s="642">
        <v>0</v>
      </c>
      <c r="G10" s="642">
        <v>0</v>
      </c>
      <c r="H10" s="642">
        <v>0</v>
      </c>
      <c r="I10" s="642">
        <v>0</v>
      </c>
      <c r="J10" s="642">
        <v>0</v>
      </c>
      <c r="K10" s="642">
        <v>0</v>
      </c>
      <c r="L10" s="642">
        <v>0</v>
      </c>
      <c r="M10" s="642">
        <v>0</v>
      </c>
      <c r="N10" s="642">
        <v>0</v>
      </c>
      <c r="O10" s="642">
        <v>0</v>
      </c>
      <c r="P10" s="642">
        <v>0</v>
      </c>
      <c r="Q10" s="642">
        <v>0</v>
      </c>
      <c r="R10" s="642">
        <v>0</v>
      </c>
      <c r="S10" s="647">
        <f t="shared" si="0"/>
        <v>0</v>
      </c>
    </row>
    <row r="11" spans="1:19">
      <c r="A11" s="55">
        <v>4</v>
      </c>
      <c r="B11" s="81" t="s">
        <v>126</v>
      </c>
      <c r="C11" s="642">
        <v>0</v>
      </c>
      <c r="D11" s="642">
        <v>0</v>
      </c>
      <c r="E11" s="642">
        <v>0</v>
      </c>
      <c r="F11" s="642">
        <v>0</v>
      </c>
      <c r="G11" s="642">
        <v>0</v>
      </c>
      <c r="H11" s="642">
        <v>0</v>
      </c>
      <c r="I11" s="642">
        <v>0</v>
      </c>
      <c r="J11" s="642">
        <v>0</v>
      </c>
      <c r="K11" s="642">
        <v>0</v>
      </c>
      <c r="L11" s="642">
        <v>0</v>
      </c>
      <c r="M11" s="642">
        <v>0</v>
      </c>
      <c r="N11" s="642">
        <v>0</v>
      </c>
      <c r="O11" s="642">
        <v>0</v>
      </c>
      <c r="P11" s="642">
        <v>0</v>
      </c>
      <c r="Q11" s="642">
        <v>0</v>
      </c>
      <c r="R11" s="642">
        <v>0</v>
      </c>
      <c r="S11" s="647">
        <f t="shared" si="0"/>
        <v>0</v>
      </c>
    </row>
    <row r="12" spans="1:19">
      <c r="A12" s="55">
        <v>5</v>
      </c>
      <c r="B12" s="81" t="s">
        <v>911</v>
      </c>
      <c r="C12" s="642">
        <v>0</v>
      </c>
      <c r="D12" s="642">
        <v>0</v>
      </c>
      <c r="E12" s="642">
        <v>0</v>
      </c>
      <c r="F12" s="642">
        <v>0</v>
      </c>
      <c r="G12" s="642">
        <v>0</v>
      </c>
      <c r="H12" s="642">
        <v>0</v>
      </c>
      <c r="I12" s="642">
        <v>0</v>
      </c>
      <c r="J12" s="642">
        <v>0</v>
      </c>
      <c r="K12" s="642">
        <v>0</v>
      </c>
      <c r="L12" s="642">
        <v>0</v>
      </c>
      <c r="M12" s="642">
        <v>0</v>
      </c>
      <c r="N12" s="642">
        <v>0</v>
      </c>
      <c r="O12" s="642">
        <v>0</v>
      </c>
      <c r="P12" s="642">
        <v>0</v>
      </c>
      <c r="Q12" s="642">
        <v>0</v>
      </c>
      <c r="R12" s="642">
        <v>0</v>
      </c>
      <c r="S12" s="647">
        <f t="shared" si="0"/>
        <v>0</v>
      </c>
    </row>
    <row r="13" spans="1:19">
      <c r="A13" s="55">
        <v>6</v>
      </c>
      <c r="B13" s="81" t="s">
        <v>127</v>
      </c>
      <c r="C13" s="642">
        <v>0</v>
      </c>
      <c r="D13" s="642">
        <v>0</v>
      </c>
      <c r="E13" s="642">
        <v>257071149.21339166</v>
      </c>
      <c r="F13" s="642">
        <v>0</v>
      </c>
      <c r="G13" s="642">
        <v>0</v>
      </c>
      <c r="H13" s="642">
        <v>0</v>
      </c>
      <c r="I13" s="642">
        <v>26712704.040224195</v>
      </c>
      <c r="J13" s="642">
        <v>0</v>
      </c>
      <c r="K13" s="642">
        <v>0</v>
      </c>
      <c r="L13" s="642">
        <v>0</v>
      </c>
      <c r="M13" s="642">
        <v>3.637978807091713E-12</v>
      </c>
      <c r="N13" s="642">
        <v>0</v>
      </c>
      <c r="O13" s="642">
        <v>0</v>
      </c>
      <c r="P13" s="642">
        <v>0</v>
      </c>
      <c r="Q13" s="642">
        <v>0</v>
      </c>
      <c r="R13" s="642">
        <v>0</v>
      </c>
      <c r="S13" s="647">
        <f t="shared" si="0"/>
        <v>64770581.862790436</v>
      </c>
    </row>
    <row r="14" spans="1:19">
      <c r="A14" s="55">
        <v>7</v>
      </c>
      <c r="B14" s="81" t="s">
        <v>71</v>
      </c>
      <c r="C14" s="642">
        <v>0</v>
      </c>
      <c r="D14" s="642">
        <v>0</v>
      </c>
      <c r="E14" s="642">
        <v>0</v>
      </c>
      <c r="F14" s="642">
        <v>0</v>
      </c>
      <c r="G14" s="642">
        <v>0</v>
      </c>
      <c r="H14" s="642">
        <v>0</v>
      </c>
      <c r="I14" s="642">
        <v>0</v>
      </c>
      <c r="J14" s="642">
        <v>0</v>
      </c>
      <c r="K14" s="642">
        <v>0</v>
      </c>
      <c r="L14" s="642">
        <v>0</v>
      </c>
      <c r="M14" s="642">
        <v>977288440.4137044</v>
      </c>
      <c r="N14" s="642">
        <v>109285658.84463271</v>
      </c>
      <c r="O14" s="642">
        <v>0</v>
      </c>
      <c r="P14" s="642">
        <v>0</v>
      </c>
      <c r="Q14" s="642">
        <v>0</v>
      </c>
      <c r="R14" s="642">
        <v>0</v>
      </c>
      <c r="S14" s="647">
        <f t="shared" si="0"/>
        <v>1086574099.258337</v>
      </c>
    </row>
    <row r="15" spans="1:19">
      <c r="A15" s="55">
        <v>8</v>
      </c>
      <c r="B15" s="81" t="s">
        <v>72</v>
      </c>
      <c r="C15" s="642">
        <v>0</v>
      </c>
      <c r="D15" s="642">
        <v>0</v>
      </c>
      <c r="E15" s="642">
        <v>0</v>
      </c>
      <c r="F15" s="642">
        <v>0</v>
      </c>
      <c r="G15" s="642">
        <v>0</v>
      </c>
      <c r="H15" s="642">
        <v>0</v>
      </c>
      <c r="I15" s="642">
        <v>0</v>
      </c>
      <c r="J15" s="642">
        <v>0</v>
      </c>
      <c r="K15" s="642">
        <v>0</v>
      </c>
      <c r="L15" s="642">
        <v>0</v>
      </c>
      <c r="M15" s="642">
        <v>0</v>
      </c>
      <c r="N15" s="642">
        <v>0</v>
      </c>
      <c r="O15" s="642">
        <v>0</v>
      </c>
      <c r="P15" s="642">
        <v>0</v>
      </c>
      <c r="Q15" s="642">
        <v>0</v>
      </c>
      <c r="R15" s="642">
        <v>0</v>
      </c>
      <c r="S15" s="647">
        <f t="shared" si="0"/>
        <v>0</v>
      </c>
    </row>
    <row r="16" spans="1:19">
      <c r="A16" s="55">
        <v>9</v>
      </c>
      <c r="B16" s="81" t="s">
        <v>912</v>
      </c>
      <c r="C16" s="642">
        <v>0</v>
      </c>
      <c r="D16" s="642">
        <v>0</v>
      </c>
      <c r="E16" s="642">
        <v>0</v>
      </c>
      <c r="F16" s="642">
        <v>0</v>
      </c>
      <c r="G16" s="642">
        <v>0</v>
      </c>
      <c r="H16" s="642">
        <v>0</v>
      </c>
      <c r="I16" s="642">
        <v>0</v>
      </c>
      <c r="J16" s="642">
        <v>0</v>
      </c>
      <c r="K16" s="642">
        <v>0</v>
      </c>
      <c r="L16" s="642">
        <v>0</v>
      </c>
      <c r="M16" s="642">
        <v>0</v>
      </c>
      <c r="N16" s="642">
        <v>0</v>
      </c>
      <c r="O16" s="642">
        <v>0</v>
      </c>
      <c r="P16" s="642">
        <v>0</v>
      </c>
      <c r="Q16" s="642">
        <v>0</v>
      </c>
      <c r="R16" s="642">
        <v>0</v>
      </c>
      <c r="S16" s="647">
        <f t="shared" si="0"/>
        <v>0</v>
      </c>
    </row>
    <row r="17" spans="1:19">
      <c r="A17" s="55">
        <v>10</v>
      </c>
      <c r="B17" s="81" t="s">
        <v>67</v>
      </c>
      <c r="C17" s="642">
        <v>0</v>
      </c>
      <c r="D17" s="642">
        <v>0</v>
      </c>
      <c r="E17" s="642">
        <v>0</v>
      </c>
      <c r="F17" s="642">
        <v>0</v>
      </c>
      <c r="G17" s="642">
        <v>0</v>
      </c>
      <c r="H17" s="642">
        <v>0</v>
      </c>
      <c r="I17" s="642">
        <v>0</v>
      </c>
      <c r="J17" s="642">
        <v>0</v>
      </c>
      <c r="K17" s="642">
        <v>0</v>
      </c>
      <c r="L17" s="642">
        <v>0</v>
      </c>
      <c r="M17" s="642">
        <v>61465479.799017057</v>
      </c>
      <c r="N17" s="642">
        <v>0</v>
      </c>
      <c r="O17" s="642">
        <v>0</v>
      </c>
      <c r="P17" s="642">
        <v>0</v>
      </c>
      <c r="Q17" s="642">
        <v>0</v>
      </c>
      <c r="R17" s="642">
        <v>0</v>
      </c>
      <c r="S17" s="647">
        <f t="shared" si="0"/>
        <v>61465479.799017057</v>
      </c>
    </row>
    <row r="18" spans="1:19">
      <c r="A18" s="55">
        <v>11</v>
      </c>
      <c r="B18" s="81" t="s">
        <v>68</v>
      </c>
      <c r="C18" s="642">
        <v>0</v>
      </c>
      <c r="D18" s="642">
        <v>0</v>
      </c>
      <c r="E18" s="642">
        <v>0</v>
      </c>
      <c r="F18" s="642">
        <v>0</v>
      </c>
      <c r="G18" s="642">
        <v>0</v>
      </c>
      <c r="H18" s="642">
        <v>0</v>
      </c>
      <c r="I18" s="642">
        <v>0</v>
      </c>
      <c r="J18" s="642">
        <v>0</v>
      </c>
      <c r="K18" s="642">
        <v>0</v>
      </c>
      <c r="L18" s="642">
        <v>0</v>
      </c>
      <c r="M18" s="642">
        <v>0</v>
      </c>
      <c r="N18" s="642">
        <v>0</v>
      </c>
      <c r="O18" s="642">
        <v>0</v>
      </c>
      <c r="P18" s="642">
        <v>0</v>
      </c>
      <c r="Q18" s="642">
        <v>0</v>
      </c>
      <c r="R18" s="642">
        <v>0</v>
      </c>
      <c r="S18" s="647">
        <f t="shared" si="0"/>
        <v>0</v>
      </c>
    </row>
    <row r="19" spans="1:19">
      <c r="A19" s="55">
        <v>12</v>
      </c>
      <c r="B19" s="81" t="s">
        <v>69</v>
      </c>
      <c r="C19" s="642">
        <v>0</v>
      </c>
      <c r="D19" s="642">
        <v>0</v>
      </c>
      <c r="E19" s="642">
        <v>0</v>
      </c>
      <c r="F19" s="642">
        <v>0</v>
      </c>
      <c r="G19" s="642">
        <v>0</v>
      </c>
      <c r="H19" s="642">
        <v>0</v>
      </c>
      <c r="I19" s="642">
        <v>0</v>
      </c>
      <c r="J19" s="642">
        <v>0</v>
      </c>
      <c r="K19" s="642">
        <v>0</v>
      </c>
      <c r="L19" s="642">
        <v>0</v>
      </c>
      <c r="M19" s="642">
        <v>0</v>
      </c>
      <c r="N19" s="642">
        <v>0</v>
      </c>
      <c r="O19" s="642">
        <v>0</v>
      </c>
      <c r="P19" s="642">
        <v>0</v>
      </c>
      <c r="Q19" s="642">
        <v>0</v>
      </c>
      <c r="R19" s="642">
        <v>0</v>
      </c>
      <c r="S19" s="647">
        <f t="shared" si="0"/>
        <v>0</v>
      </c>
    </row>
    <row r="20" spans="1:19">
      <c r="A20" s="55">
        <v>13</v>
      </c>
      <c r="B20" s="81" t="s">
        <v>70</v>
      </c>
      <c r="C20" s="642">
        <v>0</v>
      </c>
      <c r="D20" s="642">
        <v>0</v>
      </c>
      <c r="E20" s="642">
        <v>0</v>
      </c>
      <c r="F20" s="642">
        <v>0</v>
      </c>
      <c r="G20" s="642">
        <v>0</v>
      </c>
      <c r="H20" s="642">
        <v>0</v>
      </c>
      <c r="I20" s="642">
        <v>0</v>
      </c>
      <c r="J20" s="642">
        <v>0</v>
      </c>
      <c r="K20" s="642">
        <v>0</v>
      </c>
      <c r="L20" s="642">
        <v>0</v>
      </c>
      <c r="M20" s="642">
        <v>0</v>
      </c>
      <c r="N20" s="642">
        <v>0</v>
      </c>
      <c r="O20" s="642">
        <v>0</v>
      </c>
      <c r="P20" s="642">
        <v>0</v>
      </c>
      <c r="Q20" s="642">
        <v>0</v>
      </c>
      <c r="R20" s="642">
        <v>0</v>
      </c>
      <c r="S20" s="647">
        <f t="shared" si="0"/>
        <v>0</v>
      </c>
    </row>
    <row r="21" spans="1:19">
      <c r="A21" s="55">
        <v>14</v>
      </c>
      <c r="B21" s="81" t="s">
        <v>143</v>
      </c>
      <c r="C21" s="642">
        <v>54609295.249190591</v>
      </c>
      <c r="D21" s="642">
        <v>0</v>
      </c>
      <c r="E21" s="642">
        <v>0</v>
      </c>
      <c r="F21" s="642">
        <v>0</v>
      </c>
      <c r="G21" s="642">
        <v>0</v>
      </c>
      <c r="H21" s="642">
        <v>0</v>
      </c>
      <c r="I21" s="642">
        <v>0</v>
      </c>
      <c r="J21" s="642">
        <v>0</v>
      </c>
      <c r="K21" s="642">
        <v>0</v>
      </c>
      <c r="L21" s="642">
        <v>0</v>
      </c>
      <c r="M21" s="642">
        <v>101426074.65152624</v>
      </c>
      <c r="N21" s="642">
        <v>2285138.4683983186</v>
      </c>
      <c r="O21" s="642">
        <v>0</v>
      </c>
      <c r="P21" s="642">
        <v>0</v>
      </c>
      <c r="Q21" s="642">
        <v>17693577.199999999</v>
      </c>
      <c r="R21" s="642">
        <v>0</v>
      </c>
      <c r="S21" s="647">
        <f t="shared" si="0"/>
        <v>147945156.11992455</v>
      </c>
    </row>
    <row r="22" spans="1:19" ht="13.5" thickBot="1">
      <c r="A22" s="51"/>
      <c r="B22" s="77" t="s">
        <v>66</v>
      </c>
      <c r="C22" s="648">
        <f>SUM(C8:C21)</f>
        <v>97918158.22963804</v>
      </c>
      <c r="D22" s="648">
        <f t="shared" ref="D22:S22" si="1">SUM(D8:D21)</f>
        <v>0</v>
      </c>
      <c r="E22" s="648">
        <f t="shared" si="1"/>
        <v>257071149.21339166</v>
      </c>
      <c r="F22" s="648">
        <f t="shared" si="1"/>
        <v>0</v>
      </c>
      <c r="G22" s="648">
        <f t="shared" si="1"/>
        <v>0</v>
      </c>
      <c r="H22" s="648">
        <f t="shared" si="1"/>
        <v>0</v>
      </c>
      <c r="I22" s="648">
        <f t="shared" si="1"/>
        <v>26712704.040224195</v>
      </c>
      <c r="J22" s="648">
        <f t="shared" si="1"/>
        <v>0</v>
      </c>
      <c r="K22" s="648">
        <f t="shared" si="1"/>
        <v>0</v>
      </c>
      <c r="L22" s="648">
        <f t="shared" si="1"/>
        <v>0</v>
      </c>
      <c r="M22" s="648">
        <f t="shared" si="1"/>
        <v>1410272162.4647672</v>
      </c>
      <c r="N22" s="648">
        <f t="shared" si="1"/>
        <v>111570797.31303103</v>
      </c>
      <c r="O22" s="648">
        <f t="shared" si="1"/>
        <v>0</v>
      </c>
      <c r="P22" s="648">
        <f t="shared" si="1"/>
        <v>0</v>
      </c>
      <c r="Q22" s="648">
        <f t="shared" si="1"/>
        <v>17693577.199999999</v>
      </c>
      <c r="R22" s="648">
        <f t="shared" si="1"/>
        <v>0</v>
      </c>
      <c r="S22" s="649">
        <f t="shared" si="1"/>
        <v>1630847484.6405888</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38"/>
  <sheetViews>
    <sheetView showGridLines="0" zoomScale="80" zoomScaleNormal="80" workbookViewId="0">
      <pane xSplit="2" ySplit="6" topLeftCell="C7" activePane="bottomRight" state="frozen"/>
      <selection pane="topRight" activeCell="C1" sqref="C1"/>
      <selection pane="bottomLeft" activeCell="A6" sqref="A6"/>
      <selection pane="bottomRight"/>
    </sheetView>
  </sheetViews>
  <sheetFormatPr defaultColWidth="9.140625" defaultRowHeight="12.75"/>
  <cols>
    <col min="1" max="1" width="10.5703125" style="1" bestFit="1" customWidth="1"/>
    <col min="2" max="2" width="97" style="1" bestFit="1" customWidth="1"/>
    <col min="3" max="3" width="19" style="1" customWidth="1"/>
    <col min="4" max="4" width="19.5703125" style="1" customWidth="1"/>
    <col min="5" max="5" width="31.140625" style="1" customWidth="1"/>
    <col min="6" max="6" width="29.140625" style="1" customWidth="1"/>
    <col min="7" max="7" width="28.5703125" style="1" customWidth="1"/>
    <col min="8" max="8" width="26.42578125" style="1" customWidth="1"/>
    <col min="9" max="9" width="23.85546875" style="1" customWidth="1"/>
    <col min="10" max="10" width="21.5703125" style="1" customWidth="1"/>
    <col min="11" max="11" width="15.85546875" style="1" customWidth="1"/>
    <col min="12" max="12" width="13.140625" style="1" customWidth="1"/>
    <col min="13" max="13" width="20.85546875" style="1" customWidth="1"/>
    <col min="14" max="14" width="19.140625" style="1" customWidth="1"/>
    <col min="15" max="15" width="18.42578125" style="1" customWidth="1"/>
    <col min="16" max="16" width="19" style="1" customWidth="1"/>
    <col min="17" max="17" width="20.140625" style="1" customWidth="1"/>
    <col min="18" max="18" width="18" style="1" customWidth="1"/>
    <col min="19" max="19" width="36" style="1" customWidth="1"/>
    <col min="20" max="20" width="19.42578125" style="1" customWidth="1"/>
    <col min="21" max="21" width="19.140625" style="1" customWidth="1"/>
    <col min="22" max="22" width="20" style="1" customWidth="1"/>
    <col min="23" max="16384" width="9.140625" style="8"/>
  </cols>
  <sheetData>
    <row r="1" spans="1:22">
      <c r="A1" s="1" t="s">
        <v>97</v>
      </c>
      <c r="B1" s="1" t="str">
        <f>Info!C2</f>
        <v>სს "ბანკი ქართუ"</v>
      </c>
    </row>
    <row r="2" spans="1:22">
      <c r="A2" s="1" t="s">
        <v>98</v>
      </c>
      <c r="B2" s="585">
        <f>'1. key ratios'!B2</f>
        <v>45747</v>
      </c>
    </row>
    <row r="4" spans="1:22" ht="27.75" thickBot="1">
      <c r="A4" s="1" t="s">
        <v>249</v>
      </c>
      <c r="B4" s="143" t="s">
        <v>283</v>
      </c>
      <c r="V4" s="106" t="s">
        <v>76</v>
      </c>
    </row>
    <row r="5" spans="1:22">
      <c r="A5" s="49"/>
      <c r="B5" s="50"/>
      <c r="C5" s="788" t="s">
        <v>105</v>
      </c>
      <c r="D5" s="789"/>
      <c r="E5" s="789"/>
      <c r="F5" s="789"/>
      <c r="G5" s="789"/>
      <c r="H5" s="789"/>
      <c r="I5" s="789"/>
      <c r="J5" s="789"/>
      <c r="K5" s="789"/>
      <c r="L5" s="790"/>
      <c r="M5" s="788" t="s">
        <v>106</v>
      </c>
      <c r="N5" s="789"/>
      <c r="O5" s="789"/>
      <c r="P5" s="789"/>
      <c r="Q5" s="789"/>
      <c r="R5" s="789"/>
      <c r="S5" s="790"/>
      <c r="T5" s="793" t="s">
        <v>281</v>
      </c>
      <c r="U5" s="793" t="s">
        <v>280</v>
      </c>
      <c r="V5" s="791" t="s">
        <v>107</v>
      </c>
    </row>
    <row r="6" spans="1:22" s="29" customFormat="1" ht="127.5">
      <c r="A6" s="53"/>
      <c r="B6" s="83"/>
      <c r="C6" s="47" t="s">
        <v>108</v>
      </c>
      <c r="D6" s="46" t="s">
        <v>109</v>
      </c>
      <c r="E6" s="45" t="s">
        <v>110</v>
      </c>
      <c r="F6" s="45" t="s">
        <v>275</v>
      </c>
      <c r="G6" s="46" t="s">
        <v>111</v>
      </c>
      <c r="H6" s="46" t="s">
        <v>112</v>
      </c>
      <c r="I6" s="46" t="s">
        <v>113</v>
      </c>
      <c r="J6" s="46" t="s">
        <v>142</v>
      </c>
      <c r="K6" s="46" t="s">
        <v>114</v>
      </c>
      <c r="L6" s="48" t="s">
        <v>115</v>
      </c>
      <c r="M6" s="47" t="s">
        <v>116</v>
      </c>
      <c r="N6" s="46" t="s">
        <v>117</v>
      </c>
      <c r="O6" s="46" t="s">
        <v>118</v>
      </c>
      <c r="P6" s="46" t="s">
        <v>119</v>
      </c>
      <c r="Q6" s="46" t="s">
        <v>120</v>
      </c>
      <c r="R6" s="46" t="s">
        <v>121</v>
      </c>
      <c r="S6" s="48" t="s">
        <v>122</v>
      </c>
      <c r="T6" s="794"/>
      <c r="U6" s="794"/>
      <c r="V6" s="792"/>
    </row>
    <row r="7" spans="1:22">
      <c r="A7" s="76">
        <v>1</v>
      </c>
      <c r="B7" s="81" t="s">
        <v>123</v>
      </c>
      <c r="C7" s="651">
        <v>0</v>
      </c>
      <c r="D7" s="642">
        <v>0</v>
      </c>
      <c r="E7" s="642">
        <v>0</v>
      </c>
      <c r="F7" s="642">
        <v>0</v>
      </c>
      <c r="G7" s="642">
        <v>0</v>
      </c>
      <c r="H7" s="642">
        <v>0</v>
      </c>
      <c r="I7" s="642">
        <v>0</v>
      </c>
      <c r="J7" s="642">
        <v>0</v>
      </c>
      <c r="K7" s="642">
        <v>0</v>
      </c>
      <c r="L7" s="647">
        <v>0</v>
      </c>
      <c r="M7" s="651">
        <v>0</v>
      </c>
      <c r="N7" s="642">
        <v>0</v>
      </c>
      <c r="O7" s="642">
        <v>0</v>
      </c>
      <c r="P7" s="642">
        <v>0</v>
      </c>
      <c r="Q7" s="642">
        <v>0</v>
      </c>
      <c r="R7" s="642">
        <v>0</v>
      </c>
      <c r="S7" s="647">
        <v>0</v>
      </c>
      <c r="T7" s="652">
        <v>0</v>
      </c>
      <c r="U7" s="653">
        <v>0</v>
      </c>
      <c r="V7" s="137">
        <f>SUM(C7:S7)</f>
        <v>0</v>
      </c>
    </row>
    <row r="8" spans="1:22">
      <c r="A8" s="76">
        <v>2</v>
      </c>
      <c r="B8" s="81" t="s">
        <v>124</v>
      </c>
      <c r="C8" s="651">
        <v>0</v>
      </c>
      <c r="D8" s="642">
        <v>0</v>
      </c>
      <c r="E8" s="642">
        <v>0</v>
      </c>
      <c r="F8" s="642">
        <v>0</v>
      </c>
      <c r="G8" s="642">
        <v>0</v>
      </c>
      <c r="H8" s="642">
        <v>0</v>
      </c>
      <c r="I8" s="642">
        <v>0</v>
      </c>
      <c r="J8" s="642">
        <v>0</v>
      </c>
      <c r="K8" s="642">
        <v>0</v>
      </c>
      <c r="L8" s="647">
        <v>0</v>
      </c>
      <c r="M8" s="651">
        <v>0</v>
      </c>
      <c r="N8" s="642">
        <v>0</v>
      </c>
      <c r="O8" s="642">
        <v>0</v>
      </c>
      <c r="P8" s="642">
        <v>0</v>
      </c>
      <c r="Q8" s="642">
        <v>0</v>
      </c>
      <c r="R8" s="642">
        <v>0</v>
      </c>
      <c r="S8" s="647">
        <v>0</v>
      </c>
      <c r="T8" s="653">
        <v>0</v>
      </c>
      <c r="U8" s="653">
        <v>0</v>
      </c>
      <c r="V8" s="137">
        <f t="shared" ref="V8:V20" si="0">SUM(C8:S8)</f>
        <v>0</v>
      </c>
    </row>
    <row r="9" spans="1:22">
      <c r="A9" s="76">
        <v>3</v>
      </c>
      <c r="B9" s="81" t="s">
        <v>125</v>
      </c>
      <c r="C9" s="651">
        <v>0</v>
      </c>
      <c r="D9" s="642">
        <v>0</v>
      </c>
      <c r="E9" s="642">
        <v>0</v>
      </c>
      <c r="F9" s="642">
        <v>0</v>
      </c>
      <c r="G9" s="642">
        <v>0</v>
      </c>
      <c r="H9" s="642">
        <v>0</v>
      </c>
      <c r="I9" s="642">
        <v>0</v>
      </c>
      <c r="J9" s="642">
        <v>0</v>
      </c>
      <c r="K9" s="642">
        <v>0</v>
      </c>
      <c r="L9" s="647">
        <v>0</v>
      </c>
      <c r="M9" s="651">
        <v>0</v>
      </c>
      <c r="N9" s="642">
        <v>0</v>
      </c>
      <c r="O9" s="642">
        <v>0</v>
      </c>
      <c r="P9" s="642">
        <v>0</v>
      </c>
      <c r="Q9" s="642">
        <v>0</v>
      </c>
      <c r="R9" s="642">
        <v>0</v>
      </c>
      <c r="S9" s="647">
        <v>0</v>
      </c>
      <c r="T9" s="653">
        <v>0</v>
      </c>
      <c r="U9" s="653">
        <v>0</v>
      </c>
      <c r="V9" s="137">
        <f>SUM(C9:S9)</f>
        <v>0</v>
      </c>
    </row>
    <row r="10" spans="1:22">
      <c r="A10" s="76">
        <v>4</v>
      </c>
      <c r="B10" s="81" t="s">
        <v>126</v>
      </c>
      <c r="C10" s="651">
        <v>0</v>
      </c>
      <c r="D10" s="642">
        <v>0</v>
      </c>
      <c r="E10" s="642">
        <v>0</v>
      </c>
      <c r="F10" s="642">
        <v>0</v>
      </c>
      <c r="G10" s="642">
        <v>0</v>
      </c>
      <c r="H10" s="642">
        <v>0</v>
      </c>
      <c r="I10" s="642">
        <v>0</v>
      </c>
      <c r="J10" s="642">
        <v>0</v>
      </c>
      <c r="K10" s="642">
        <v>0</v>
      </c>
      <c r="L10" s="647">
        <v>0</v>
      </c>
      <c r="M10" s="651">
        <v>0</v>
      </c>
      <c r="N10" s="642">
        <v>0</v>
      </c>
      <c r="O10" s="642">
        <v>0</v>
      </c>
      <c r="P10" s="642">
        <v>0</v>
      </c>
      <c r="Q10" s="642">
        <v>0</v>
      </c>
      <c r="R10" s="642">
        <v>0</v>
      </c>
      <c r="S10" s="647">
        <v>0</v>
      </c>
      <c r="T10" s="653">
        <v>0</v>
      </c>
      <c r="U10" s="653">
        <v>0</v>
      </c>
      <c r="V10" s="137">
        <f t="shared" si="0"/>
        <v>0</v>
      </c>
    </row>
    <row r="11" spans="1:22">
      <c r="A11" s="76">
        <v>5</v>
      </c>
      <c r="B11" s="81" t="s">
        <v>911</v>
      </c>
      <c r="C11" s="651">
        <v>0</v>
      </c>
      <c r="D11" s="642">
        <v>0</v>
      </c>
      <c r="E11" s="642">
        <v>0</v>
      </c>
      <c r="F11" s="642">
        <v>0</v>
      </c>
      <c r="G11" s="642">
        <v>0</v>
      </c>
      <c r="H11" s="642">
        <v>0</v>
      </c>
      <c r="I11" s="642">
        <v>0</v>
      </c>
      <c r="J11" s="642">
        <v>0</v>
      </c>
      <c r="K11" s="642">
        <v>0</v>
      </c>
      <c r="L11" s="647">
        <v>0</v>
      </c>
      <c r="M11" s="651">
        <v>0</v>
      </c>
      <c r="N11" s="642">
        <v>0</v>
      </c>
      <c r="O11" s="642">
        <v>0</v>
      </c>
      <c r="P11" s="642">
        <v>0</v>
      </c>
      <c r="Q11" s="642">
        <v>0</v>
      </c>
      <c r="R11" s="642">
        <v>0</v>
      </c>
      <c r="S11" s="647">
        <v>0</v>
      </c>
      <c r="T11" s="653">
        <v>0</v>
      </c>
      <c r="U11" s="653">
        <v>0</v>
      </c>
      <c r="V11" s="137">
        <f t="shared" si="0"/>
        <v>0</v>
      </c>
    </row>
    <row r="12" spans="1:22">
      <c r="A12" s="76">
        <v>6</v>
      </c>
      <c r="B12" s="81" t="s">
        <v>127</v>
      </c>
      <c r="C12" s="651">
        <v>0</v>
      </c>
      <c r="D12" s="642">
        <v>0</v>
      </c>
      <c r="E12" s="642">
        <v>0</v>
      </c>
      <c r="F12" s="642">
        <v>0</v>
      </c>
      <c r="G12" s="642">
        <v>0</v>
      </c>
      <c r="H12" s="642">
        <v>0</v>
      </c>
      <c r="I12" s="642">
        <v>0</v>
      </c>
      <c r="J12" s="642">
        <v>0</v>
      </c>
      <c r="K12" s="642">
        <v>0</v>
      </c>
      <c r="L12" s="647">
        <v>0</v>
      </c>
      <c r="M12" s="651">
        <v>0</v>
      </c>
      <c r="N12" s="642">
        <v>0</v>
      </c>
      <c r="O12" s="642">
        <v>0</v>
      </c>
      <c r="P12" s="642">
        <v>0</v>
      </c>
      <c r="Q12" s="642">
        <v>0</v>
      </c>
      <c r="R12" s="642">
        <v>0</v>
      </c>
      <c r="S12" s="647">
        <v>0</v>
      </c>
      <c r="T12" s="653">
        <v>0</v>
      </c>
      <c r="U12" s="653">
        <v>0</v>
      </c>
      <c r="V12" s="137">
        <f t="shared" si="0"/>
        <v>0</v>
      </c>
    </row>
    <row r="13" spans="1:22">
      <c r="A13" s="76">
        <v>7</v>
      </c>
      <c r="B13" s="81" t="s">
        <v>71</v>
      </c>
      <c r="C13" s="651">
        <v>0</v>
      </c>
      <c r="D13" s="642">
        <v>59952003.559844449</v>
      </c>
      <c r="E13" s="642">
        <v>0</v>
      </c>
      <c r="F13" s="642">
        <v>0</v>
      </c>
      <c r="G13" s="642">
        <v>0</v>
      </c>
      <c r="H13" s="642">
        <v>0</v>
      </c>
      <c r="I13" s="642">
        <v>0</v>
      </c>
      <c r="J13" s="642">
        <v>0</v>
      </c>
      <c r="K13" s="642">
        <v>0</v>
      </c>
      <c r="L13" s="647">
        <v>0</v>
      </c>
      <c r="M13" s="651">
        <v>0</v>
      </c>
      <c r="N13" s="642">
        <v>0</v>
      </c>
      <c r="O13" s="642">
        <v>0</v>
      </c>
      <c r="P13" s="642">
        <v>0</v>
      </c>
      <c r="Q13" s="642">
        <v>0</v>
      </c>
      <c r="R13" s="642">
        <v>0</v>
      </c>
      <c r="S13" s="647">
        <v>0</v>
      </c>
      <c r="T13" s="653">
        <v>53645630.63534297</v>
      </c>
      <c r="U13" s="653">
        <v>6306372.9245014777</v>
      </c>
      <c r="V13" s="137">
        <f t="shared" si="0"/>
        <v>59952003.559844449</v>
      </c>
    </row>
    <row r="14" spans="1:22">
      <c r="A14" s="76">
        <v>8</v>
      </c>
      <c r="B14" s="81" t="s">
        <v>72</v>
      </c>
      <c r="C14" s="651">
        <v>0</v>
      </c>
      <c r="D14" s="642">
        <v>0</v>
      </c>
      <c r="E14" s="642">
        <v>0</v>
      </c>
      <c r="F14" s="642">
        <v>0</v>
      </c>
      <c r="G14" s="642">
        <v>0</v>
      </c>
      <c r="H14" s="642">
        <v>0</v>
      </c>
      <c r="I14" s="642">
        <v>0</v>
      </c>
      <c r="J14" s="642">
        <v>0</v>
      </c>
      <c r="K14" s="642">
        <v>0</v>
      </c>
      <c r="L14" s="647">
        <v>0</v>
      </c>
      <c r="M14" s="651">
        <v>0</v>
      </c>
      <c r="N14" s="642">
        <v>0</v>
      </c>
      <c r="O14" s="642">
        <v>0</v>
      </c>
      <c r="P14" s="642">
        <v>0</v>
      </c>
      <c r="Q14" s="642">
        <v>0</v>
      </c>
      <c r="R14" s="642">
        <v>0</v>
      </c>
      <c r="S14" s="647">
        <v>0</v>
      </c>
      <c r="T14" s="653">
        <v>0</v>
      </c>
      <c r="U14" s="653">
        <v>0</v>
      </c>
      <c r="V14" s="137">
        <f t="shared" si="0"/>
        <v>0</v>
      </c>
    </row>
    <row r="15" spans="1:22">
      <c r="A15" s="76">
        <v>9</v>
      </c>
      <c r="B15" s="81" t="s">
        <v>912</v>
      </c>
      <c r="C15" s="651">
        <v>0</v>
      </c>
      <c r="D15" s="642">
        <v>0</v>
      </c>
      <c r="E15" s="642">
        <v>0</v>
      </c>
      <c r="F15" s="642">
        <v>0</v>
      </c>
      <c r="G15" s="642">
        <v>0</v>
      </c>
      <c r="H15" s="642">
        <v>0</v>
      </c>
      <c r="I15" s="642">
        <v>0</v>
      </c>
      <c r="J15" s="642">
        <v>0</v>
      </c>
      <c r="K15" s="642">
        <v>0</v>
      </c>
      <c r="L15" s="647">
        <v>0</v>
      </c>
      <c r="M15" s="651">
        <v>0</v>
      </c>
      <c r="N15" s="642">
        <v>0</v>
      </c>
      <c r="O15" s="642">
        <v>0</v>
      </c>
      <c r="P15" s="642">
        <v>0</v>
      </c>
      <c r="Q15" s="642">
        <v>0</v>
      </c>
      <c r="R15" s="642">
        <v>0</v>
      </c>
      <c r="S15" s="647">
        <v>0</v>
      </c>
      <c r="T15" s="653">
        <v>0</v>
      </c>
      <c r="U15" s="653">
        <v>0</v>
      </c>
      <c r="V15" s="137">
        <f t="shared" si="0"/>
        <v>0</v>
      </c>
    </row>
    <row r="16" spans="1:22">
      <c r="A16" s="76">
        <v>10</v>
      </c>
      <c r="B16" s="81" t="s">
        <v>67</v>
      </c>
      <c r="C16" s="651">
        <v>0</v>
      </c>
      <c r="D16" s="642">
        <v>553459.99999999988</v>
      </c>
      <c r="E16" s="642">
        <v>0</v>
      </c>
      <c r="F16" s="642">
        <v>0</v>
      </c>
      <c r="G16" s="642">
        <v>0</v>
      </c>
      <c r="H16" s="642">
        <v>0</v>
      </c>
      <c r="I16" s="642">
        <v>0</v>
      </c>
      <c r="J16" s="642">
        <v>0</v>
      </c>
      <c r="K16" s="642">
        <v>0</v>
      </c>
      <c r="L16" s="647">
        <v>0</v>
      </c>
      <c r="M16" s="651">
        <v>0</v>
      </c>
      <c r="N16" s="642">
        <v>0</v>
      </c>
      <c r="O16" s="642">
        <v>0</v>
      </c>
      <c r="P16" s="642">
        <v>0</v>
      </c>
      <c r="Q16" s="642">
        <v>0</v>
      </c>
      <c r="R16" s="642">
        <v>0</v>
      </c>
      <c r="S16" s="647">
        <v>0</v>
      </c>
      <c r="T16" s="653">
        <v>553459.99999999988</v>
      </c>
      <c r="U16" s="653">
        <v>0</v>
      </c>
      <c r="V16" s="137">
        <f t="shared" si="0"/>
        <v>553459.99999999988</v>
      </c>
    </row>
    <row r="17" spans="1:22">
      <c r="A17" s="76">
        <v>11</v>
      </c>
      <c r="B17" s="81" t="s">
        <v>68</v>
      </c>
      <c r="C17" s="651">
        <v>0</v>
      </c>
      <c r="D17" s="642">
        <v>0</v>
      </c>
      <c r="E17" s="642">
        <v>0</v>
      </c>
      <c r="F17" s="642">
        <v>0</v>
      </c>
      <c r="G17" s="642">
        <v>0</v>
      </c>
      <c r="H17" s="642">
        <v>0</v>
      </c>
      <c r="I17" s="642">
        <v>0</v>
      </c>
      <c r="J17" s="642">
        <v>0</v>
      </c>
      <c r="K17" s="642">
        <v>0</v>
      </c>
      <c r="L17" s="647">
        <v>0</v>
      </c>
      <c r="M17" s="651">
        <v>0</v>
      </c>
      <c r="N17" s="642">
        <v>0</v>
      </c>
      <c r="O17" s="642">
        <v>0</v>
      </c>
      <c r="P17" s="642">
        <v>0</v>
      </c>
      <c r="Q17" s="642">
        <v>0</v>
      </c>
      <c r="R17" s="642">
        <v>0</v>
      </c>
      <c r="S17" s="647">
        <v>0</v>
      </c>
      <c r="T17" s="653">
        <v>0</v>
      </c>
      <c r="U17" s="653">
        <v>0</v>
      </c>
      <c r="V17" s="137">
        <f t="shared" si="0"/>
        <v>0</v>
      </c>
    </row>
    <row r="18" spans="1:22">
      <c r="A18" s="76">
        <v>12</v>
      </c>
      <c r="B18" s="81" t="s">
        <v>69</v>
      </c>
      <c r="C18" s="651">
        <v>0</v>
      </c>
      <c r="D18" s="642">
        <v>0</v>
      </c>
      <c r="E18" s="642">
        <v>0</v>
      </c>
      <c r="F18" s="642">
        <v>0</v>
      </c>
      <c r="G18" s="642">
        <v>0</v>
      </c>
      <c r="H18" s="642">
        <v>0</v>
      </c>
      <c r="I18" s="642">
        <v>0</v>
      </c>
      <c r="J18" s="642">
        <v>0</v>
      </c>
      <c r="K18" s="642">
        <v>0</v>
      </c>
      <c r="L18" s="647">
        <v>0</v>
      </c>
      <c r="M18" s="651">
        <v>0</v>
      </c>
      <c r="N18" s="642">
        <v>0</v>
      </c>
      <c r="O18" s="642">
        <v>0</v>
      </c>
      <c r="P18" s="642">
        <v>0</v>
      </c>
      <c r="Q18" s="642">
        <v>0</v>
      </c>
      <c r="R18" s="642">
        <v>0</v>
      </c>
      <c r="S18" s="647">
        <v>0</v>
      </c>
      <c r="T18" s="653">
        <v>0</v>
      </c>
      <c r="U18" s="653">
        <v>0</v>
      </c>
      <c r="V18" s="137">
        <f t="shared" si="0"/>
        <v>0</v>
      </c>
    </row>
    <row r="19" spans="1:22">
      <c r="A19" s="76">
        <v>13</v>
      </c>
      <c r="B19" s="81" t="s">
        <v>70</v>
      </c>
      <c r="C19" s="651">
        <v>0</v>
      </c>
      <c r="D19" s="642">
        <v>0</v>
      </c>
      <c r="E19" s="642">
        <v>0</v>
      </c>
      <c r="F19" s="642">
        <v>0</v>
      </c>
      <c r="G19" s="642">
        <v>0</v>
      </c>
      <c r="H19" s="642">
        <v>0</v>
      </c>
      <c r="I19" s="642">
        <v>0</v>
      </c>
      <c r="J19" s="642">
        <v>0</v>
      </c>
      <c r="K19" s="642">
        <v>0</v>
      </c>
      <c r="L19" s="647">
        <v>0</v>
      </c>
      <c r="M19" s="651">
        <v>0</v>
      </c>
      <c r="N19" s="642">
        <v>0</v>
      </c>
      <c r="O19" s="642">
        <v>0</v>
      </c>
      <c r="P19" s="642">
        <v>0</v>
      </c>
      <c r="Q19" s="642">
        <v>0</v>
      </c>
      <c r="R19" s="642">
        <v>0</v>
      </c>
      <c r="S19" s="647">
        <v>0</v>
      </c>
      <c r="T19" s="653">
        <v>0</v>
      </c>
      <c r="U19" s="653">
        <v>0</v>
      </c>
      <c r="V19" s="137">
        <f t="shared" si="0"/>
        <v>0</v>
      </c>
    </row>
    <row r="20" spans="1:22">
      <c r="A20" s="76">
        <v>14</v>
      </c>
      <c r="B20" s="81" t="s">
        <v>143</v>
      </c>
      <c r="C20" s="651">
        <v>0</v>
      </c>
      <c r="D20" s="642">
        <v>8929783.6181830801</v>
      </c>
      <c r="E20" s="642">
        <v>0</v>
      </c>
      <c r="F20" s="642">
        <v>0</v>
      </c>
      <c r="G20" s="642">
        <v>0</v>
      </c>
      <c r="H20" s="642">
        <v>0</v>
      </c>
      <c r="I20" s="642">
        <v>0</v>
      </c>
      <c r="J20" s="642">
        <v>0</v>
      </c>
      <c r="K20" s="642">
        <v>0</v>
      </c>
      <c r="L20" s="647">
        <v>0</v>
      </c>
      <c r="M20" s="651">
        <v>0</v>
      </c>
      <c r="N20" s="642">
        <v>0</v>
      </c>
      <c r="O20" s="642">
        <v>0</v>
      </c>
      <c r="P20" s="642">
        <v>0</v>
      </c>
      <c r="Q20" s="642">
        <v>0</v>
      </c>
      <c r="R20" s="642">
        <v>0</v>
      </c>
      <c r="S20" s="647">
        <v>0</v>
      </c>
      <c r="T20" s="653">
        <v>8892118.3874868061</v>
      </c>
      <c r="U20" s="653">
        <v>37665.230696273386</v>
      </c>
      <c r="V20" s="137">
        <f t="shared" si="0"/>
        <v>8929783.6181830801</v>
      </c>
    </row>
    <row r="21" spans="1:22" ht="13.5" thickBot="1">
      <c r="A21" s="51"/>
      <c r="B21" s="52" t="s">
        <v>66</v>
      </c>
      <c r="C21" s="138">
        <f>SUM(C7:C20)</f>
        <v>0</v>
      </c>
      <c r="D21" s="136">
        <f t="shared" ref="D21:V21" si="1">SUM(D7:D20)</f>
        <v>69435247.178027526</v>
      </c>
      <c r="E21" s="136">
        <f t="shared" si="1"/>
        <v>0</v>
      </c>
      <c r="F21" s="136">
        <f t="shared" si="1"/>
        <v>0</v>
      </c>
      <c r="G21" s="136">
        <f t="shared" si="1"/>
        <v>0</v>
      </c>
      <c r="H21" s="136">
        <f t="shared" si="1"/>
        <v>0</v>
      </c>
      <c r="I21" s="136">
        <f t="shared" si="1"/>
        <v>0</v>
      </c>
      <c r="J21" s="136">
        <f t="shared" si="1"/>
        <v>0</v>
      </c>
      <c r="K21" s="136">
        <f t="shared" si="1"/>
        <v>0</v>
      </c>
      <c r="L21" s="139">
        <f t="shared" si="1"/>
        <v>0</v>
      </c>
      <c r="M21" s="138">
        <f t="shared" si="1"/>
        <v>0</v>
      </c>
      <c r="N21" s="136">
        <f t="shared" si="1"/>
        <v>0</v>
      </c>
      <c r="O21" s="136">
        <f t="shared" si="1"/>
        <v>0</v>
      </c>
      <c r="P21" s="136">
        <f t="shared" si="1"/>
        <v>0</v>
      </c>
      <c r="Q21" s="136">
        <f t="shared" si="1"/>
        <v>0</v>
      </c>
      <c r="R21" s="136">
        <f t="shared" si="1"/>
        <v>0</v>
      </c>
      <c r="S21" s="139">
        <f t="shared" si="1"/>
        <v>0</v>
      </c>
      <c r="T21" s="139">
        <f>SUM(T7:T20)</f>
        <v>63091209.022829778</v>
      </c>
      <c r="U21" s="139">
        <f t="shared" si="1"/>
        <v>6344038.1551977508</v>
      </c>
      <c r="V21" s="140">
        <f t="shared" si="1"/>
        <v>69435247.178027526</v>
      </c>
    </row>
    <row r="24" spans="1:22">
      <c r="C24" s="650"/>
      <c r="D24" s="650"/>
      <c r="E24" s="650"/>
      <c r="F24" s="650"/>
      <c r="G24" s="650"/>
      <c r="H24" s="650"/>
      <c r="I24" s="650"/>
      <c r="J24" s="650"/>
      <c r="K24" s="650"/>
      <c r="L24" s="650"/>
      <c r="M24" s="650"/>
      <c r="N24" s="650"/>
      <c r="O24" s="650"/>
      <c r="P24" s="650"/>
      <c r="Q24" s="650"/>
      <c r="R24" s="650"/>
      <c r="S24" s="650"/>
      <c r="T24" s="650"/>
      <c r="U24" s="650"/>
      <c r="V24" s="650"/>
    </row>
    <row r="25" spans="1:22">
      <c r="A25" s="28"/>
      <c r="C25" s="650"/>
      <c r="D25" s="650"/>
      <c r="E25" s="650"/>
      <c r="F25" s="650"/>
      <c r="G25" s="650"/>
      <c r="H25" s="650"/>
      <c r="I25" s="650"/>
      <c r="J25" s="650"/>
      <c r="K25" s="650"/>
      <c r="L25" s="650"/>
      <c r="M25" s="650"/>
      <c r="N25" s="650"/>
      <c r="O25" s="650"/>
      <c r="P25" s="650"/>
      <c r="Q25" s="650"/>
      <c r="R25" s="650"/>
      <c r="S25" s="650"/>
      <c r="T25" s="650"/>
      <c r="U25" s="650"/>
      <c r="V25" s="650"/>
    </row>
    <row r="26" spans="1:22">
      <c r="A26" s="28"/>
      <c r="C26" s="650"/>
      <c r="D26" s="650"/>
      <c r="E26" s="650"/>
      <c r="F26" s="650"/>
      <c r="G26" s="650"/>
      <c r="H26" s="650"/>
      <c r="I26" s="650"/>
      <c r="J26" s="650"/>
      <c r="K26" s="650"/>
      <c r="L26" s="650"/>
      <c r="M26" s="650"/>
      <c r="N26" s="650"/>
      <c r="O26" s="650"/>
      <c r="P26" s="650"/>
      <c r="Q26" s="650"/>
      <c r="R26" s="650"/>
      <c r="S26" s="650"/>
      <c r="T26" s="650"/>
      <c r="U26" s="650"/>
      <c r="V26" s="650"/>
    </row>
    <row r="27" spans="1:22">
      <c r="A27" s="28"/>
      <c r="C27" s="650"/>
      <c r="D27" s="650"/>
      <c r="E27" s="650"/>
      <c r="F27" s="650"/>
      <c r="G27" s="650"/>
      <c r="H27" s="650"/>
      <c r="I27" s="650"/>
      <c r="J27" s="650"/>
      <c r="K27" s="650"/>
      <c r="L27" s="650"/>
      <c r="M27" s="650"/>
      <c r="N27" s="650"/>
      <c r="O27" s="650"/>
      <c r="P27" s="650"/>
      <c r="Q27" s="650"/>
      <c r="R27" s="650"/>
      <c r="S27" s="650"/>
      <c r="T27" s="650"/>
      <c r="U27" s="650"/>
      <c r="V27" s="650"/>
    </row>
    <row r="28" spans="1:22">
      <c r="A28" s="28"/>
      <c r="C28" s="650"/>
      <c r="D28" s="650"/>
      <c r="E28" s="650"/>
      <c r="F28" s="650"/>
      <c r="G28" s="650"/>
      <c r="H28" s="650"/>
      <c r="I28" s="650"/>
      <c r="J28" s="650"/>
      <c r="K28" s="650"/>
      <c r="L28" s="650"/>
      <c r="M28" s="650"/>
      <c r="N28" s="650"/>
      <c r="O28" s="650"/>
      <c r="P28" s="650"/>
      <c r="Q28" s="650"/>
      <c r="R28" s="650"/>
      <c r="S28" s="650"/>
      <c r="T28" s="650"/>
      <c r="U28" s="650"/>
      <c r="V28" s="650"/>
    </row>
    <row r="29" spans="1:22">
      <c r="C29" s="650"/>
      <c r="D29" s="650"/>
      <c r="E29" s="650"/>
      <c r="F29" s="650"/>
      <c r="G29" s="650"/>
      <c r="H29" s="650"/>
      <c r="I29" s="650"/>
      <c r="J29" s="650"/>
      <c r="K29" s="650"/>
      <c r="L29" s="650"/>
      <c r="M29" s="650"/>
      <c r="N29" s="650"/>
      <c r="O29" s="650"/>
      <c r="P29" s="650"/>
      <c r="Q29" s="650"/>
      <c r="R29" s="650"/>
      <c r="S29" s="650"/>
      <c r="T29" s="650"/>
      <c r="U29" s="650"/>
      <c r="V29" s="650"/>
    </row>
    <row r="30" spans="1:22">
      <c r="C30" s="650"/>
      <c r="D30" s="650"/>
      <c r="E30" s="650"/>
      <c r="F30" s="650"/>
      <c r="G30" s="650"/>
      <c r="H30" s="650"/>
      <c r="I30" s="650"/>
      <c r="J30" s="650"/>
      <c r="K30" s="650"/>
      <c r="L30" s="650"/>
      <c r="M30" s="650"/>
      <c r="N30" s="650"/>
      <c r="O30" s="650"/>
      <c r="P30" s="650"/>
      <c r="Q30" s="650"/>
      <c r="R30" s="650"/>
      <c r="S30" s="650"/>
      <c r="T30" s="650"/>
      <c r="U30" s="650"/>
      <c r="V30" s="650"/>
    </row>
    <row r="31" spans="1:22">
      <c r="C31" s="650"/>
      <c r="D31" s="650"/>
      <c r="E31" s="650"/>
      <c r="F31" s="650"/>
      <c r="G31" s="650"/>
      <c r="H31" s="650"/>
      <c r="I31" s="650"/>
      <c r="J31" s="650"/>
      <c r="K31" s="650"/>
      <c r="L31" s="650"/>
      <c r="M31" s="650"/>
      <c r="N31" s="650"/>
      <c r="O31" s="650"/>
      <c r="P31" s="650"/>
      <c r="Q31" s="650"/>
      <c r="R31" s="650"/>
      <c r="S31" s="650"/>
      <c r="T31" s="650"/>
      <c r="U31" s="650"/>
      <c r="V31" s="650"/>
    </row>
    <row r="32" spans="1:22">
      <c r="C32" s="650"/>
      <c r="D32" s="650"/>
      <c r="E32" s="650"/>
      <c r="F32" s="650"/>
      <c r="G32" s="650"/>
      <c r="H32" s="650"/>
      <c r="I32" s="650"/>
      <c r="J32" s="650"/>
      <c r="K32" s="650"/>
      <c r="L32" s="650"/>
      <c r="M32" s="650"/>
      <c r="N32" s="650"/>
      <c r="O32" s="650"/>
      <c r="P32" s="650"/>
      <c r="Q32" s="650"/>
      <c r="R32" s="650"/>
      <c r="S32" s="650"/>
      <c r="T32" s="650"/>
      <c r="U32" s="650"/>
      <c r="V32" s="650"/>
    </row>
    <row r="33" spans="3:22">
      <c r="C33" s="650"/>
      <c r="D33" s="650"/>
      <c r="E33" s="650"/>
      <c r="F33" s="650"/>
      <c r="G33" s="650"/>
      <c r="H33" s="650"/>
      <c r="I33" s="650"/>
      <c r="J33" s="650"/>
      <c r="K33" s="650"/>
      <c r="L33" s="650"/>
      <c r="M33" s="650"/>
      <c r="N33" s="650"/>
      <c r="O33" s="650"/>
      <c r="P33" s="650"/>
      <c r="Q33" s="650"/>
      <c r="R33" s="650"/>
      <c r="S33" s="650"/>
      <c r="T33" s="650"/>
      <c r="U33" s="650"/>
      <c r="V33" s="650"/>
    </row>
    <row r="34" spans="3:22">
      <c r="C34" s="650"/>
      <c r="D34" s="650"/>
      <c r="E34" s="650"/>
      <c r="F34" s="650"/>
      <c r="G34" s="650"/>
      <c r="H34" s="650"/>
      <c r="I34" s="650"/>
      <c r="J34" s="650"/>
      <c r="K34" s="650"/>
      <c r="L34" s="650"/>
      <c r="M34" s="650"/>
      <c r="N34" s="650"/>
      <c r="O34" s="650"/>
      <c r="P34" s="650"/>
      <c r="Q34" s="650"/>
      <c r="R34" s="650"/>
      <c r="S34" s="650"/>
      <c r="T34" s="650"/>
      <c r="U34" s="650"/>
      <c r="V34" s="650"/>
    </row>
    <row r="35" spans="3:22">
      <c r="C35" s="650"/>
      <c r="D35" s="650"/>
      <c r="E35" s="650"/>
      <c r="F35" s="650"/>
      <c r="G35" s="650"/>
      <c r="H35" s="650"/>
      <c r="I35" s="650"/>
      <c r="J35" s="650"/>
      <c r="K35" s="650"/>
      <c r="L35" s="650"/>
      <c r="M35" s="650"/>
      <c r="N35" s="650"/>
      <c r="O35" s="650"/>
      <c r="P35" s="650"/>
      <c r="Q35" s="650"/>
      <c r="R35" s="650"/>
      <c r="S35" s="650"/>
      <c r="T35" s="650"/>
      <c r="U35" s="650"/>
      <c r="V35" s="650"/>
    </row>
    <row r="36" spans="3:22">
      <c r="C36" s="650"/>
      <c r="D36" s="650"/>
      <c r="E36" s="650"/>
      <c r="F36" s="650"/>
      <c r="G36" s="650"/>
      <c r="H36" s="650"/>
      <c r="I36" s="650"/>
      <c r="J36" s="650"/>
      <c r="K36" s="650"/>
      <c r="L36" s="650"/>
      <c r="M36" s="650"/>
      <c r="N36" s="650"/>
      <c r="O36" s="650"/>
      <c r="P36" s="650"/>
      <c r="Q36" s="650"/>
      <c r="R36" s="650"/>
      <c r="S36" s="650"/>
      <c r="T36" s="650"/>
      <c r="U36" s="650"/>
      <c r="V36" s="650"/>
    </row>
    <row r="37" spans="3:22">
      <c r="C37" s="650"/>
      <c r="D37" s="650"/>
      <c r="E37" s="650"/>
      <c r="F37" s="650"/>
      <c r="G37" s="650"/>
      <c r="H37" s="650"/>
      <c r="I37" s="650"/>
      <c r="J37" s="650"/>
      <c r="K37" s="650"/>
      <c r="L37" s="650"/>
      <c r="M37" s="650"/>
      <c r="N37" s="650"/>
      <c r="O37" s="650"/>
      <c r="P37" s="650"/>
      <c r="Q37" s="650"/>
      <c r="R37" s="650"/>
      <c r="S37" s="650"/>
      <c r="T37" s="650"/>
      <c r="U37" s="650"/>
      <c r="V37" s="650"/>
    </row>
    <row r="38" spans="3:22">
      <c r="C38" s="650"/>
      <c r="D38" s="650"/>
      <c r="E38" s="650"/>
      <c r="F38" s="650"/>
      <c r="G38" s="650"/>
      <c r="H38" s="650"/>
      <c r="I38" s="650"/>
      <c r="J38" s="650"/>
      <c r="K38" s="650"/>
      <c r="L38" s="650"/>
      <c r="M38" s="650"/>
      <c r="N38" s="650"/>
      <c r="O38" s="650"/>
      <c r="P38" s="650"/>
      <c r="Q38" s="650"/>
      <c r="R38" s="650"/>
      <c r="S38" s="650"/>
      <c r="T38" s="650"/>
      <c r="U38" s="650"/>
      <c r="V38" s="65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Q28"/>
  <sheetViews>
    <sheetView showGridLines="0" zoomScale="80" zoomScaleNormal="80" workbookViewId="0">
      <pane xSplit="1" ySplit="7" topLeftCell="B8" activePane="bottomRight" state="frozen"/>
      <selection activeCell="L18" sqref="L18"/>
      <selection pane="topRight" activeCell="L18" sqref="L18"/>
      <selection pane="bottomLeft" activeCell="L18" sqref="L18"/>
      <selection pane="bottomRight"/>
    </sheetView>
  </sheetViews>
  <sheetFormatPr defaultColWidth="9.140625" defaultRowHeight="12.75"/>
  <cols>
    <col min="1" max="1" width="10.5703125" style="1" bestFit="1" customWidth="1"/>
    <col min="2" max="2" width="101.85546875" style="1" customWidth="1"/>
    <col min="3" max="3" width="15.42578125" style="1" customWidth="1"/>
    <col min="4" max="4" width="14.85546875" style="1" bestFit="1" customWidth="1"/>
    <col min="5" max="5" width="17.85546875" style="1" customWidth="1"/>
    <col min="6" max="6" width="15.85546875" style="1" customWidth="1"/>
    <col min="7" max="7" width="17.42578125" style="1" customWidth="1"/>
    <col min="8" max="8" width="15.140625" style="1" customWidth="1"/>
    <col min="9" max="11" width="9.140625" style="8"/>
    <col min="12" max="12" width="13.140625" style="8" bestFit="1" customWidth="1"/>
    <col min="13" max="16384" width="9.140625" style="8"/>
  </cols>
  <sheetData>
    <row r="1" spans="1:17">
      <c r="A1" s="1" t="s">
        <v>97</v>
      </c>
      <c r="B1" s="1" t="str">
        <f>Info!C2</f>
        <v>სს "ბანკი ქართუ"</v>
      </c>
    </row>
    <row r="2" spans="1:17">
      <c r="A2" s="1" t="s">
        <v>98</v>
      </c>
      <c r="B2" s="585">
        <f>'1. key ratios'!B2</f>
        <v>45747</v>
      </c>
    </row>
    <row r="4" spans="1:17" ht="13.5" thickBot="1">
      <c r="A4" s="1" t="s">
        <v>250</v>
      </c>
      <c r="B4" s="22" t="s">
        <v>284</v>
      </c>
    </row>
    <row r="5" spans="1:17">
      <c r="A5" s="49"/>
      <c r="B5" s="74"/>
      <c r="C5" s="78" t="s">
        <v>0</v>
      </c>
      <c r="D5" s="78" t="s">
        <v>1</v>
      </c>
      <c r="E5" s="78" t="s">
        <v>2</v>
      </c>
      <c r="F5" s="78" t="s">
        <v>3</v>
      </c>
      <c r="G5" s="141" t="s">
        <v>4</v>
      </c>
      <c r="H5" s="79" t="s">
        <v>5</v>
      </c>
      <c r="I5" s="18"/>
    </row>
    <row r="6" spans="1:17" ht="15" customHeight="1">
      <c r="A6" s="73"/>
      <c r="B6" s="16"/>
      <c r="C6" s="786" t="s">
        <v>276</v>
      </c>
      <c r="D6" s="797" t="s">
        <v>297</v>
      </c>
      <c r="E6" s="798"/>
      <c r="F6" s="786" t="s">
        <v>303</v>
      </c>
      <c r="G6" s="786" t="s">
        <v>304</v>
      </c>
      <c r="H6" s="795" t="s">
        <v>278</v>
      </c>
      <c r="I6" s="18"/>
    </row>
    <row r="7" spans="1:17" ht="63.75">
      <c r="A7" s="73"/>
      <c r="B7" s="16"/>
      <c r="C7" s="787"/>
      <c r="D7" s="142" t="s">
        <v>279</v>
      </c>
      <c r="E7" s="142" t="s">
        <v>277</v>
      </c>
      <c r="F7" s="787"/>
      <c r="G7" s="787"/>
      <c r="H7" s="796"/>
      <c r="I7" s="18"/>
    </row>
    <row r="8" spans="1:17">
      <c r="A8" s="43">
        <v>1</v>
      </c>
      <c r="B8" s="81" t="s">
        <v>123</v>
      </c>
      <c r="C8" s="642">
        <v>313401030.58096713</v>
      </c>
      <c r="D8" s="642">
        <v>0</v>
      </c>
      <c r="E8" s="642">
        <v>0</v>
      </c>
      <c r="F8" s="642">
        <v>270092167.60051966</v>
      </c>
      <c r="G8" s="642">
        <v>270092167.60051966</v>
      </c>
      <c r="H8" s="144">
        <f>G8/(C8+E8)</f>
        <v>0.86181008115970881</v>
      </c>
      <c r="L8" s="609"/>
      <c r="M8" s="609"/>
      <c r="N8" s="609"/>
      <c r="O8" s="609"/>
      <c r="P8" s="609"/>
      <c r="Q8" s="609"/>
    </row>
    <row r="9" spans="1:17" ht="15" customHeight="1">
      <c r="A9" s="43">
        <v>2</v>
      </c>
      <c r="B9" s="81" t="s">
        <v>124</v>
      </c>
      <c r="C9" s="642">
        <v>0</v>
      </c>
      <c r="D9" s="642">
        <v>0</v>
      </c>
      <c r="E9" s="642">
        <v>0</v>
      </c>
      <c r="F9" s="642">
        <v>0</v>
      </c>
      <c r="G9" s="642">
        <v>0</v>
      </c>
      <c r="H9" s="144">
        <f>IFERROR(G9/(C9+E9),0)</f>
        <v>0</v>
      </c>
      <c r="L9" s="609"/>
      <c r="M9" s="609"/>
      <c r="N9" s="609"/>
      <c r="O9" s="609"/>
      <c r="P9" s="609"/>
      <c r="Q9" s="609"/>
    </row>
    <row r="10" spans="1:17">
      <c r="A10" s="43">
        <v>3</v>
      </c>
      <c r="B10" s="81" t="s">
        <v>125</v>
      </c>
      <c r="C10" s="642">
        <v>0</v>
      </c>
      <c r="D10" s="642">
        <v>0</v>
      </c>
      <c r="E10" s="642">
        <v>0</v>
      </c>
      <c r="F10" s="642">
        <v>0</v>
      </c>
      <c r="G10" s="642">
        <v>0</v>
      </c>
      <c r="H10" s="144">
        <f>IFERROR(G10/(C10+E10),0)</f>
        <v>0</v>
      </c>
      <c r="L10" s="609"/>
      <c r="M10" s="609"/>
      <c r="N10" s="609"/>
      <c r="O10" s="609"/>
      <c r="P10" s="609"/>
      <c r="Q10" s="609"/>
    </row>
    <row r="11" spans="1:17">
      <c r="A11" s="43">
        <v>4</v>
      </c>
      <c r="B11" s="81" t="s">
        <v>126</v>
      </c>
      <c r="C11" s="642">
        <v>0</v>
      </c>
      <c r="D11" s="642">
        <v>0</v>
      </c>
      <c r="E11" s="642">
        <v>0</v>
      </c>
      <c r="F11" s="642">
        <v>0</v>
      </c>
      <c r="G11" s="642">
        <v>0</v>
      </c>
      <c r="H11" s="144">
        <f>IFERROR(G11/(C11+E11),0)</f>
        <v>0</v>
      </c>
      <c r="L11" s="609"/>
      <c r="M11" s="609"/>
      <c r="N11" s="609"/>
      <c r="O11" s="609"/>
      <c r="P11" s="609"/>
      <c r="Q11" s="609"/>
    </row>
    <row r="12" spans="1:17">
      <c r="A12" s="43">
        <v>5</v>
      </c>
      <c r="B12" s="81" t="s">
        <v>911</v>
      </c>
      <c r="C12" s="642">
        <v>0</v>
      </c>
      <c r="D12" s="642">
        <v>0</v>
      </c>
      <c r="E12" s="642">
        <v>0</v>
      </c>
      <c r="F12" s="642">
        <v>0</v>
      </c>
      <c r="G12" s="642">
        <v>0</v>
      </c>
      <c r="H12" s="144">
        <f>IFERROR(G12/(C12+E12),0)</f>
        <v>0</v>
      </c>
      <c r="L12" s="609"/>
      <c r="M12" s="609"/>
      <c r="N12" s="609"/>
      <c r="O12" s="609"/>
      <c r="P12" s="609"/>
      <c r="Q12" s="609"/>
    </row>
    <row r="13" spans="1:17">
      <c r="A13" s="43">
        <v>6</v>
      </c>
      <c r="B13" s="81" t="s">
        <v>127</v>
      </c>
      <c r="C13" s="642">
        <v>283783853.25361586</v>
      </c>
      <c r="D13" s="642">
        <v>0</v>
      </c>
      <c r="E13" s="642">
        <v>0</v>
      </c>
      <c r="F13" s="642">
        <v>64770581.862790436</v>
      </c>
      <c r="G13" s="642">
        <v>64770581.862790436</v>
      </c>
      <c r="H13" s="144">
        <f t="shared" ref="H13:H21" si="0">G13/(C13+E13)</f>
        <v>0.22823913735819695</v>
      </c>
      <c r="L13" s="609"/>
      <c r="M13" s="609"/>
      <c r="N13" s="609"/>
      <c r="O13" s="609"/>
      <c r="P13" s="609"/>
      <c r="Q13" s="609"/>
    </row>
    <row r="14" spans="1:17">
      <c r="A14" s="43">
        <v>7</v>
      </c>
      <c r="B14" s="81" t="s">
        <v>71</v>
      </c>
      <c r="C14" s="642">
        <v>977288440.41370428</v>
      </c>
      <c r="D14" s="642">
        <v>198520214.32620111</v>
      </c>
      <c r="E14" s="642">
        <v>109285658.84463271</v>
      </c>
      <c r="F14" s="642">
        <v>1086574099.258337</v>
      </c>
      <c r="G14" s="642">
        <v>1026622095.6984925</v>
      </c>
      <c r="H14" s="144">
        <f>G14/(C14+E14)</f>
        <v>0.94482474448749887</v>
      </c>
      <c r="L14" s="609"/>
      <c r="M14" s="609"/>
      <c r="N14" s="609"/>
      <c r="O14" s="609"/>
      <c r="P14" s="609"/>
      <c r="Q14" s="609"/>
    </row>
    <row r="15" spans="1:17">
      <c r="A15" s="43">
        <v>8</v>
      </c>
      <c r="B15" s="81" t="s">
        <v>72</v>
      </c>
      <c r="C15" s="642">
        <v>0</v>
      </c>
      <c r="D15" s="642">
        <v>0</v>
      </c>
      <c r="E15" s="642">
        <v>0</v>
      </c>
      <c r="F15" s="642">
        <v>0</v>
      </c>
      <c r="G15" s="642">
        <v>0</v>
      </c>
      <c r="H15" s="144">
        <f>IFERROR(G15/(C15+E15),0)</f>
        <v>0</v>
      </c>
      <c r="L15" s="609"/>
      <c r="M15" s="609"/>
      <c r="N15" s="609"/>
      <c r="O15" s="609"/>
      <c r="P15" s="609"/>
      <c r="Q15" s="609"/>
    </row>
    <row r="16" spans="1:17">
      <c r="A16" s="43">
        <v>9</v>
      </c>
      <c r="B16" s="81" t="s">
        <v>912</v>
      </c>
      <c r="C16" s="642">
        <v>0</v>
      </c>
      <c r="D16" s="642">
        <v>0</v>
      </c>
      <c r="E16" s="642">
        <v>0</v>
      </c>
      <c r="F16" s="642">
        <v>0</v>
      </c>
      <c r="G16" s="642">
        <v>0</v>
      </c>
      <c r="H16" s="144">
        <f>IFERROR(G16/(C16+E16),0)</f>
        <v>0</v>
      </c>
      <c r="L16" s="609"/>
      <c r="M16" s="609"/>
      <c r="N16" s="609"/>
      <c r="O16" s="609"/>
      <c r="P16" s="609"/>
      <c r="Q16" s="609"/>
    </row>
    <row r="17" spans="1:17">
      <c r="A17" s="43">
        <v>10</v>
      </c>
      <c r="B17" s="81" t="s">
        <v>67</v>
      </c>
      <c r="C17" s="642">
        <v>61465479.799017057</v>
      </c>
      <c r="D17" s="642">
        <v>0</v>
      </c>
      <c r="E17" s="642">
        <v>0</v>
      </c>
      <c r="F17" s="642">
        <v>61465479.799017057</v>
      </c>
      <c r="G17" s="642">
        <v>60912019.799017057</v>
      </c>
      <c r="H17" s="144">
        <f t="shared" si="0"/>
        <v>0.99099559619790278</v>
      </c>
      <c r="L17" s="609"/>
      <c r="M17" s="609"/>
      <c r="N17" s="609"/>
      <c r="O17" s="609"/>
      <c r="P17" s="609"/>
      <c r="Q17" s="609"/>
    </row>
    <row r="18" spans="1:17">
      <c r="A18" s="43">
        <v>11</v>
      </c>
      <c r="B18" s="81" t="s">
        <v>68</v>
      </c>
      <c r="C18" s="642">
        <v>0</v>
      </c>
      <c r="D18" s="642">
        <v>0</v>
      </c>
      <c r="E18" s="642">
        <v>0</v>
      </c>
      <c r="F18" s="642">
        <v>0</v>
      </c>
      <c r="G18" s="642">
        <v>0</v>
      </c>
      <c r="H18" s="144">
        <f>IFERROR(G18/(C18+E18),0)</f>
        <v>0</v>
      </c>
      <c r="L18" s="609"/>
      <c r="M18" s="609"/>
      <c r="N18" s="609"/>
      <c r="O18" s="609"/>
      <c r="P18" s="609"/>
      <c r="Q18" s="609"/>
    </row>
    <row r="19" spans="1:17">
      <c r="A19" s="43">
        <v>12</v>
      </c>
      <c r="B19" s="81" t="s">
        <v>69</v>
      </c>
      <c r="C19" s="642">
        <v>0</v>
      </c>
      <c r="D19" s="642">
        <v>0</v>
      </c>
      <c r="E19" s="642">
        <v>0</v>
      </c>
      <c r="F19" s="642">
        <v>0</v>
      </c>
      <c r="G19" s="642">
        <v>0</v>
      </c>
      <c r="H19" s="144">
        <f>IFERROR(G19/(C19+E19),0)</f>
        <v>0</v>
      </c>
      <c r="L19" s="609"/>
      <c r="M19" s="609"/>
      <c r="N19" s="609"/>
      <c r="O19" s="609"/>
      <c r="P19" s="609"/>
      <c r="Q19" s="609"/>
    </row>
    <row r="20" spans="1:17">
      <c r="A20" s="43">
        <v>13</v>
      </c>
      <c r="B20" s="81" t="s">
        <v>70</v>
      </c>
      <c r="C20" s="642">
        <v>0</v>
      </c>
      <c r="D20" s="642">
        <v>0</v>
      </c>
      <c r="E20" s="642">
        <v>0</v>
      </c>
      <c r="F20" s="642">
        <v>0</v>
      </c>
      <c r="G20" s="642">
        <v>0</v>
      </c>
      <c r="H20" s="144">
        <f>IFERROR(G20/(C20+E20),0)</f>
        <v>0</v>
      </c>
      <c r="L20" s="609"/>
      <c r="M20" s="609"/>
      <c r="N20" s="609"/>
      <c r="O20" s="609"/>
      <c r="P20" s="609"/>
      <c r="Q20" s="609"/>
    </row>
    <row r="21" spans="1:17">
      <c r="A21" s="43">
        <v>14</v>
      </c>
      <c r="B21" s="81" t="s">
        <v>143</v>
      </c>
      <c r="C21" s="642">
        <v>173728947.10071683</v>
      </c>
      <c r="D21" s="642">
        <v>4570276.9367966373</v>
      </c>
      <c r="E21" s="642">
        <v>2285138.4683983186</v>
      </c>
      <c r="F21" s="642">
        <v>147945156.11992455</v>
      </c>
      <c r="G21" s="642">
        <v>139015372.50174147</v>
      </c>
      <c r="H21" s="144">
        <f t="shared" si="0"/>
        <v>0.78979686229233359</v>
      </c>
      <c r="L21" s="609"/>
      <c r="M21" s="609"/>
      <c r="N21" s="609"/>
      <c r="O21" s="609"/>
      <c r="P21" s="609"/>
      <c r="Q21" s="609"/>
    </row>
    <row r="22" spans="1:17" ht="13.5" thickBot="1">
      <c r="A22" s="75"/>
      <c r="B22" s="80" t="s">
        <v>66</v>
      </c>
      <c r="C22" s="648">
        <f>SUM(C8:C21)</f>
        <v>1809667751.148021</v>
      </c>
      <c r="D22" s="648">
        <f>SUM(D8:D21)</f>
        <v>203090491.26299775</v>
      </c>
      <c r="E22" s="648">
        <f>SUM(E8:E21)</f>
        <v>111570797.31303103</v>
      </c>
      <c r="F22" s="648">
        <f>SUM(F8:F21)</f>
        <v>1630847484.6405888</v>
      </c>
      <c r="G22" s="648">
        <f>SUM(G8:G21)</f>
        <v>1561412237.4625611</v>
      </c>
      <c r="H22" s="729">
        <f>G22/(C22+E22)</f>
        <v>0.81271127872865223</v>
      </c>
      <c r="L22" s="609"/>
      <c r="M22" s="609"/>
      <c r="N22" s="609"/>
      <c r="O22" s="609"/>
      <c r="P22" s="609"/>
      <c r="Q22" s="609"/>
    </row>
    <row r="28" spans="1:17"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Z28"/>
  <sheetViews>
    <sheetView showGridLines="0" zoomScale="80" zoomScaleNormal="80" workbookViewId="0">
      <pane xSplit="2" ySplit="6" topLeftCell="C7" activePane="bottomRight" state="frozen"/>
      <selection pane="topRight" activeCell="C1" sqref="C1"/>
      <selection pane="bottomLeft" activeCell="A6" sqref="A6"/>
      <selection pane="bottomRight"/>
    </sheetView>
  </sheetViews>
  <sheetFormatPr defaultColWidth="9.140625" defaultRowHeight="12.75"/>
  <cols>
    <col min="1" max="1" width="10.5703125" style="1" bestFit="1" customWidth="1"/>
    <col min="2" max="2" width="104.140625" style="1" customWidth="1"/>
    <col min="3" max="3" width="12.85546875" style="1" customWidth="1"/>
    <col min="4" max="4" width="15.85546875" style="1" bestFit="1" customWidth="1"/>
    <col min="5" max="5" width="17.42578125" style="1" bestFit="1" customWidth="1"/>
    <col min="6" max="11" width="12.85546875" style="1" customWidth="1"/>
    <col min="12" max="16384" width="9.140625" style="1"/>
  </cols>
  <sheetData>
    <row r="1" spans="1:26">
      <c r="A1" s="1" t="s">
        <v>97</v>
      </c>
      <c r="B1" s="1" t="str">
        <f>Info!C2</f>
        <v>სს "ბანკი ქართუ"</v>
      </c>
    </row>
    <row r="2" spans="1:26">
      <c r="A2" s="1" t="s">
        <v>98</v>
      </c>
      <c r="B2" s="585">
        <f>'1. key ratios'!B2</f>
        <v>45747</v>
      </c>
    </row>
    <row r="4" spans="1:26" ht="13.5" thickBot="1">
      <c r="A4" s="1" t="s">
        <v>340</v>
      </c>
      <c r="B4" s="22" t="s">
        <v>339</v>
      </c>
    </row>
    <row r="5" spans="1:26" ht="30" customHeight="1">
      <c r="A5" s="802"/>
      <c r="B5" s="803"/>
      <c r="C5" s="800" t="s">
        <v>372</v>
      </c>
      <c r="D5" s="800"/>
      <c r="E5" s="800"/>
      <c r="F5" s="800" t="s">
        <v>373</v>
      </c>
      <c r="G5" s="800"/>
      <c r="H5" s="800"/>
      <c r="I5" s="800" t="s">
        <v>374</v>
      </c>
      <c r="J5" s="800"/>
      <c r="K5" s="801"/>
    </row>
    <row r="6" spans="1:26">
      <c r="A6" s="167"/>
      <c r="B6" s="168"/>
      <c r="C6" s="169" t="s">
        <v>26</v>
      </c>
      <c r="D6" s="169" t="s">
        <v>79</v>
      </c>
      <c r="E6" s="169" t="s">
        <v>66</v>
      </c>
      <c r="F6" s="169" t="s">
        <v>26</v>
      </c>
      <c r="G6" s="169" t="s">
        <v>79</v>
      </c>
      <c r="H6" s="169" t="s">
        <v>66</v>
      </c>
      <c r="I6" s="169" t="s">
        <v>26</v>
      </c>
      <c r="J6" s="169" t="s">
        <v>79</v>
      </c>
      <c r="K6" s="171" t="s">
        <v>66</v>
      </c>
    </row>
    <row r="7" spans="1:26">
      <c r="A7" s="172" t="s">
        <v>310</v>
      </c>
      <c r="B7" s="166"/>
      <c r="C7" s="166"/>
      <c r="D7" s="166"/>
      <c r="E7" s="166"/>
      <c r="F7" s="166"/>
      <c r="G7" s="166"/>
      <c r="H7" s="166"/>
      <c r="I7" s="166"/>
      <c r="J7" s="166"/>
      <c r="K7" s="173"/>
      <c r="O7" s="592"/>
      <c r="P7" s="592"/>
      <c r="Q7" s="592"/>
      <c r="R7" s="592"/>
      <c r="S7" s="592"/>
      <c r="T7" s="592"/>
      <c r="U7" s="592"/>
      <c r="V7" s="592"/>
      <c r="W7" s="592"/>
      <c r="X7" s="592"/>
      <c r="Y7" s="592"/>
      <c r="Z7" s="592"/>
    </row>
    <row r="8" spans="1:26">
      <c r="A8" s="165">
        <v>1</v>
      </c>
      <c r="B8" s="150" t="s">
        <v>310</v>
      </c>
      <c r="C8" s="148"/>
      <c r="D8" s="148"/>
      <c r="E8" s="148"/>
      <c r="F8" s="654">
        <v>119488009.85749823</v>
      </c>
      <c r="G8" s="654">
        <v>622309579.11918843</v>
      </c>
      <c r="H8" s="654">
        <v>741797588.97668672</v>
      </c>
      <c r="I8" s="654">
        <v>87023307.535382137</v>
      </c>
      <c r="J8" s="654">
        <v>429876044.02848464</v>
      </c>
      <c r="K8" s="655">
        <v>516899351.56386644</v>
      </c>
      <c r="O8" s="592"/>
      <c r="P8" s="592"/>
      <c r="Q8" s="592"/>
      <c r="R8" s="592"/>
      <c r="S8" s="592"/>
      <c r="T8" s="592"/>
      <c r="U8" s="592"/>
      <c r="V8" s="592"/>
      <c r="W8" s="592"/>
    </row>
    <row r="9" spans="1:26">
      <c r="A9" s="172" t="s">
        <v>311</v>
      </c>
      <c r="B9" s="166"/>
      <c r="C9" s="166"/>
      <c r="D9" s="166"/>
      <c r="E9" s="166"/>
      <c r="F9" s="166"/>
      <c r="G9" s="166"/>
      <c r="H9" s="166"/>
      <c r="I9" s="166"/>
      <c r="J9" s="166"/>
      <c r="K9" s="173"/>
      <c r="O9" s="592"/>
      <c r="P9" s="592"/>
      <c r="Q9" s="592"/>
      <c r="R9" s="592"/>
      <c r="S9" s="592"/>
      <c r="T9" s="592"/>
      <c r="U9" s="592"/>
      <c r="V9" s="592"/>
      <c r="W9" s="592"/>
    </row>
    <row r="10" spans="1:26">
      <c r="A10" s="174">
        <v>2</v>
      </c>
      <c r="B10" s="151" t="s">
        <v>312</v>
      </c>
      <c r="C10" s="268">
        <v>28082371.721797723</v>
      </c>
      <c r="D10" s="656">
        <v>579940601.85770226</v>
      </c>
      <c r="E10" s="656">
        <v>608022973.57949996</v>
      </c>
      <c r="F10" s="656">
        <v>4108877.7335011177</v>
      </c>
      <c r="G10" s="656">
        <v>52783658.307358831</v>
      </c>
      <c r="H10" s="656">
        <v>56892536.04085996</v>
      </c>
      <c r="I10" s="656">
        <v>743988.56833707716</v>
      </c>
      <c r="J10" s="656">
        <v>6430884.2085396079</v>
      </c>
      <c r="K10" s="657">
        <v>7174872.7768766824</v>
      </c>
      <c r="O10" s="592"/>
      <c r="P10" s="592"/>
      <c r="Q10" s="592"/>
      <c r="R10" s="592"/>
      <c r="S10" s="592"/>
      <c r="T10" s="592"/>
      <c r="U10" s="592"/>
      <c r="V10" s="592"/>
      <c r="W10" s="592"/>
    </row>
    <row r="11" spans="1:26">
      <c r="A11" s="174">
        <v>3</v>
      </c>
      <c r="B11" s="151" t="s">
        <v>313</v>
      </c>
      <c r="C11" s="268">
        <v>189055054.89652577</v>
      </c>
      <c r="D11" s="656">
        <v>573832440.02971685</v>
      </c>
      <c r="E11" s="656">
        <v>762887494.92624247</v>
      </c>
      <c r="F11" s="656">
        <v>43468532.124887764</v>
      </c>
      <c r="G11" s="656">
        <v>328775588.38265526</v>
      </c>
      <c r="H11" s="656">
        <v>372244120.50754309</v>
      </c>
      <c r="I11" s="656">
        <v>31794672.735570822</v>
      </c>
      <c r="J11" s="656">
        <v>141009690.66733485</v>
      </c>
      <c r="K11" s="657">
        <v>172804363.40290564</v>
      </c>
      <c r="O11" s="592"/>
      <c r="P11" s="592"/>
      <c r="Q11" s="592"/>
      <c r="R11" s="592"/>
      <c r="S11" s="592"/>
      <c r="T11" s="592"/>
      <c r="U11" s="592"/>
      <c r="V11" s="592"/>
      <c r="W11" s="592"/>
    </row>
    <row r="12" spans="1:26">
      <c r="A12" s="174">
        <v>4</v>
      </c>
      <c r="B12" s="151" t="s">
        <v>314</v>
      </c>
      <c r="C12" s="268">
        <v>0</v>
      </c>
      <c r="D12" s="656">
        <v>0</v>
      </c>
      <c r="E12" s="656">
        <v>0</v>
      </c>
      <c r="F12" s="656">
        <v>0</v>
      </c>
      <c r="G12" s="656">
        <v>0</v>
      </c>
      <c r="H12" s="656">
        <v>0</v>
      </c>
      <c r="I12" s="656">
        <v>0</v>
      </c>
      <c r="J12" s="656">
        <v>0</v>
      </c>
      <c r="K12" s="657">
        <v>0</v>
      </c>
      <c r="O12" s="592"/>
      <c r="P12" s="592"/>
      <c r="Q12" s="592"/>
      <c r="R12" s="592"/>
      <c r="S12" s="592"/>
      <c r="T12" s="592"/>
      <c r="U12" s="592"/>
      <c r="V12" s="592"/>
      <c r="W12" s="592"/>
    </row>
    <row r="13" spans="1:26">
      <c r="A13" s="174">
        <v>5</v>
      </c>
      <c r="B13" s="151" t="s">
        <v>315</v>
      </c>
      <c r="C13" s="268">
        <v>83003588.950112388</v>
      </c>
      <c r="D13" s="656">
        <v>114549046.2582171</v>
      </c>
      <c r="E13" s="656">
        <v>197552635.20832944</v>
      </c>
      <c r="F13" s="656">
        <v>13447783.512274724</v>
      </c>
      <c r="G13" s="656">
        <v>15362839.641073283</v>
      </c>
      <c r="H13" s="656">
        <v>28810623.153348003</v>
      </c>
      <c r="I13" s="656">
        <v>5153822.8441966297</v>
      </c>
      <c r="J13" s="656">
        <v>6596188.48535858</v>
      </c>
      <c r="K13" s="657">
        <v>11750011.329555206</v>
      </c>
      <c r="O13" s="592"/>
      <c r="P13" s="592"/>
      <c r="Q13" s="592"/>
      <c r="R13" s="592"/>
      <c r="S13" s="592"/>
      <c r="T13" s="592"/>
      <c r="U13" s="592"/>
      <c r="V13" s="592"/>
      <c r="W13" s="592"/>
    </row>
    <row r="14" spans="1:26">
      <c r="A14" s="174">
        <v>6</v>
      </c>
      <c r="B14" s="151" t="s">
        <v>330</v>
      </c>
      <c r="C14" s="268">
        <v>0</v>
      </c>
      <c r="D14" s="656">
        <v>0</v>
      </c>
      <c r="E14" s="656">
        <v>0</v>
      </c>
      <c r="F14" s="656">
        <v>0</v>
      </c>
      <c r="G14" s="656">
        <v>0</v>
      </c>
      <c r="H14" s="656">
        <v>0</v>
      </c>
      <c r="I14" s="656">
        <v>0</v>
      </c>
      <c r="J14" s="656">
        <v>0</v>
      </c>
      <c r="K14" s="657">
        <v>0</v>
      </c>
      <c r="O14" s="592"/>
      <c r="P14" s="592"/>
      <c r="Q14" s="592"/>
      <c r="R14" s="592"/>
      <c r="S14" s="592"/>
      <c r="T14" s="592"/>
      <c r="U14" s="592"/>
      <c r="V14" s="592"/>
      <c r="W14" s="592"/>
    </row>
    <row r="15" spans="1:26">
      <c r="A15" s="174">
        <v>7</v>
      </c>
      <c r="B15" s="151" t="s">
        <v>317</v>
      </c>
      <c r="C15" s="268">
        <v>38611598.585161865</v>
      </c>
      <c r="D15" s="656">
        <v>121444621.17946692</v>
      </c>
      <c r="E15" s="656">
        <v>160056219.76462871</v>
      </c>
      <c r="F15" s="656">
        <v>1361274.562696629</v>
      </c>
      <c r="G15" s="656">
        <v>1587491.3587359551</v>
      </c>
      <c r="H15" s="656">
        <v>2948765.9214325845</v>
      </c>
      <c r="I15" s="656">
        <v>1361274.562696629</v>
      </c>
      <c r="J15" s="656">
        <v>1587491.3587359551</v>
      </c>
      <c r="K15" s="657">
        <v>2948765.9214325845</v>
      </c>
      <c r="O15" s="592"/>
      <c r="P15" s="592"/>
      <c r="Q15" s="592"/>
      <c r="R15" s="592"/>
      <c r="S15" s="592"/>
      <c r="T15" s="592"/>
      <c r="U15" s="592"/>
      <c r="V15" s="592"/>
      <c r="W15" s="592"/>
    </row>
    <row r="16" spans="1:26">
      <c r="A16" s="174">
        <v>8</v>
      </c>
      <c r="B16" s="152" t="s">
        <v>318</v>
      </c>
      <c r="C16" s="268">
        <v>338752614.15359777</v>
      </c>
      <c r="D16" s="656">
        <v>1389766709.3251033</v>
      </c>
      <c r="E16" s="656">
        <v>1728519323.4787006</v>
      </c>
      <c r="F16" s="656">
        <v>62386467.933360241</v>
      </c>
      <c r="G16" s="656">
        <v>398509577.68982339</v>
      </c>
      <c r="H16" s="656">
        <v>460896045.62318361</v>
      </c>
      <c r="I16" s="656">
        <v>39053758.710801154</v>
      </c>
      <c r="J16" s="656">
        <v>155624254.71996897</v>
      </c>
      <c r="K16" s="657">
        <v>194678013.43077013</v>
      </c>
      <c r="O16" s="592"/>
      <c r="P16" s="592"/>
      <c r="Q16" s="592"/>
      <c r="R16" s="592"/>
      <c r="S16" s="592"/>
      <c r="T16" s="592"/>
      <c r="U16" s="592"/>
      <c r="V16" s="592"/>
      <c r="W16" s="592"/>
    </row>
    <row r="17" spans="1:23">
      <c r="A17" s="172" t="s">
        <v>319</v>
      </c>
      <c r="B17" s="166"/>
      <c r="C17" s="166"/>
      <c r="D17" s="166"/>
      <c r="E17" s="166"/>
      <c r="F17" s="166"/>
      <c r="G17" s="166"/>
      <c r="H17" s="166"/>
      <c r="I17" s="166"/>
      <c r="J17" s="166"/>
      <c r="K17" s="173"/>
      <c r="O17" s="592"/>
      <c r="P17" s="592"/>
      <c r="Q17" s="592"/>
      <c r="R17" s="592"/>
      <c r="S17" s="592"/>
      <c r="T17" s="592"/>
      <c r="U17" s="592"/>
      <c r="V17" s="592"/>
      <c r="W17" s="592"/>
    </row>
    <row r="18" spans="1:23">
      <c r="A18" s="174">
        <v>9</v>
      </c>
      <c r="B18" s="151" t="s">
        <v>320</v>
      </c>
      <c r="C18" s="268">
        <v>0</v>
      </c>
      <c r="D18" s="656">
        <v>0</v>
      </c>
      <c r="E18" s="656">
        <v>0</v>
      </c>
      <c r="F18" s="656">
        <v>0</v>
      </c>
      <c r="G18" s="656">
        <v>0</v>
      </c>
      <c r="H18" s="656">
        <v>0</v>
      </c>
      <c r="I18" s="656">
        <v>0</v>
      </c>
      <c r="J18" s="656">
        <v>0</v>
      </c>
      <c r="K18" s="657">
        <v>0</v>
      </c>
      <c r="O18" s="592"/>
      <c r="P18" s="592"/>
      <c r="Q18" s="592"/>
      <c r="R18" s="592"/>
      <c r="S18" s="592"/>
      <c r="T18" s="592"/>
      <c r="U18" s="592"/>
      <c r="V18" s="592"/>
      <c r="W18" s="592"/>
    </row>
    <row r="19" spans="1:23">
      <c r="A19" s="174">
        <v>10</v>
      </c>
      <c r="B19" s="151" t="s">
        <v>321</v>
      </c>
      <c r="C19" s="268">
        <v>442509985.76296061</v>
      </c>
      <c r="D19" s="656">
        <v>761326691.07471478</v>
      </c>
      <c r="E19" s="656">
        <v>1203836676.837676</v>
      </c>
      <c r="F19" s="656">
        <v>9602706.2268306091</v>
      </c>
      <c r="G19" s="656">
        <v>12862294.493757065</v>
      </c>
      <c r="H19" s="656">
        <v>22465000.720587663</v>
      </c>
      <c r="I19" s="656">
        <v>42067498.642542176</v>
      </c>
      <c r="J19" s="656">
        <v>221982455.39367741</v>
      </c>
      <c r="K19" s="657">
        <v>264049954.0362196</v>
      </c>
      <c r="O19" s="592"/>
      <c r="P19" s="592"/>
      <c r="Q19" s="592"/>
      <c r="R19" s="592"/>
      <c r="S19" s="592"/>
      <c r="T19" s="592"/>
      <c r="U19" s="592"/>
      <c r="V19" s="592"/>
      <c r="W19" s="592"/>
    </row>
    <row r="20" spans="1:23">
      <c r="A20" s="174">
        <v>11</v>
      </c>
      <c r="B20" s="151" t="s">
        <v>322</v>
      </c>
      <c r="C20" s="268">
        <v>30728386.68503518</v>
      </c>
      <c r="D20" s="656">
        <v>136219.85991460679</v>
      </c>
      <c r="E20" s="656">
        <v>30864606.544949789</v>
      </c>
      <c r="F20" s="656">
        <v>853843.27803503058</v>
      </c>
      <c r="G20" s="656">
        <v>0</v>
      </c>
      <c r="H20" s="656">
        <v>853843.27803503058</v>
      </c>
      <c r="I20" s="656">
        <v>853843.27803503058</v>
      </c>
      <c r="J20" s="656">
        <v>0</v>
      </c>
      <c r="K20" s="657">
        <v>853843.27803503058</v>
      </c>
      <c r="O20" s="592"/>
      <c r="P20" s="592"/>
      <c r="Q20" s="592"/>
      <c r="R20" s="592"/>
      <c r="S20" s="592"/>
      <c r="T20" s="592"/>
      <c r="U20" s="592"/>
      <c r="V20" s="592"/>
      <c r="W20" s="592"/>
    </row>
    <row r="21" spans="1:23" ht="13.5" thickBot="1">
      <c r="A21" s="114">
        <v>12</v>
      </c>
      <c r="B21" s="175" t="s">
        <v>323</v>
      </c>
      <c r="C21" s="658">
        <v>473238372.44799578</v>
      </c>
      <c r="D21" s="659">
        <v>761462910.93462944</v>
      </c>
      <c r="E21" s="658">
        <v>1234701283.3826258</v>
      </c>
      <c r="F21" s="659">
        <v>10456549.504865639</v>
      </c>
      <c r="G21" s="659">
        <v>12862294.493757065</v>
      </c>
      <c r="H21" s="659">
        <v>23318843.998622693</v>
      </c>
      <c r="I21" s="659">
        <v>42921341.920577206</v>
      </c>
      <c r="J21" s="659">
        <v>221982455.39367741</v>
      </c>
      <c r="K21" s="660">
        <v>264903797.31425464</v>
      </c>
      <c r="O21" s="592"/>
      <c r="P21" s="592"/>
      <c r="Q21" s="592"/>
      <c r="R21" s="592"/>
      <c r="S21" s="592"/>
      <c r="T21" s="592"/>
      <c r="U21" s="592"/>
      <c r="V21" s="592"/>
      <c r="W21" s="592"/>
    </row>
    <row r="22" spans="1:23" ht="38.25" customHeight="1" thickBot="1">
      <c r="A22" s="163"/>
      <c r="B22" s="164"/>
      <c r="C22" s="164"/>
      <c r="D22" s="164"/>
      <c r="E22" s="164"/>
      <c r="F22" s="799" t="s">
        <v>324</v>
      </c>
      <c r="G22" s="800"/>
      <c r="H22" s="800"/>
      <c r="I22" s="799" t="s">
        <v>325</v>
      </c>
      <c r="J22" s="800"/>
      <c r="K22" s="801"/>
      <c r="O22" s="592"/>
      <c r="P22" s="592"/>
      <c r="Q22" s="592"/>
      <c r="R22" s="592"/>
      <c r="S22" s="592"/>
      <c r="T22" s="592"/>
      <c r="U22" s="592"/>
      <c r="V22" s="592"/>
      <c r="W22" s="592"/>
    </row>
    <row r="23" spans="1:23">
      <c r="A23" s="156">
        <v>13</v>
      </c>
      <c r="B23" s="153" t="s">
        <v>310</v>
      </c>
      <c r="C23" s="162"/>
      <c r="D23" s="162"/>
      <c r="E23" s="162"/>
      <c r="F23" s="661">
        <f t="shared" ref="F23:K23" si="0">F8</f>
        <v>119488009.85749823</v>
      </c>
      <c r="G23" s="661">
        <f t="shared" si="0"/>
        <v>622309579.11918843</v>
      </c>
      <c r="H23" s="661">
        <f t="shared" si="0"/>
        <v>741797588.97668672</v>
      </c>
      <c r="I23" s="661">
        <f t="shared" si="0"/>
        <v>87023307.535382137</v>
      </c>
      <c r="J23" s="661">
        <f t="shared" si="0"/>
        <v>429876044.02848464</v>
      </c>
      <c r="K23" s="662">
        <f t="shared" si="0"/>
        <v>516899351.56386644</v>
      </c>
      <c r="O23" s="592"/>
      <c r="P23" s="592"/>
      <c r="Q23" s="592"/>
      <c r="R23" s="592"/>
      <c r="S23" s="592"/>
      <c r="T23" s="592"/>
      <c r="U23" s="592"/>
      <c r="V23" s="592"/>
      <c r="W23" s="592"/>
    </row>
    <row r="24" spans="1:23" ht="13.5" thickBot="1">
      <c r="A24" s="157">
        <v>14</v>
      </c>
      <c r="B24" s="154" t="s">
        <v>326</v>
      </c>
      <c r="C24" s="176"/>
      <c r="D24" s="160"/>
      <c r="E24" s="161"/>
      <c r="F24" s="663">
        <f t="shared" ref="F24:K24" si="1">MAX(F16-F21,F16*0.25)</f>
        <v>51929918.428494602</v>
      </c>
      <c r="G24" s="663">
        <f t="shared" si="1"/>
        <v>385647283.19606632</v>
      </c>
      <c r="H24" s="663">
        <f>MAX(H16-H21,H16*0.25)</f>
        <v>437577201.62456089</v>
      </c>
      <c r="I24" s="663">
        <f t="shared" si="1"/>
        <v>9763439.6777002886</v>
      </c>
      <c r="J24" s="663">
        <f t="shared" si="1"/>
        <v>38906063.679992244</v>
      </c>
      <c r="K24" s="664">
        <f t="shared" si="1"/>
        <v>48669503.357692532</v>
      </c>
      <c r="O24" s="592"/>
      <c r="P24" s="592"/>
      <c r="Q24" s="592"/>
      <c r="R24" s="592"/>
      <c r="S24" s="592"/>
      <c r="T24" s="592"/>
      <c r="U24" s="592"/>
      <c r="V24" s="592"/>
      <c r="W24" s="592"/>
    </row>
    <row r="25" spans="1:23" ht="13.5" thickBot="1">
      <c r="A25" s="158">
        <v>15</v>
      </c>
      <c r="B25" s="155" t="s">
        <v>327</v>
      </c>
      <c r="C25" s="159"/>
      <c r="D25" s="159"/>
      <c r="E25" s="159"/>
      <c r="F25" s="665">
        <f t="shared" ref="F25:K25" si="2">F23/F24</f>
        <v>2.3009473820381285</v>
      </c>
      <c r="G25" s="665">
        <f t="shared" si="2"/>
        <v>1.6136755170729442</v>
      </c>
      <c r="H25" s="665">
        <f t="shared" si="2"/>
        <v>1.6952382030477571</v>
      </c>
      <c r="I25" s="665">
        <f t="shared" si="2"/>
        <v>8.9131812566163031</v>
      </c>
      <c r="J25" s="665">
        <f t="shared" si="2"/>
        <v>11.049075731851842</v>
      </c>
      <c r="K25" s="666">
        <f t="shared" si="2"/>
        <v>10.620600497296159</v>
      </c>
      <c r="O25" s="592"/>
      <c r="P25" s="592"/>
      <c r="Q25" s="592"/>
      <c r="R25" s="592"/>
      <c r="S25" s="592"/>
      <c r="T25" s="592"/>
      <c r="U25" s="592"/>
      <c r="V25" s="592"/>
      <c r="W25" s="592"/>
    </row>
    <row r="28" spans="1:23" ht="38.25">
      <c r="B28" s="17"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showGridLines="0" zoomScale="80" zoomScaleNormal="80" workbookViewId="0">
      <pane xSplit="1" ySplit="1" topLeftCell="B2" activePane="bottomRight" state="frozen"/>
      <selection pane="topRight" activeCell="B1" sqref="B1"/>
      <selection pane="bottomLeft" activeCell="A5" sqref="A5"/>
      <selection pane="bottomRight"/>
    </sheetView>
  </sheetViews>
  <sheetFormatPr defaultColWidth="9.140625" defaultRowHeight="15"/>
  <cols>
    <col min="1" max="1" width="10.5703125" style="30" bestFit="1" customWidth="1"/>
    <col min="2" max="2" width="95" style="30" customWidth="1"/>
    <col min="3" max="9" width="15" style="30" customWidth="1"/>
    <col min="10" max="14" width="18.5703125" style="30" customWidth="1"/>
    <col min="15" max="17" width="18.5703125" style="8" customWidth="1"/>
    <col min="18" max="16384" width="9.140625" style="8"/>
  </cols>
  <sheetData>
    <row r="1" spans="1:17">
      <c r="A1" s="12" t="s">
        <v>97</v>
      </c>
      <c r="B1" s="30" t="str">
        <f>'1. key ratios'!B1</f>
        <v>სს "ბანკი ქართუ"</v>
      </c>
    </row>
    <row r="2" spans="1:17">
      <c r="A2" s="30" t="s">
        <v>98</v>
      </c>
      <c r="B2" s="585">
        <f>'1. key ratios'!B2</f>
        <v>45747</v>
      </c>
    </row>
    <row r="3" spans="1:17">
      <c r="B3" s="8"/>
      <c r="C3" s="8"/>
      <c r="D3" s="8"/>
      <c r="E3" s="8"/>
      <c r="F3" s="8"/>
      <c r="G3" s="8"/>
      <c r="H3" s="8"/>
      <c r="I3" s="8"/>
      <c r="J3" s="8"/>
      <c r="K3" s="8"/>
      <c r="L3" s="8"/>
      <c r="M3" s="8"/>
      <c r="N3" s="8"/>
    </row>
    <row r="4" spans="1:17">
      <c r="B4" s="568" t="s">
        <v>979</v>
      </c>
      <c r="C4" s="8"/>
      <c r="D4" s="8"/>
      <c r="E4" s="8"/>
      <c r="F4" s="8"/>
      <c r="G4" s="8"/>
      <c r="H4" s="8"/>
      <c r="I4" s="8"/>
      <c r="J4" s="8"/>
      <c r="K4" s="8"/>
      <c r="L4" s="8"/>
      <c r="M4" s="8"/>
      <c r="N4" s="8"/>
    </row>
    <row r="5" spans="1:17" ht="105">
      <c r="B5" s="569" t="s">
        <v>980</v>
      </c>
      <c r="C5" s="570" t="s">
        <v>981</v>
      </c>
      <c r="D5" s="570" t="s">
        <v>982</v>
      </c>
      <c r="E5" s="570" t="s">
        <v>983</v>
      </c>
      <c r="F5" s="570" t="s">
        <v>984</v>
      </c>
      <c r="G5" s="570" t="s">
        <v>985</v>
      </c>
      <c r="H5" s="570" t="s">
        <v>986</v>
      </c>
      <c r="I5" s="571" t="s">
        <v>987</v>
      </c>
      <c r="J5" s="572">
        <v>0.02</v>
      </c>
      <c r="K5" s="572">
        <v>0.2</v>
      </c>
      <c r="L5" s="572">
        <v>0.35</v>
      </c>
      <c r="M5" s="572">
        <v>0.5</v>
      </c>
      <c r="N5" s="572">
        <v>0.75</v>
      </c>
      <c r="O5" s="572">
        <v>1</v>
      </c>
      <c r="P5" s="572">
        <v>1.5</v>
      </c>
      <c r="Q5" s="573" t="s">
        <v>73</v>
      </c>
    </row>
    <row r="6" spans="1:17" ht="15.75">
      <c r="B6" s="574"/>
      <c r="C6" s="540" t="b">
        <f>IF(C7&gt;0,C7,IF(C8&gt;0,C8,IF(C9&gt;0,C9)))</f>
        <v>0</v>
      </c>
      <c r="D6" s="540" t="b">
        <f t="shared" ref="D6:Q6" si="0">IF(D7&gt;0,D7,IF(D8&gt;0,D8,IF(D9&gt;0,D9)))</f>
        <v>0</v>
      </c>
      <c r="E6" s="540" t="b">
        <f t="shared" si="0"/>
        <v>0</v>
      </c>
      <c r="F6" s="540" t="b">
        <f t="shared" si="0"/>
        <v>0</v>
      </c>
      <c r="G6" s="540" t="b">
        <f t="shared" si="0"/>
        <v>0</v>
      </c>
      <c r="H6" s="540"/>
      <c r="I6" s="540" t="b">
        <f t="shared" si="0"/>
        <v>0</v>
      </c>
      <c r="J6" s="540" t="b">
        <f t="shared" si="0"/>
        <v>0</v>
      </c>
      <c r="K6" s="540" t="b">
        <f t="shared" si="0"/>
        <v>0</v>
      </c>
      <c r="L6" s="540" t="b">
        <f t="shared" si="0"/>
        <v>0</v>
      </c>
      <c r="M6" s="540" t="b">
        <f t="shared" si="0"/>
        <v>0</v>
      </c>
      <c r="N6" s="540" t="b">
        <f t="shared" si="0"/>
        <v>0</v>
      </c>
      <c r="O6" s="540" t="b">
        <f t="shared" si="0"/>
        <v>0</v>
      </c>
      <c r="P6" s="540" t="b">
        <f t="shared" si="0"/>
        <v>0</v>
      </c>
      <c r="Q6" s="540" t="b">
        <f t="shared" si="0"/>
        <v>0</v>
      </c>
    </row>
    <row r="7" spans="1:17" ht="15.75">
      <c r="B7" s="575" t="s">
        <v>975</v>
      </c>
      <c r="C7" s="540">
        <f>C11+C15+C19+C23+C27+C31</f>
        <v>0</v>
      </c>
      <c r="D7" s="540"/>
      <c r="E7" s="540"/>
      <c r="F7" s="540">
        <f t="shared" ref="F7:G9" si="1">F11+F15+F19+F23+F27+F31</f>
        <v>0</v>
      </c>
      <c r="G7" s="540">
        <f t="shared" si="1"/>
        <v>0</v>
      </c>
      <c r="H7" s="576">
        <v>1.4</v>
      </c>
      <c r="I7" s="577">
        <f t="shared" ref="I7:I33" si="2">(F7+G7)*H7</f>
        <v>0</v>
      </c>
      <c r="J7" s="540">
        <f>J11+J15+J19+J23+J27+J31</f>
        <v>0</v>
      </c>
      <c r="K7" s="540">
        <f t="shared" ref="J7:Q9" si="3">K11+K15+K19+K23+K27+K31</f>
        <v>0</v>
      </c>
      <c r="L7" s="540">
        <f t="shared" si="3"/>
        <v>0</v>
      </c>
      <c r="M7" s="540">
        <f t="shared" si="3"/>
        <v>0</v>
      </c>
      <c r="N7" s="540">
        <f t="shared" si="3"/>
        <v>0</v>
      </c>
      <c r="O7" s="540">
        <f t="shared" si="3"/>
        <v>0</v>
      </c>
      <c r="P7" s="540">
        <f t="shared" si="3"/>
        <v>0</v>
      </c>
      <c r="Q7" s="540">
        <f>Q11+Q15+Q19+Q23+Q27+Q31</f>
        <v>0</v>
      </c>
    </row>
    <row r="8" spans="1:17" ht="15.75">
      <c r="B8" s="575" t="s">
        <v>976</v>
      </c>
      <c r="C8" s="540">
        <f>C12+C16+C20+C24+C28+C32</f>
        <v>0</v>
      </c>
      <c r="D8" s="540"/>
      <c r="E8" s="540"/>
      <c r="F8" s="540">
        <f t="shared" si="1"/>
        <v>0</v>
      </c>
      <c r="G8" s="540">
        <f t="shared" si="1"/>
        <v>0</v>
      </c>
      <c r="H8" s="576">
        <v>1.4</v>
      </c>
      <c r="I8" s="577">
        <f t="shared" si="2"/>
        <v>0</v>
      </c>
      <c r="J8" s="540">
        <f t="shared" si="3"/>
        <v>0</v>
      </c>
      <c r="K8" s="540">
        <f t="shared" si="3"/>
        <v>0</v>
      </c>
      <c r="L8" s="540">
        <f t="shared" si="3"/>
        <v>0</v>
      </c>
      <c r="M8" s="540">
        <f t="shared" si="3"/>
        <v>0</v>
      </c>
      <c r="N8" s="540">
        <f t="shared" si="3"/>
        <v>0</v>
      </c>
      <c r="O8" s="540">
        <f t="shared" si="3"/>
        <v>0</v>
      </c>
      <c r="P8" s="540">
        <f t="shared" si="3"/>
        <v>0</v>
      </c>
      <c r="Q8" s="540">
        <f>Q12+Q16+Q20+Q24+Q28+Q32</f>
        <v>0</v>
      </c>
    </row>
    <row r="9" spans="1:17" ht="15.75">
      <c r="B9" s="575" t="s">
        <v>977</v>
      </c>
      <c r="C9" s="540">
        <f>C13+C17+C21+C25+C29+C33</f>
        <v>0</v>
      </c>
      <c r="D9" s="540"/>
      <c r="E9" s="540"/>
      <c r="F9" s="540">
        <f t="shared" si="1"/>
        <v>0</v>
      </c>
      <c r="G9" s="540">
        <f t="shared" si="1"/>
        <v>0</v>
      </c>
      <c r="H9" s="576">
        <v>1.4</v>
      </c>
      <c r="I9" s="577">
        <f t="shared" si="2"/>
        <v>0</v>
      </c>
      <c r="J9" s="540">
        <f t="shared" si="3"/>
        <v>0</v>
      </c>
      <c r="K9" s="540">
        <f t="shared" si="3"/>
        <v>0</v>
      </c>
      <c r="L9" s="540">
        <f t="shared" si="3"/>
        <v>0</v>
      </c>
      <c r="M9" s="540">
        <f t="shared" si="3"/>
        <v>0</v>
      </c>
      <c r="N9" s="540">
        <f t="shared" si="3"/>
        <v>0</v>
      </c>
      <c r="O9" s="540">
        <f t="shared" si="3"/>
        <v>0</v>
      </c>
      <c r="P9" s="540">
        <f t="shared" si="3"/>
        <v>0</v>
      </c>
      <c r="Q9" s="540">
        <f t="shared" si="3"/>
        <v>0</v>
      </c>
    </row>
    <row r="10" spans="1:17" ht="15.75">
      <c r="B10" s="578" t="s">
        <v>988</v>
      </c>
      <c r="C10" s="579"/>
      <c r="D10" s="579"/>
      <c r="E10" s="579"/>
      <c r="F10" s="579"/>
      <c r="G10" s="579"/>
      <c r="H10" s="576">
        <v>1.4</v>
      </c>
      <c r="I10" s="577">
        <f t="shared" si="2"/>
        <v>0</v>
      </c>
      <c r="J10" s="537"/>
      <c r="K10" s="537"/>
      <c r="L10" s="537"/>
      <c r="M10" s="537"/>
      <c r="N10" s="537"/>
      <c r="O10" s="537"/>
      <c r="P10" s="537"/>
      <c r="Q10" s="540">
        <f>SUM(Q11:Q13)</f>
        <v>0</v>
      </c>
    </row>
    <row r="11" spans="1:17" ht="15.75">
      <c r="B11" s="580" t="s">
        <v>975</v>
      </c>
      <c r="C11" s="579"/>
      <c r="D11" s="579"/>
      <c r="E11" s="579"/>
      <c r="F11" s="579"/>
      <c r="G11" s="579"/>
      <c r="H11" s="576">
        <v>1.4</v>
      </c>
      <c r="I11" s="577">
        <f t="shared" si="2"/>
        <v>0</v>
      </c>
      <c r="J11" s="537"/>
      <c r="K11" s="537"/>
      <c r="L11" s="537"/>
      <c r="M11" s="537"/>
      <c r="N11" s="537"/>
      <c r="O11" s="537"/>
      <c r="P11" s="537"/>
      <c r="Q11" s="540">
        <f>SUMPRODUCT($J$5:$P$5,J11:P11)</f>
        <v>0</v>
      </c>
    </row>
    <row r="12" spans="1:17" ht="15.75">
      <c r="B12" s="580" t="s">
        <v>976</v>
      </c>
      <c r="C12" s="579"/>
      <c r="D12" s="579"/>
      <c r="E12" s="579"/>
      <c r="F12" s="579"/>
      <c r="G12" s="579"/>
      <c r="H12" s="576">
        <v>1.4</v>
      </c>
      <c r="I12" s="577">
        <f t="shared" si="2"/>
        <v>0</v>
      </c>
      <c r="J12" s="537"/>
      <c r="K12" s="537"/>
      <c r="L12" s="537"/>
      <c r="M12" s="537"/>
      <c r="N12" s="537"/>
      <c r="O12" s="537"/>
      <c r="P12" s="537"/>
      <c r="Q12" s="540">
        <f t="shared" ref="Q12:Q13" si="4">SUMPRODUCT($J$5:$P$5,J12:P12)</f>
        <v>0</v>
      </c>
    </row>
    <row r="13" spans="1:17" ht="15.75">
      <c r="B13" s="580" t="s">
        <v>977</v>
      </c>
      <c r="C13" s="579"/>
      <c r="D13" s="579"/>
      <c r="E13" s="579"/>
      <c r="F13" s="579"/>
      <c r="G13" s="579"/>
      <c r="H13" s="576">
        <v>1.4</v>
      </c>
      <c r="I13" s="577">
        <f t="shared" si="2"/>
        <v>0</v>
      </c>
      <c r="J13" s="537"/>
      <c r="K13" s="537"/>
      <c r="L13" s="537"/>
      <c r="M13" s="537"/>
      <c r="N13" s="537"/>
      <c r="O13" s="537"/>
      <c r="P13" s="537"/>
      <c r="Q13" s="540">
        <f t="shared" si="4"/>
        <v>0</v>
      </c>
    </row>
    <row r="14" spans="1:17" ht="15.75">
      <c r="B14" s="578" t="s">
        <v>989</v>
      </c>
      <c r="C14" s="579"/>
      <c r="D14" s="579"/>
      <c r="E14" s="579"/>
      <c r="F14" s="579"/>
      <c r="G14" s="579"/>
      <c r="H14" s="576">
        <v>1.4</v>
      </c>
      <c r="I14" s="577">
        <f t="shared" si="2"/>
        <v>0</v>
      </c>
      <c r="J14" s="537"/>
      <c r="K14" s="537"/>
      <c r="L14" s="537"/>
      <c r="M14" s="537"/>
      <c r="N14" s="537"/>
      <c r="O14" s="537"/>
      <c r="P14" s="537"/>
      <c r="Q14" s="540">
        <f>SUM(Q15:Q17)</f>
        <v>0</v>
      </c>
    </row>
    <row r="15" spans="1:17" ht="15.75">
      <c r="B15" s="580" t="s">
        <v>975</v>
      </c>
      <c r="C15" s="579"/>
      <c r="D15" s="579"/>
      <c r="E15" s="579"/>
      <c r="F15" s="579"/>
      <c r="G15" s="579"/>
      <c r="H15" s="576">
        <v>1.4</v>
      </c>
      <c r="I15" s="577">
        <f t="shared" si="2"/>
        <v>0</v>
      </c>
      <c r="J15" s="537"/>
      <c r="K15" s="537"/>
      <c r="L15" s="537"/>
      <c r="M15" s="537"/>
      <c r="N15" s="537"/>
      <c r="O15" s="537"/>
      <c r="P15" s="537"/>
      <c r="Q15" s="540">
        <f>SUMPRODUCT($J$5:$P$5,J15:P15)</f>
        <v>0</v>
      </c>
    </row>
    <row r="16" spans="1:17" ht="15.75">
      <c r="B16" s="580" t="s">
        <v>976</v>
      </c>
      <c r="C16" s="579"/>
      <c r="D16" s="579"/>
      <c r="E16" s="579"/>
      <c r="F16" s="579"/>
      <c r="G16" s="579"/>
      <c r="H16" s="576">
        <v>1.4</v>
      </c>
      <c r="I16" s="577">
        <f t="shared" si="2"/>
        <v>0</v>
      </c>
      <c r="J16" s="537"/>
      <c r="K16" s="537"/>
      <c r="L16" s="537"/>
      <c r="M16" s="537"/>
      <c r="N16" s="537"/>
      <c r="O16" s="537"/>
      <c r="P16" s="537"/>
      <c r="Q16" s="540">
        <f t="shared" ref="Q16:Q17" si="5">SUMPRODUCT($J$5:$P$5,J16:P16)</f>
        <v>0</v>
      </c>
    </row>
    <row r="17" spans="2:17" ht="15.75">
      <c r="B17" s="580" t="s">
        <v>977</v>
      </c>
      <c r="C17" s="579"/>
      <c r="D17" s="579"/>
      <c r="E17" s="579"/>
      <c r="F17" s="579"/>
      <c r="G17" s="579"/>
      <c r="H17" s="576">
        <v>1.4</v>
      </c>
      <c r="I17" s="577">
        <f t="shared" si="2"/>
        <v>0</v>
      </c>
      <c r="J17" s="537"/>
      <c r="K17" s="537"/>
      <c r="L17" s="537"/>
      <c r="M17" s="537"/>
      <c r="N17" s="537"/>
      <c r="O17" s="537"/>
      <c r="P17" s="537"/>
      <c r="Q17" s="540">
        <f t="shared" si="5"/>
        <v>0</v>
      </c>
    </row>
    <row r="18" spans="2:17" ht="15.75">
      <c r="B18" s="578" t="s">
        <v>990</v>
      </c>
      <c r="C18" s="579"/>
      <c r="D18" s="579"/>
      <c r="E18" s="579"/>
      <c r="F18" s="579"/>
      <c r="G18" s="579"/>
      <c r="H18" s="576">
        <v>1.4</v>
      </c>
      <c r="I18" s="577">
        <f t="shared" si="2"/>
        <v>0</v>
      </c>
      <c r="J18" s="537"/>
      <c r="K18" s="537"/>
      <c r="L18" s="537"/>
      <c r="M18" s="537"/>
      <c r="N18" s="537"/>
      <c r="O18" s="537"/>
      <c r="P18" s="537"/>
      <c r="Q18" s="540">
        <f>SUM(Q19:Q21)</f>
        <v>0</v>
      </c>
    </row>
    <row r="19" spans="2:17" ht="15.75">
      <c r="B19" s="580" t="s">
        <v>975</v>
      </c>
      <c r="C19" s="579"/>
      <c r="D19" s="579"/>
      <c r="E19" s="579"/>
      <c r="F19" s="579"/>
      <c r="G19" s="579"/>
      <c r="H19" s="576">
        <v>1.4</v>
      </c>
      <c r="I19" s="577">
        <f t="shared" si="2"/>
        <v>0</v>
      </c>
      <c r="J19" s="537"/>
      <c r="K19" s="537"/>
      <c r="L19" s="537"/>
      <c r="M19" s="537"/>
      <c r="N19" s="537"/>
      <c r="O19" s="537"/>
      <c r="P19" s="537"/>
      <c r="Q19" s="540">
        <f>SUMPRODUCT($J$5:$P$5,J19:P19)</f>
        <v>0</v>
      </c>
    </row>
    <row r="20" spans="2:17" ht="15.75">
      <c r="B20" s="580" t="s">
        <v>976</v>
      </c>
      <c r="C20" s="579"/>
      <c r="D20" s="579"/>
      <c r="E20" s="579"/>
      <c r="F20" s="579"/>
      <c r="G20" s="579"/>
      <c r="H20" s="576">
        <v>1.4</v>
      </c>
      <c r="I20" s="577">
        <f t="shared" si="2"/>
        <v>0</v>
      </c>
      <c r="J20" s="537"/>
      <c r="K20" s="537"/>
      <c r="L20" s="537"/>
      <c r="M20" s="537"/>
      <c r="N20" s="537"/>
      <c r="O20" s="537"/>
      <c r="P20" s="537"/>
      <c r="Q20" s="540">
        <f t="shared" ref="Q20:Q21" si="6">SUMPRODUCT($J$5:$P$5,J20:P20)</f>
        <v>0</v>
      </c>
    </row>
    <row r="21" spans="2:17" ht="15.75">
      <c r="B21" s="580" t="s">
        <v>977</v>
      </c>
      <c r="C21" s="579"/>
      <c r="D21" s="579"/>
      <c r="E21" s="579"/>
      <c r="F21" s="579"/>
      <c r="G21" s="579"/>
      <c r="H21" s="576">
        <v>1.4</v>
      </c>
      <c r="I21" s="577">
        <f t="shared" si="2"/>
        <v>0</v>
      </c>
      <c r="J21" s="537"/>
      <c r="K21" s="537"/>
      <c r="L21" s="537"/>
      <c r="M21" s="537"/>
      <c r="N21" s="537"/>
      <c r="O21" s="537"/>
      <c r="P21" s="537"/>
      <c r="Q21" s="540">
        <f t="shared" si="6"/>
        <v>0</v>
      </c>
    </row>
    <row r="22" spans="2:17" ht="15.75">
      <c r="B22" s="578" t="s">
        <v>991</v>
      </c>
      <c r="C22" s="579"/>
      <c r="D22" s="579"/>
      <c r="E22" s="579"/>
      <c r="F22" s="579"/>
      <c r="G22" s="579"/>
      <c r="H22" s="576">
        <v>1.4</v>
      </c>
      <c r="I22" s="577">
        <f t="shared" si="2"/>
        <v>0</v>
      </c>
      <c r="J22" s="537"/>
      <c r="K22" s="537"/>
      <c r="L22" s="537"/>
      <c r="M22" s="537"/>
      <c r="N22" s="537"/>
      <c r="O22" s="537"/>
      <c r="P22" s="537"/>
      <c r="Q22" s="540">
        <f>SUM(Q23:Q25)</f>
        <v>0</v>
      </c>
    </row>
    <row r="23" spans="2:17" ht="15.75">
      <c r="B23" s="580" t="s">
        <v>975</v>
      </c>
      <c r="C23" s="579"/>
      <c r="D23" s="579"/>
      <c r="E23" s="579"/>
      <c r="F23" s="579"/>
      <c r="G23" s="579"/>
      <c r="H23" s="576">
        <v>1.4</v>
      </c>
      <c r="I23" s="577">
        <f t="shared" si="2"/>
        <v>0</v>
      </c>
      <c r="J23" s="537"/>
      <c r="K23" s="537"/>
      <c r="L23" s="537"/>
      <c r="M23" s="537"/>
      <c r="N23" s="537"/>
      <c r="O23" s="537"/>
      <c r="P23" s="537"/>
      <c r="Q23" s="540">
        <f>SUMPRODUCT($J$5:$P$5,J23:P23)</f>
        <v>0</v>
      </c>
    </row>
    <row r="24" spans="2:17" ht="15.75">
      <c r="B24" s="580" t="s">
        <v>976</v>
      </c>
      <c r="C24" s="579"/>
      <c r="D24" s="579"/>
      <c r="E24" s="579"/>
      <c r="F24" s="579"/>
      <c r="G24" s="579"/>
      <c r="H24" s="576">
        <v>1.4</v>
      </c>
      <c r="I24" s="577">
        <f t="shared" si="2"/>
        <v>0</v>
      </c>
      <c r="J24" s="537"/>
      <c r="K24" s="537"/>
      <c r="L24" s="537"/>
      <c r="M24" s="537"/>
      <c r="N24" s="537"/>
      <c r="O24" s="537"/>
      <c r="P24" s="537"/>
      <c r="Q24" s="540">
        <f t="shared" ref="Q24:Q25" si="7">SUMPRODUCT($J$5:$P$5,J24:P24)</f>
        <v>0</v>
      </c>
    </row>
    <row r="25" spans="2:17" ht="15.75">
      <c r="B25" s="580" t="s">
        <v>977</v>
      </c>
      <c r="C25" s="579"/>
      <c r="D25" s="579"/>
      <c r="E25" s="579"/>
      <c r="F25" s="579"/>
      <c r="G25" s="579"/>
      <c r="H25" s="576">
        <v>1.4</v>
      </c>
      <c r="I25" s="577">
        <f t="shared" si="2"/>
        <v>0</v>
      </c>
      <c r="J25" s="537"/>
      <c r="K25" s="537"/>
      <c r="L25" s="537"/>
      <c r="M25" s="537"/>
      <c r="N25" s="537"/>
      <c r="O25" s="537"/>
      <c r="P25" s="537"/>
      <c r="Q25" s="540">
        <f t="shared" si="7"/>
        <v>0</v>
      </c>
    </row>
    <row r="26" spans="2:17" ht="15.75">
      <c r="B26" s="578" t="s">
        <v>992</v>
      </c>
      <c r="C26" s="579"/>
      <c r="D26" s="579"/>
      <c r="E26" s="579"/>
      <c r="F26" s="579"/>
      <c r="G26" s="579"/>
      <c r="H26" s="576">
        <v>1.4</v>
      </c>
      <c r="I26" s="577">
        <f t="shared" si="2"/>
        <v>0</v>
      </c>
      <c r="J26" s="537"/>
      <c r="K26" s="537"/>
      <c r="L26" s="537"/>
      <c r="M26" s="537"/>
      <c r="N26" s="537"/>
      <c r="O26" s="537"/>
      <c r="P26" s="537"/>
      <c r="Q26" s="540">
        <f>SUM(Q27:Q29)</f>
        <v>0</v>
      </c>
    </row>
    <row r="27" spans="2:17" ht="15.75">
      <c r="B27" s="580" t="s">
        <v>975</v>
      </c>
      <c r="C27" s="579"/>
      <c r="D27" s="579"/>
      <c r="E27" s="579"/>
      <c r="F27" s="579"/>
      <c r="G27" s="579"/>
      <c r="H27" s="576">
        <v>1.4</v>
      </c>
      <c r="I27" s="577">
        <f t="shared" si="2"/>
        <v>0</v>
      </c>
      <c r="J27" s="537"/>
      <c r="K27" s="537"/>
      <c r="L27" s="537"/>
      <c r="M27" s="537"/>
      <c r="N27" s="537"/>
      <c r="O27" s="537"/>
      <c r="P27" s="537"/>
      <c r="Q27" s="540">
        <f>SUMPRODUCT($J$5:$P$5,J27:P27)</f>
        <v>0</v>
      </c>
    </row>
    <row r="28" spans="2:17" ht="15.75">
      <c r="B28" s="580" t="s">
        <v>976</v>
      </c>
      <c r="C28" s="579"/>
      <c r="D28" s="579"/>
      <c r="E28" s="579"/>
      <c r="F28" s="579"/>
      <c r="G28" s="579"/>
      <c r="H28" s="576">
        <v>1.4</v>
      </c>
      <c r="I28" s="577">
        <f t="shared" si="2"/>
        <v>0</v>
      </c>
      <c r="J28" s="537"/>
      <c r="K28" s="537"/>
      <c r="L28" s="537"/>
      <c r="M28" s="537"/>
      <c r="N28" s="537"/>
      <c r="O28" s="537"/>
      <c r="P28" s="537"/>
      <c r="Q28" s="540">
        <f t="shared" ref="Q28:Q29" si="8">SUMPRODUCT($J$5:$P$5,J28:P28)</f>
        <v>0</v>
      </c>
    </row>
    <row r="29" spans="2:17" ht="15.75">
      <c r="B29" s="580" t="s">
        <v>977</v>
      </c>
      <c r="C29" s="579"/>
      <c r="D29" s="579"/>
      <c r="E29" s="579"/>
      <c r="F29" s="579"/>
      <c r="G29" s="579"/>
      <c r="H29" s="576">
        <v>1.4</v>
      </c>
      <c r="I29" s="577">
        <f t="shared" si="2"/>
        <v>0</v>
      </c>
      <c r="J29" s="537"/>
      <c r="K29" s="537"/>
      <c r="L29" s="537"/>
      <c r="M29" s="537"/>
      <c r="N29" s="537"/>
      <c r="O29" s="537"/>
      <c r="P29" s="537"/>
      <c r="Q29" s="540">
        <f t="shared" si="8"/>
        <v>0</v>
      </c>
    </row>
    <row r="30" spans="2:17" ht="15.75">
      <c r="B30" s="581" t="s">
        <v>993</v>
      </c>
      <c r="C30" s="579"/>
      <c r="D30" s="579"/>
      <c r="E30" s="579"/>
      <c r="F30" s="579"/>
      <c r="G30" s="579"/>
      <c r="H30" s="576">
        <v>1.4</v>
      </c>
      <c r="I30" s="577">
        <f t="shared" si="2"/>
        <v>0</v>
      </c>
      <c r="J30" s="537"/>
      <c r="K30" s="537"/>
      <c r="L30" s="537"/>
      <c r="M30" s="537"/>
      <c r="N30" s="537"/>
      <c r="O30" s="537"/>
      <c r="P30" s="537"/>
      <c r="Q30" s="540">
        <f>SUM(Q31:Q33)</f>
        <v>0</v>
      </c>
    </row>
    <row r="31" spans="2:17" ht="15.75">
      <c r="B31" s="580" t="s">
        <v>975</v>
      </c>
      <c r="C31" s="579"/>
      <c r="D31" s="579"/>
      <c r="E31" s="579"/>
      <c r="F31" s="579"/>
      <c r="G31" s="579"/>
      <c r="H31" s="576">
        <v>1.4</v>
      </c>
      <c r="I31" s="577">
        <f t="shared" si="2"/>
        <v>0</v>
      </c>
      <c r="J31" s="537"/>
      <c r="K31" s="537"/>
      <c r="L31" s="537"/>
      <c r="M31" s="537"/>
      <c r="N31" s="537"/>
      <c r="O31" s="537"/>
      <c r="P31" s="537"/>
      <c r="Q31" s="540">
        <f>SUMPRODUCT($J$5:$P$5,J31:P31)</f>
        <v>0</v>
      </c>
    </row>
    <row r="32" spans="2:17" ht="15.75">
      <c r="B32" s="580" t="s">
        <v>976</v>
      </c>
      <c r="C32" s="579"/>
      <c r="D32" s="579"/>
      <c r="E32" s="579"/>
      <c r="F32" s="579"/>
      <c r="G32" s="579"/>
      <c r="H32" s="576">
        <v>1.4</v>
      </c>
      <c r="I32" s="577">
        <f t="shared" si="2"/>
        <v>0</v>
      </c>
      <c r="J32" s="537"/>
      <c r="K32" s="537"/>
      <c r="L32" s="537"/>
      <c r="M32" s="537"/>
      <c r="N32" s="537"/>
      <c r="O32" s="537"/>
      <c r="P32" s="537"/>
      <c r="Q32" s="540">
        <f t="shared" ref="Q32:Q33" si="9">SUMPRODUCT($J$5:$P$5,J32:P32)</f>
        <v>0</v>
      </c>
    </row>
    <row r="33" spans="2:17" ht="15.75">
      <c r="B33" s="580" t="s">
        <v>977</v>
      </c>
      <c r="C33" s="579"/>
      <c r="D33" s="579"/>
      <c r="E33" s="579"/>
      <c r="F33" s="579"/>
      <c r="G33" s="579"/>
      <c r="H33" s="576">
        <v>1.4</v>
      </c>
      <c r="I33" s="577">
        <f t="shared" si="2"/>
        <v>0</v>
      </c>
      <c r="J33" s="537"/>
      <c r="K33" s="537"/>
      <c r="L33" s="537"/>
      <c r="M33" s="537"/>
      <c r="N33" s="537"/>
      <c r="O33" s="537"/>
      <c r="P33" s="537"/>
      <c r="Q33" s="540">
        <f t="shared" si="9"/>
        <v>0</v>
      </c>
    </row>
    <row r="34" spans="2:17" ht="15.75">
      <c r="B34" s="582" t="s">
        <v>66</v>
      </c>
      <c r="C34" s="583" t="b">
        <f>C6</f>
        <v>0</v>
      </c>
      <c r="D34" s="583" t="b">
        <f t="shared" ref="D34:G34" si="10">D6</f>
        <v>0</v>
      </c>
      <c r="E34" s="583" t="b">
        <f t="shared" si="10"/>
        <v>0</v>
      </c>
      <c r="F34" s="583" t="b">
        <f t="shared" si="10"/>
        <v>0</v>
      </c>
      <c r="G34" s="583" t="b">
        <f t="shared" si="10"/>
        <v>0</v>
      </c>
      <c r="H34" s="576">
        <v>1.4</v>
      </c>
      <c r="I34" s="577">
        <f>(F34+G34)*H34</f>
        <v>0</v>
      </c>
      <c r="J34" s="583" t="b">
        <f t="shared" ref="J34:Q34" si="11">J6</f>
        <v>0</v>
      </c>
      <c r="K34" s="583" t="b">
        <f t="shared" si="11"/>
        <v>0</v>
      </c>
      <c r="L34" s="583" t="b">
        <f t="shared" si="11"/>
        <v>0</v>
      </c>
      <c r="M34" s="583" t="b">
        <f t="shared" si="11"/>
        <v>0</v>
      </c>
      <c r="N34" s="583" t="b">
        <f t="shared" si="11"/>
        <v>0</v>
      </c>
      <c r="O34" s="583" t="b">
        <f t="shared" si="11"/>
        <v>0</v>
      </c>
      <c r="P34" s="583" t="b">
        <f t="shared" si="11"/>
        <v>0</v>
      </c>
      <c r="Q34" s="583" t="b">
        <f t="shared" si="11"/>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N53"/>
  <sheetViews>
    <sheetView showGridLines="0" zoomScale="80" zoomScaleNormal="80" workbookViewId="0">
      <pane xSplit="1" ySplit="5" topLeftCell="B6" activePane="bottomRight" state="frozen"/>
      <selection pane="topRight" activeCell="B1" sqref="B1"/>
      <selection pane="bottomLeft" activeCell="A6" sqref="A6"/>
      <selection pane="bottomRight"/>
    </sheetView>
  </sheetViews>
  <sheetFormatPr defaultRowHeight="15.75"/>
  <cols>
    <col min="1" max="1" width="9.5703125" style="14" bestFit="1" customWidth="1"/>
    <col min="2" max="2" width="88.42578125" style="12" customWidth="1"/>
    <col min="3" max="3" width="13.85546875" style="12" bestFit="1" customWidth="1"/>
    <col min="4" max="7" width="13.85546875" style="1" bestFit="1" customWidth="1"/>
    <col min="8" max="9" width="6.85546875" customWidth="1"/>
  </cols>
  <sheetData>
    <row r="1" spans="1:14">
      <c r="A1" s="13" t="s">
        <v>97</v>
      </c>
      <c r="B1" s="217" t="str">
        <f>Info!C2</f>
        <v>სს "ბანკი ქართუ"</v>
      </c>
    </row>
    <row r="2" spans="1:14">
      <c r="A2" s="13" t="s">
        <v>98</v>
      </c>
      <c r="B2" s="585">
        <v>45747</v>
      </c>
    </row>
    <row r="3" spans="1:14" ht="16.5" thickBot="1">
      <c r="A3" s="13"/>
    </row>
    <row r="4" spans="1:14" ht="15" customHeight="1" thickBot="1">
      <c r="A4" s="31" t="s">
        <v>241</v>
      </c>
      <c r="B4" s="107" t="s">
        <v>128</v>
      </c>
      <c r="C4" s="108"/>
      <c r="D4" s="743" t="s">
        <v>903</v>
      </c>
      <c r="E4" s="744"/>
      <c r="F4" s="744"/>
      <c r="G4" s="745"/>
    </row>
    <row r="5" spans="1:14" ht="15">
      <c r="A5" s="146" t="s">
        <v>25</v>
      </c>
      <c r="B5" s="147"/>
      <c r="C5" s="236" t="str">
        <f>INT((MONTH($B$2))/3)&amp;"Q"&amp;"-"&amp;YEAR($B$2)</f>
        <v>1Q-2025</v>
      </c>
      <c r="D5" s="236" t="str">
        <f>IF(INT(MONTH($B$2))=3, "4"&amp;"Q"&amp;"-"&amp;YEAR($B$2)-1, IF(INT(MONTH($B$2))=6, "1"&amp;"Q"&amp;"-"&amp;YEAR($B$2), IF(INT(MONTH($B$2))=9, "2"&amp;"Q"&amp;"-"&amp;YEAR($B$2),IF(INT(MONTH($B$2))=12, "3"&amp;"Q"&amp;"-"&amp;YEAR($B$2), 0))))</f>
        <v>4Q-2024</v>
      </c>
      <c r="E5" s="236" t="str">
        <f>IF(INT(MONTH($B$2))=3, "3"&amp;"Q"&amp;"-"&amp;YEAR($B$2)-1, IF(INT(MONTH($B$2))=6, "4"&amp;"Q"&amp;"-"&amp;YEAR($B$2)-1, IF(INT(MONTH($B$2))=9, "1"&amp;"Q"&amp;"-"&amp;YEAR($B$2),IF(INT(MONTH($B$2))=12, "2"&amp;"Q"&amp;"-"&amp;YEAR($B$2), 0))))</f>
        <v>3Q-2024</v>
      </c>
      <c r="F5" s="236" t="str">
        <f>IF(INT(MONTH($B$2))=3, "2"&amp;"Q"&amp;"-"&amp;YEAR($B$2)-1, IF(INT(MONTH($B$2))=6, "3"&amp;"Q"&amp;"-"&amp;YEAR($B$2)-1, IF(INT(MONTH($B$2))=9, "4"&amp;"Q"&amp;"-"&amp;YEAR($B$2)-1,IF(INT(MONTH($B$2))=12, "1"&amp;"Q"&amp;"-"&amp;YEAR($B$2), 0))))</f>
        <v>2Q-2024</v>
      </c>
      <c r="G5" s="237" t="str">
        <f>IF(INT(MONTH($B$2))=3, "1"&amp;"Q"&amp;"-"&amp;YEAR($B$2)-1, IF(INT(MONTH($B$2))=6, "2"&amp;"Q"&amp;"-"&amp;YEAR($B$2)-1, IF(INT(MONTH($B$2))=9, "3"&amp;"Q"&amp;"-"&amp;YEAR($B$2)-1,IF(INT(MONTH($B$2))=12, "4"&amp;"Q"&amp;"-"&amp;YEAR($B$2)-1, 0))))</f>
        <v>1Q-2024</v>
      </c>
    </row>
    <row r="6" spans="1:14" ht="15">
      <c r="A6" s="238"/>
      <c r="B6" s="239" t="s">
        <v>95</v>
      </c>
      <c r="C6" s="148"/>
      <c r="D6" s="148"/>
      <c r="E6" s="148"/>
      <c r="F6" s="148"/>
      <c r="G6" s="149"/>
    </row>
    <row r="7" spans="1:14" ht="15">
      <c r="A7" s="238"/>
      <c r="B7" s="240" t="s">
        <v>99</v>
      </c>
      <c r="C7" s="148"/>
      <c r="D7" s="148"/>
      <c r="E7" s="148"/>
      <c r="F7" s="148"/>
      <c r="G7" s="149"/>
    </row>
    <row r="8" spans="1:14" ht="15">
      <c r="A8" s="221">
        <v>1</v>
      </c>
      <c r="B8" s="222" t="s">
        <v>22</v>
      </c>
      <c r="C8" s="241">
        <v>418319570.88888454</v>
      </c>
      <c r="D8" s="242">
        <v>412586532.12407172</v>
      </c>
      <c r="E8" s="242">
        <v>403344352.85718989</v>
      </c>
      <c r="F8" s="242">
        <v>391791559.37544596</v>
      </c>
      <c r="G8" s="243">
        <v>385048994.53103387</v>
      </c>
      <c r="I8" s="722"/>
      <c r="J8" s="722"/>
      <c r="K8" s="722"/>
      <c r="L8" s="722"/>
      <c r="M8" s="722"/>
      <c r="N8" s="721"/>
    </row>
    <row r="9" spans="1:14" ht="15">
      <c r="A9" s="221">
        <v>2</v>
      </c>
      <c r="B9" s="222" t="s">
        <v>75</v>
      </c>
      <c r="C9" s="241">
        <v>493036670.88888454</v>
      </c>
      <c r="D9" s="242">
        <v>488370132.12407172</v>
      </c>
      <c r="E9" s="242">
        <v>478964516.38447112</v>
      </c>
      <c r="F9" s="242">
        <v>469582522.90272719</v>
      </c>
      <c r="G9" s="243">
        <v>459740358.0583151</v>
      </c>
      <c r="I9" s="722"/>
      <c r="J9" s="722"/>
      <c r="K9" s="722"/>
      <c r="L9" s="722"/>
      <c r="M9" s="722"/>
      <c r="N9" s="721"/>
    </row>
    <row r="10" spans="1:14" ht="15">
      <c r="A10" s="221">
        <v>3</v>
      </c>
      <c r="B10" s="222" t="s">
        <v>74</v>
      </c>
      <c r="C10" s="241">
        <v>509087010.88888454</v>
      </c>
      <c r="D10" s="242">
        <v>504649572.12407172</v>
      </c>
      <c r="E10" s="242">
        <v>498618356.38447112</v>
      </c>
      <c r="F10" s="242">
        <v>489815242.90272719</v>
      </c>
      <c r="G10" s="243">
        <v>481841818.0583151</v>
      </c>
      <c r="I10" s="722"/>
      <c r="J10" s="722"/>
      <c r="K10" s="722"/>
      <c r="L10" s="722"/>
      <c r="M10" s="722"/>
      <c r="N10" s="721"/>
    </row>
    <row r="11" spans="1:14" ht="15">
      <c r="A11" s="221">
        <v>4</v>
      </c>
      <c r="B11" s="222" t="s">
        <v>414</v>
      </c>
      <c r="C11" s="241">
        <v>299357890.43035549</v>
      </c>
      <c r="D11" s="242">
        <v>313388826.32111067</v>
      </c>
      <c r="E11" s="242">
        <v>301554927.07448804</v>
      </c>
      <c r="F11" s="242">
        <v>293827830.5881716</v>
      </c>
      <c r="G11" s="243">
        <v>289992921.27775925</v>
      </c>
      <c r="I11" s="722"/>
      <c r="J11" s="722"/>
      <c r="K11" s="722"/>
      <c r="L11" s="722"/>
      <c r="M11" s="722"/>
      <c r="N11" s="721"/>
    </row>
    <row r="12" spans="1:14" ht="15">
      <c r="A12" s="221">
        <v>5</v>
      </c>
      <c r="B12" s="222" t="s">
        <v>415</v>
      </c>
      <c r="C12" s="241">
        <v>359030017.90039587</v>
      </c>
      <c r="D12" s="242">
        <v>377261896.32778132</v>
      </c>
      <c r="E12" s="242">
        <v>358301919.15717971</v>
      </c>
      <c r="F12" s="242">
        <v>347261979.47127527</v>
      </c>
      <c r="G12" s="243">
        <v>342979091.85260135</v>
      </c>
      <c r="I12" s="722"/>
      <c r="J12" s="722"/>
      <c r="K12" s="722"/>
      <c r="L12" s="722"/>
      <c r="M12" s="722"/>
      <c r="N12" s="721"/>
    </row>
    <row r="13" spans="1:14" ht="15">
      <c r="A13" s="221">
        <v>6</v>
      </c>
      <c r="B13" s="222" t="s">
        <v>416</v>
      </c>
      <c r="C13" s="241">
        <v>438002182.08843654</v>
      </c>
      <c r="D13" s="242">
        <v>461809167.50389731</v>
      </c>
      <c r="E13" s="242">
        <v>433393117.01028091</v>
      </c>
      <c r="F13" s="242">
        <v>417975697.32150793</v>
      </c>
      <c r="G13" s="243">
        <v>413110099.14772004</v>
      </c>
      <c r="I13" s="722"/>
      <c r="J13" s="722"/>
      <c r="K13" s="722"/>
      <c r="L13" s="722"/>
      <c r="M13" s="722"/>
      <c r="N13" s="721"/>
    </row>
    <row r="14" spans="1:14" ht="15">
      <c r="A14" s="238"/>
      <c r="B14" s="239" t="s">
        <v>418</v>
      </c>
      <c r="C14" s="148"/>
      <c r="D14" s="148"/>
      <c r="E14" s="148"/>
      <c r="F14" s="148"/>
      <c r="G14" s="149"/>
      <c r="I14" s="722"/>
      <c r="J14" s="722"/>
      <c r="K14" s="722"/>
      <c r="L14" s="722"/>
      <c r="M14" s="722"/>
      <c r="N14" s="721"/>
    </row>
    <row r="15" spans="1:14" ht="21.95" customHeight="1">
      <c r="A15" s="221">
        <v>7</v>
      </c>
      <c r="B15" s="222" t="s">
        <v>417</v>
      </c>
      <c r="C15" s="244">
        <v>1733586564.3527336</v>
      </c>
      <c r="D15" s="242">
        <v>1914280435.8874013</v>
      </c>
      <c r="E15" s="242">
        <v>1611591428.3261507</v>
      </c>
      <c r="F15" s="242">
        <v>1541383415.3659451</v>
      </c>
      <c r="G15" s="243">
        <v>1566974847.240495</v>
      </c>
      <c r="I15" s="722"/>
      <c r="J15" s="722"/>
      <c r="K15" s="722"/>
      <c r="L15" s="722"/>
      <c r="M15" s="722"/>
      <c r="N15" s="721"/>
    </row>
    <row r="16" spans="1:14" ht="15">
      <c r="A16" s="238"/>
      <c r="B16" s="239" t="s">
        <v>421</v>
      </c>
      <c r="C16" s="148"/>
      <c r="D16" s="148"/>
      <c r="E16" s="148"/>
      <c r="F16" s="148"/>
      <c r="G16" s="149"/>
      <c r="I16" s="722"/>
      <c r="J16" s="722"/>
      <c r="K16" s="722"/>
      <c r="L16" s="722"/>
      <c r="M16" s="722"/>
      <c r="N16" s="721"/>
    </row>
    <row r="17" spans="1:14" ht="15">
      <c r="A17" s="221"/>
      <c r="B17" s="240" t="s">
        <v>966</v>
      </c>
      <c r="C17" s="148"/>
      <c r="D17" s="148"/>
      <c r="E17" s="148"/>
      <c r="F17" s="148"/>
      <c r="G17" s="149"/>
      <c r="I17" s="722"/>
      <c r="J17" s="722"/>
      <c r="K17" s="722"/>
      <c r="L17" s="722"/>
      <c r="M17" s="722"/>
      <c r="N17" s="721"/>
    </row>
    <row r="18" spans="1:14" ht="15">
      <c r="A18" s="221">
        <v>8</v>
      </c>
      <c r="B18" s="222" t="s">
        <v>412</v>
      </c>
      <c r="C18" s="250">
        <v>0.24130296086199299</v>
      </c>
      <c r="D18" s="251">
        <v>0.21553087227410822</v>
      </c>
      <c r="E18" s="251">
        <v>0.250277052711875</v>
      </c>
      <c r="F18" s="251">
        <v>0.25418176650254759</v>
      </c>
      <c r="G18" s="252">
        <v>0.24572761662966094</v>
      </c>
      <c r="I18" s="722"/>
      <c r="J18" s="722"/>
      <c r="K18" s="722"/>
      <c r="L18" s="722"/>
      <c r="M18" s="722"/>
      <c r="N18" s="721"/>
    </row>
    <row r="19" spans="1:14" ht="15" customHeight="1">
      <c r="A19" s="221">
        <v>9</v>
      </c>
      <c r="B19" s="222" t="s">
        <v>411</v>
      </c>
      <c r="C19" s="250">
        <v>0.28440268344659725</v>
      </c>
      <c r="D19" s="251">
        <v>0.25511942919569064</v>
      </c>
      <c r="E19" s="251">
        <v>0.29719971697909731</v>
      </c>
      <c r="F19" s="251">
        <v>0.30465004243687283</v>
      </c>
      <c r="G19" s="252">
        <v>0.29339357863206045</v>
      </c>
      <c r="I19" s="722"/>
      <c r="J19" s="722"/>
      <c r="K19" s="722"/>
      <c r="L19" s="722"/>
      <c r="M19" s="722"/>
      <c r="N19" s="721"/>
    </row>
    <row r="20" spans="1:14" ht="15">
      <c r="A20" s="221">
        <v>10</v>
      </c>
      <c r="B20" s="222" t="s">
        <v>413</v>
      </c>
      <c r="C20" s="250">
        <v>0.29366114237217888</v>
      </c>
      <c r="D20" s="251">
        <v>0.26362363771958613</v>
      </c>
      <c r="E20" s="251">
        <v>0.30939501639218309</v>
      </c>
      <c r="F20" s="251">
        <v>0.31777638063300329</v>
      </c>
      <c r="G20" s="252">
        <v>0.30749811900737123</v>
      </c>
      <c r="I20" s="722"/>
      <c r="J20" s="722"/>
      <c r="K20" s="722"/>
      <c r="L20" s="722"/>
      <c r="M20" s="722"/>
      <c r="N20" s="721"/>
    </row>
    <row r="21" spans="1:14" ht="15">
      <c r="A21" s="221">
        <v>11</v>
      </c>
      <c r="B21" s="222" t="s">
        <v>414</v>
      </c>
      <c r="C21" s="250">
        <v>0.17268124741271645</v>
      </c>
      <c r="D21" s="251">
        <v>0.16371103232627107</v>
      </c>
      <c r="E21" s="251">
        <v>0.18711623912500727</v>
      </c>
      <c r="F21" s="251">
        <v>0.19062604907969177</v>
      </c>
      <c r="G21" s="731">
        <v>0.18506546023278442</v>
      </c>
      <c r="I21" s="722"/>
      <c r="J21" s="722"/>
      <c r="K21" s="722"/>
      <c r="L21" s="722"/>
      <c r="M21" s="722"/>
      <c r="N21" s="721"/>
    </row>
    <row r="22" spans="1:14" ht="15">
      <c r="A22" s="221">
        <v>12</v>
      </c>
      <c r="B22" s="222" t="s">
        <v>415</v>
      </c>
      <c r="C22" s="250">
        <v>0.20710244604049888</v>
      </c>
      <c r="D22" s="251">
        <v>0.19707765343842859</v>
      </c>
      <c r="E22" s="251">
        <v>0.22232801245990946</v>
      </c>
      <c r="F22" s="251">
        <v>0.22529240681419335</v>
      </c>
      <c r="G22" s="731">
        <v>0.21887976852761942</v>
      </c>
      <c r="I22" s="722"/>
      <c r="J22" s="722"/>
      <c r="K22" s="722"/>
      <c r="L22" s="722"/>
      <c r="M22" s="722"/>
      <c r="N22" s="721"/>
    </row>
    <row r="23" spans="1:14" ht="15">
      <c r="A23" s="221">
        <v>13</v>
      </c>
      <c r="B23" s="222" t="s">
        <v>416</v>
      </c>
      <c r="C23" s="250">
        <v>0.25265665476126525</v>
      </c>
      <c r="D23" s="251">
        <v>0.24124426016495165</v>
      </c>
      <c r="E23" s="251">
        <v>0.26892245105846496</v>
      </c>
      <c r="F23" s="251">
        <v>0.27116919330695854</v>
      </c>
      <c r="G23" s="731">
        <v>0.26363543733661288</v>
      </c>
      <c r="I23" s="722"/>
      <c r="J23" s="722"/>
      <c r="K23" s="722"/>
      <c r="L23" s="722"/>
      <c r="M23" s="722"/>
      <c r="N23" s="721"/>
    </row>
    <row r="24" spans="1:14" ht="15">
      <c r="A24" s="238"/>
      <c r="B24" s="239" t="s">
        <v>951</v>
      </c>
      <c r="C24" s="148"/>
      <c r="D24" s="148"/>
      <c r="E24" s="148"/>
      <c r="F24" s="148"/>
      <c r="G24" s="149"/>
      <c r="I24" s="722"/>
      <c r="J24" s="722"/>
      <c r="K24" s="722"/>
      <c r="L24" s="722"/>
      <c r="M24" s="722"/>
      <c r="N24" s="721"/>
    </row>
    <row r="25" spans="1:14" ht="25.5">
      <c r="A25" s="221">
        <v>14</v>
      </c>
      <c r="B25" s="222" t="s">
        <v>952</v>
      </c>
      <c r="C25" s="250"/>
      <c r="D25" s="251"/>
      <c r="E25" s="251"/>
      <c r="F25" s="251"/>
      <c r="G25" s="731"/>
      <c r="I25" s="722"/>
      <c r="J25" s="722"/>
      <c r="K25" s="722"/>
      <c r="L25" s="722"/>
      <c r="M25" s="722"/>
      <c r="N25" s="721"/>
    </row>
    <row r="26" spans="1:14" ht="15">
      <c r="A26" s="238"/>
      <c r="B26" s="239" t="s">
        <v>6</v>
      </c>
      <c r="C26" s="148"/>
      <c r="D26" s="148"/>
      <c r="E26" s="148"/>
      <c r="F26" s="148"/>
      <c r="G26" s="149"/>
      <c r="I26" s="722"/>
      <c r="J26" s="722"/>
      <c r="K26" s="722"/>
      <c r="L26" s="722"/>
      <c r="M26" s="722"/>
      <c r="N26" s="721"/>
    </row>
    <row r="27" spans="1:14" ht="15" customHeight="1">
      <c r="A27" s="245">
        <v>15</v>
      </c>
      <c r="B27" s="246" t="s">
        <v>7</v>
      </c>
      <c r="C27" s="586">
        <v>5.8456655620980312E-2</v>
      </c>
      <c r="D27" s="586">
        <v>5.9473431919653458E-2</v>
      </c>
      <c r="E27" s="586">
        <v>5.8551911232166257E-2</v>
      </c>
      <c r="F27" s="586">
        <v>5.7674257903819602E-2</v>
      </c>
      <c r="G27" s="732">
        <v>5.4875768954618667E-2</v>
      </c>
      <c r="I27" s="722"/>
      <c r="J27" s="722"/>
      <c r="K27" s="722"/>
      <c r="L27" s="722"/>
      <c r="M27" s="722"/>
      <c r="N27" s="721"/>
    </row>
    <row r="28" spans="1:14" ht="15">
      <c r="A28" s="245">
        <v>16</v>
      </c>
      <c r="B28" s="246" t="s">
        <v>8</v>
      </c>
      <c r="C28" s="586">
        <v>2.0597753611956888E-2</v>
      </c>
      <c r="D28" s="586">
        <v>1.9093795718955971E-2</v>
      </c>
      <c r="E28" s="586">
        <v>1.8623484575566836E-2</v>
      </c>
      <c r="F28" s="586">
        <v>1.8249022023876623E-2</v>
      </c>
      <c r="G28" s="732">
        <v>1.7495223723369958E-2</v>
      </c>
      <c r="I28" s="722"/>
      <c r="J28" s="722"/>
      <c r="K28" s="722"/>
      <c r="L28" s="722"/>
      <c r="M28" s="722"/>
      <c r="N28" s="721"/>
    </row>
    <row r="29" spans="1:14" ht="15">
      <c r="A29" s="245">
        <v>17</v>
      </c>
      <c r="B29" s="246" t="s">
        <v>9</v>
      </c>
      <c r="C29" s="586">
        <v>2.1464265038663173E-2</v>
      </c>
      <c r="D29" s="586">
        <v>2.138983755923516E-2</v>
      </c>
      <c r="E29" s="586">
        <v>2.5939943471691148E-2</v>
      </c>
      <c r="F29" s="586">
        <v>2.4172177585236036E-2</v>
      </c>
      <c r="G29" s="732">
        <v>2.2240813700082133E-2</v>
      </c>
      <c r="I29" s="722"/>
      <c r="J29" s="722"/>
      <c r="K29" s="722"/>
      <c r="L29" s="722"/>
      <c r="M29" s="722"/>
      <c r="N29" s="721"/>
    </row>
    <row r="30" spans="1:14" ht="15">
      <c r="A30" s="245">
        <v>18</v>
      </c>
      <c r="B30" s="246" t="s">
        <v>129</v>
      </c>
      <c r="C30" s="586">
        <v>3.7858902009023435E-2</v>
      </c>
      <c r="D30" s="586">
        <v>4.0379636200697476E-2</v>
      </c>
      <c r="E30" s="586">
        <v>3.9928426656599417E-2</v>
      </c>
      <c r="F30" s="586">
        <v>3.9425235879942976E-2</v>
      </c>
      <c r="G30" s="732">
        <v>3.7380545231248709E-2</v>
      </c>
      <c r="I30" s="722"/>
      <c r="J30" s="722"/>
      <c r="K30" s="722"/>
      <c r="L30" s="722"/>
      <c r="M30" s="722"/>
      <c r="N30" s="721"/>
    </row>
    <row r="31" spans="1:14" ht="15">
      <c r="A31" s="245">
        <v>19</v>
      </c>
      <c r="B31" s="246" t="s">
        <v>10</v>
      </c>
      <c r="C31" s="586">
        <v>1.6022672045571729E-2</v>
      </c>
      <c r="D31" s="586">
        <v>1.9238023947200613E-2</v>
      </c>
      <c r="E31" s="586">
        <v>2.0298670059863216E-2</v>
      </c>
      <c r="F31" s="586">
        <v>1.7049686434943742E-2</v>
      </c>
      <c r="G31" s="732">
        <v>1.8541412346713988E-2</v>
      </c>
      <c r="I31" s="722"/>
      <c r="J31" s="722"/>
      <c r="K31" s="722"/>
      <c r="L31" s="722"/>
      <c r="M31" s="722"/>
      <c r="N31" s="721"/>
    </row>
    <row r="32" spans="1:14" ht="15">
      <c r="A32" s="245">
        <v>20</v>
      </c>
      <c r="B32" s="246" t="s">
        <v>11</v>
      </c>
      <c r="C32" s="586">
        <v>6.8261531300982739E-2</v>
      </c>
      <c r="D32" s="586">
        <v>8.3099136488405778E-2</v>
      </c>
      <c r="E32" s="586">
        <v>8.7736729711175229E-2</v>
      </c>
      <c r="F32" s="586">
        <v>7.6609913781296085E-2</v>
      </c>
      <c r="G32" s="732">
        <v>8.7302368472783651E-2</v>
      </c>
      <c r="I32" s="722"/>
      <c r="J32" s="722"/>
      <c r="K32" s="722"/>
      <c r="L32" s="722"/>
      <c r="M32" s="722"/>
      <c r="N32" s="721"/>
    </row>
    <row r="33" spans="1:14" ht="15">
      <c r="A33" s="238"/>
      <c r="B33" s="239" t="s">
        <v>12</v>
      </c>
      <c r="C33" s="148"/>
      <c r="D33" s="148"/>
      <c r="E33" s="148"/>
      <c r="F33" s="148"/>
      <c r="G33" s="149"/>
      <c r="I33" s="722"/>
      <c r="J33" s="722"/>
      <c r="K33" s="722"/>
      <c r="L33" s="722"/>
      <c r="M33" s="722"/>
      <c r="N33" s="721"/>
    </row>
    <row r="34" spans="1:14" ht="15">
      <c r="A34" s="245">
        <v>21</v>
      </c>
      <c r="B34" s="246" t="s">
        <v>13</v>
      </c>
      <c r="C34" s="586">
        <v>0.11454777701974829</v>
      </c>
      <c r="D34" s="586">
        <v>0.1267633112757092</v>
      </c>
      <c r="E34" s="586">
        <v>0.14978179243327239</v>
      </c>
      <c r="F34" s="586">
        <v>0.16739580962701317</v>
      </c>
      <c r="G34" s="732">
        <v>0.1751715494874084</v>
      </c>
      <c r="I34" s="722"/>
      <c r="J34" s="722"/>
      <c r="K34" s="722"/>
      <c r="L34" s="722"/>
      <c r="M34" s="722"/>
      <c r="N34" s="721"/>
    </row>
    <row r="35" spans="1:14" ht="15" customHeight="1">
      <c r="A35" s="245">
        <v>22</v>
      </c>
      <c r="B35" s="246" t="s">
        <v>916</v>
      </c>
      <c r="C35" s="586">
        <v>5.1807931252594669E-2</v>
      </c>
      <c r="D35" s="586">
        <v>5.1058308215887596E-2</v>
      </c>
      <c r="E35" s="586">
        <v>5.3031218019667613E-2</v>
      </c>
      <c r="F35" s="586">
        <v>5.6825676862527673E-2</v>
      </c>
      <c r="G35" s="732">
        <v>5.5314187069218902E-2</v>
      </c>
      <c r="I35" s="722"/>
      <c r="J35" s="722"/>
      <c r="K35" s="722"/>
      <c r="L35" s="722"/>
      <c r="M35" s="722"/>
      <c r="N35" s="721"/>
    </row>
    <row r="36" spans="1:14" ht="15">
      <c r="A36" s="245">
        <v>23</v>
      </c>
      <c r="B36" s="246" t="s">
        <v>14</v>
      </c>
      <c r="C36" s="586">
        <v>0.5825802425809502</v>
      </c>
      <c r="D36" s="586">
        <v>0.58657682521853471</v>
      </c>
      <c r="E36" s="586">
        <v>0.57100749024809472</v>
      </c>
      <c r="F36" s="586">
        <v>0.60596268968147471</v>
      </c>
      <c r="G36" s="732">
        <v>0.60076124620324745</v>
      </c>
      <c r="I36" s="722"/>
      <c r="J36" s="722"/>
      <c r="K36" s="722"/>
      <c r="L36" s="722"/>
      <c r="M36" s="722"/>
      <c r="N36" s="721"/>
    </row>
    <row r="37" spans="1:14" ht="15" customHeight="1">
      <c r="A37" s="245">
        <v>24</v>
      </c>
      <c r="B37" s="246" t="s">
        <v>15</v>
      </c>
      <c r="C37" s="586">
        <v>0.64462332158706992</v>
      </c>
      <c r="D37" s="586">
        <v>0.67286837388603382</v>
      </c>
      <c r="E37" s="586">
        <v>0.61137153569527847</v>
      </c>
      <c r="F37" s="586">
        <v>0.6392349704505722</v>
      </c>
      <c r="G37" s="732">
        <v>0.66521936215639776</v>
      </c>
      <c r="I37" s="722"/>
      <c r="J37" s="722"/>
      <c r="K37" s="722"/>
      <c r="L37" s="722"/>
      <c r="M37" s="722"/>
      <c r="N37" s="721"/>
    </row>
    <row r="38" spans="1:14" ht="15">
      <c r="A38" s="245">
        <v>25</v>
      </c>
      <c r="B38" s="246" t="s">
        <v>16</v>
      </c>
      <c r="C38" s="586">
        <v>-2.612298990832233E-2</v>
      </c>
      <c r="D38" s="586">
        <v>0.27772081929726922</v>
      </c>
      <c r="E38" s="586">
        <v>0.15208992477675973</v>
      </c>
      <c r="F38" s="586">
        <v>4.9618510723805714E-2</v>
      </c>
      <c r="G38" s="732">
        <v>-2.9410197199612402E-2</v>
      </c>
      <c r="I38" s="722"/>
      <c r="J38" s="722"/>
      <c r="K38" s="722"/>
      <c r="L38" s="722"/>
      <c r="M38" s="722"/>
      <c r="N38" s="721"/>
    </row>
    <row r="39" spans="1:14" ht="15" customHeight="1">
      <c r="A39" s="238"/>
      <c r="B39" s="239" t="s">
        <v>17</v>
      </c>
      <c r="C39" s="148"/>
      <c r="D39" s="148"/>
      <c r="E39" s="148"/>
      <c r="F39" s="148"/>
      <c r="G39" s="149"/>
      <c r="I39" s="722"/>
      <c r="J39" s="722"/>
      <c r="K39" s="722"/>
      <c r="L39" s="722"/>
      <c r="M39" s="722"/>
      <c r="N39" s="721"/>
    </row>
    <row r="40" spans="1:14" ht="15" customHeight="1">
      <c r="A40" s="245">
        <v>26</v>
      </c>
      <c r="B40" s="246" t="s">
        <v>18</v>
      </c>
      <c r="C40" s="586">
        <v>0.30872224623525724</v>
      </c>
      <c r="D40" s="586">
        <v>0.38005040022475645</v>
      </c>
      <c r="E40" s="586">
        <v>0.30193757856817588</v>
      </c>
      <c r="F40" s="586">
        <v>0.31132062250960379</v>
      </c>
      <c r="G40" s="732">
        <v>0.41214973247393905</v>
      </c>
      <c r="I40" s="722"/>
      <c r="J40" s="722"/>
      <c r="K40" s="722"/>
      <c r="L40" s="722"/>
      <c r="M40" s="722"/>
      <c r="N40" s="721"/>
    </row>
    <row r="41" spans="1:14" ht="15" customHeight="1">
      <c r="A41" s="245">
        <v>27</v>
      </c>
      <c r="B41" s="246" t="s">
        <v>19</v>
      </c>
      <c r="C41" s="586">
        <v>0.83192038646247413</v>
      </c>
      <c r="D41" s="586">
        <v>0.83712986360935282</v>
      </c>
      <c r="E41" s="586">
        <v>0.79163333441986028</v>
      </c>
      <c r="F41" s="586">
        <v>0.82144817326135444</v>
      </c>
      <c r="G41" s="732">
        <v>0.82965058095857669</v>
      </c>
      <c r="I41" s="722"/>
      <c r="J41" s="722"/>
      <c r="K41" s="722"/>
      <c r="L41" s="722"/>
      <c r="M41" s="722"/>
      <c r="N41" s="721"/>
    </row>
    <row r="42" spans="1:14" ht="15" customHeight="1">
      <c r="A42" s="245">
        <v>28</v>
      </c>
      <c r="B42" s="247" t="s">
        <v>20</v>
      </c>
      <c r="C42" s="586">
        <v>0.32179844710001582</v>
      </c>
      <c r="D42" s="586">
        <v>0.3140281322762889</v>
      </c>
      <c r="E42" s="586">
        <v>0.351307002769845</v>
      </c>
      <c r="F42" s="586">
        <v>0.35841567228758969</v>
      </c>
      <c r="G42" s="732">
        <v>0.41594505265157111</v>
      </c>
      <c r="I42" s="722"/>
      <c r="J42" s="722"/>
      <c r="K42" s="722"/>
      <c r="L42" s="722"/>
      <c r="M42" s="722"/>
      <c r="N42" s="721"/>
    </row>
    <row r="43" spans="1:14" ht="15" customHeight="1">
      <c r="A43" s="248"/>
      <c r="B43" s="239" t="s">
        <v>344</v>
      </c>
      <c r="C43" s="148"/>
      <c r="D43" s="148"/>
      <c r="E43" s="148"/>
      <c r="F43" s="148"/>
      <c r="G43" s="149"/>
      <c r="I43" s="722"/>
      <c r="J43" s="722"/>
      <c r="K43" s="722"/>
      <c r="L43" s="722"/>
      <c r="M43" s="722"/>
      <c r="N43" s="721"/>
    </row>
    <row r="44" spans="1:14" ht="15" customHeight="1">
      <c r="A44" s="245">
        <v>29</v>
      </c>
      <c r="B44" s="291" t="s">
        <v>328</v>
      </c>
      <c r="C44" s="242">
        <v>741797588.97668672</v>
      </c>
      <c r="D44" s="242">
        <v>844949461.5188607</v>
      </c>
      <c r="E44" s="242">
        <v>645732587.26467955</v>
      </c>
      <c r="F44" s="242">
        <v>808543794.65732729</v>
      </c>
      <c r="G44" s="733">
        <v>959733056.45312023</v>
      </c>
      <c r="I44" s="722"/>
      <c r="J44" s="722"/>
      <c r="K44" s="722"/>
      <c r="L44" s="722"/>
      <c r="M44" s="722"/>
      <c r="N44" s="721"/>
    </row>
    <row r="45" spans="1:14" ht="15">
      <c r="A45" s="245">
        <v>30</v>
      </c>
      <c r="B45" s="246" t="s">
        <v>329</v>
      </c>
      <c r="C45" s="242">
        <v>437577201.62456089</v>
      </c>
      <c r="D45" s="242">
        <v>562727994.53029513</v>
      </c>
      <c r="E45" s="242">
        <v>457962567.9413619</v>
      </c>
      <c r="F45" s="242">
        <v>527370809.20028573</v>
      </c>
      <c r="G45" s="733">
        <v>611442068.28643262</v>
      </c>
      <c r="I45" s="722"/>
      <c r="J45" s="722"/>
      <c r="K45" s="722"/>
      <c r="L45" s="722"/>
      <c r="M45" s="722"/>
      <c r="N45" s="721"/>
    </row>
    <row r="46" spans="1:14" ht="15">
      <c r="A46" s="286">
        <v>31</v>
      </c>
      <c r="B46" s="287" t="s">
        <v>327</v>
      </c>
      <c r="C46" s="586">
        <v>1.6952382030477571</v>
      </c>
      <c r="D46" s="586">
        <v>1.5015237729982382</v>
      </c>
      <c r="E46" s="586">
        <v>1.4100117181353564</v>
      </c>
      <c r="F46" s="586">
        <v>1.5331599332989574</v>
      </c>
      <c r="G46" s="732">
        <v>1.5696222197186622</v>
      </c>
      <c r="I46" s="722"/>
      <c r="J46" s="722"/>
      <c r="K46" s="722"/>
      <c r="L46" s="722"/>
      <c r="M46" s="722"/>
      <c r="N46" s="721"/>
    </row>
    <row r="47" spans="1:14" ht="15">
      <c r="A47" s="286"/>
      <c r="B47" s="239" t="s">
        <v>422</v>
      </c>
      <c r="C47" s="148"/>
      <c r="D47" s="148"/>
      <c r="E47" s="148"/>
      <c r="F47" s="148"/>
      <c r="G47" s="149"/>
      <c r="I47" s="722"/>
      <c r="J47" s="722"/>
      <c r="K47" s="722"/>
      <c r="L47" s="722"/>
      <c r="M47" s="722"/>
      <c r="N47" s="721"/>
    </row>
    <row r="48" spans="1:14" ht="15">
      <c r="A48" s="286">
        <v>32</v>
      </c>
      <c r="B48" s="287" t="s">
        <v>429</v>
      </c>
      <c r="C48" s="288">
        <v>1403571182.4169745</v>
      </c>
      <c r="D48" s="289">
        <v>1587876391.8261116</v>
      </c>
      <c r="E48" s="289">
        <v>1316037451.636996</v>
      </c>
      <c r="F48" s="289">
        <v>1304071715.687022</v>
      </c>
      <c r="G48" s="734">
        <v>1405929791.4593749</v>
      </c>
      <c r="I48" s="722"/>
      <c r="J48" s="722"/>
      <c r="K48" s="722"/>
      <c r="L48" s="722"/>
      <c r="M48" s="722"/>
      <c r="N48" s="721"/>
    </row>
    <row r="49" spans="1:14" ht="15">
      <c r="A49" s="286">
        <v>33</v>
      </c>
      <c r="B49" s="287" t="s">
        <v>442</v>
      </c>
      <c r="C49" s="288">
        <v>844223118.08681297</v>
      </c>
      <c r="D49" s="289">
        <v>869845351.61733115</v>
      </c>
      <c r="E49" s="289">
        <v>842078208.91682148</v>
      </c>
      <c r="F49" s="289">
        <v>778817568.01857877</v>
      </c>
      <c r="G49" s="290">
        <v>733521750.39291084</v>
      </c>
      <c r="I49" s="722"/>
      <c r="J49" s="722"/>
      <c r="K49" s="722"/>
      <c r="L49" s="722"/>
      <c r="M49" s="722"/>
      <c r="N49" s="721"/>
    </row>
    <row r="50" spans="1:14" thickBot="1">
      <c r="A50" s="56">
        <v>34</v>
      </c>
      <c r="B50" s="130" t="s">
        <v>456</v>
      </c>
      <c r="C50" s="587">
        <v>1.6625595205184167</v>
      </c>
      <c r="D50" s="588">
        <v>1.8254697675554883</v>
      </c>
      <c r="E50" s="588">
        <v>1.5628446831914056</v>
      </c>
      <c r="F50" s="588">
        <v>1.6744251404148003</v>
      </c>
      <c r="G50" s="589">
        <v>1.9166845300855615</v>
      </c>
      <c r="I50" s="722"/>
      <c r="J50" s="722"/>
      <c r="K50" s="722"/>
      <c r="L50" s="722"/>
      <c r="M50" s="722"/>
      <c r="N50" s="721"/>
    </row>
    <row r="51" spans="1:14">
      <c r="A51" s="15"/>
    </row>
    <row r="52" spans="1:14">
      <c r="B52" s="17"/>
    </row>
    <row r="53" spans="1:14" ht="65.25">
      <c r="B53" s="184" t="s">
        <v>343</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F39"/>
  <sheetViews>
    <sheetView showGridLines="0" zoomScale="80" zoomScaleNormal="80" workbookViewId="0"/>
  </sheetViews>
  <sheetFormatPr defaultRowHeight="15"/>
  <cols>
    <col min="1" max="1" width="11.42578125" customWidth="1"/>
    <col min="2" max="2" width="76.85546875" style="2" customWidth="1"/>
    <col min="3" max="3" width="22.85546875" customWidth="1"/>
  </cols>
  <sheetData>
    <row r="1" spans="1:6">
      <c r="A1" s="1" t="s">
        <v>97</v>
      </c>
      <c r="B1" t="str">
        <f>Info!C2</f>
        <v>სს "ბანკი ქართუ"</v>
      </c>
    </row>
    <row r="2" spans="1:6">
      <c r="A2" s="1" t="s">
        <v>98</v>
      </c>
      <c r="B2" s="585">
        <f>'1. key ratios'!B2</f>
        <v>45747</v>
      </c>
    </row>
    <row r="3" spans="1:6">
      <c r="A3" s="1"/>
      <c r="B3"/>
    </row>
    <row r="4" spans="1:6">
      <c r="A4" s="1" t="s">
        <v>406</v>
      </c>
      <c r="B4" t="s">
        <v>375</v>
      </c>
    </row>
    <row r="5" spans="1:6">
      <c r="A5" s="544"/>
      <c r="B5" s="544" t="s">
        <v>376</v>
      </c>
      <c r="C5" s="545"/>
    </row>
    <row r="6" spans="1:6">
      <c r="A6" s="546">
        <v>1</v>
      </c>
      <c r="B6" s="547" t="s">
        <v>376</v>
      </c>
      <c r="C6" s="548">
        <v>1822040125.3764267</v>
      </c>
      <c r="F6" s="667"/>
    </row>
    <row r="7" spans="1:6">
      <c r="A7" s="546">
        <v>2</v>
      </c>
      <c r="B7" s="547" t="s">
        <v>377</v>
      </c>
      <c r="C7" s="548">
        <v>-12372374.228405572</v>
      </c>
      <c r="F7" s="667"/>
    </row>
    <row r="8" spans="1:6">
      <c r="A8" s="549">
        <v>3</v>
      </c>
      <c r="B8" s="550" t="s">
        <v>378</v>
      </c>
      <c r="C8" s="551">
        <f>C6+C7</f>
        <v>1809667751.1480212</v>
      </c>
      <c r="F8" s="667"/>
    </row>
    <row r="9" spans="1:6">
      <c r="A9" s="552"/>
      <c r="B9" s="552" t="s">
        <v>379</v>
      </c>
      <c r="C9" s="553"/>
      <c r="F9" s="667"/>
    </row>
    <row r="10" spans="1:6">
      <c r="A10" s="554">
        <v>4</v>
      </c>
      <c r="B10" s="555" t="s">
        <v>380</v>
      </c>
      <c r="C10" s="548" t="b">
        <f>'15. CCR'!F34</f>
        <v>0</v>
      </c>
      <c r="F10" s="667"/>
    </row>
    <row r="11" spans="1:6">
      <c r="A11" s="554">
        <v>5</v>
      </c>
      <c r="B11" s="556" t="s">
        <v>381</v>
      </c>
      <c r="C11" s="548" t="b">
        <f>'15. CCR'!G34</f>
        <v>0</v>
      </c>
      <c r="F11" s="667"/>
    </row>
    <row r="12" spans="1:6">
      <c r="A12" s="554">
        <v>6</v>
      </c>
      <c r="B12" s="557" t="s">
        <v>978</v>
      </c>
      <c r="C12" s="551">
        <f>'15. CCR'!I34</f>
        <v>0</v>
      </c>
      <c r="F12" s="667"/>
    </row>
    <row r="13" spans="1:6">
      <c r="A13" s="558">
        <v>7</v>
      </c>
      <c r="B13" s="559" t="s">
        <v>382</v>
      </c>
      <c r="C13" s="548" t="b">
        <f>'15. CCR'!E34</f>
        <v>0</v>
      </c>
      <c r="F13" s="667"/>
    </row>
    <row r="14" spans="1:6">
      <c r="A14" s="560">
        <v>8</v>
      </c>
      <c r="B14" s="561" t="s">
        <v>383</v>
      </c>
      <c r="C14" s="551">
        <f>C12</f>
        <v>0</v>
      </c>
      <c r="F14" s="667"/>
    </row>
    <row r="15" spans="1:6">
      <c r="A15" s="552"/>
      <c r="B15" s="552" t="s">
        <v>384</v>
      </c>
      <c r="C15" s="562"/>
      <c r="F15" s="667"/>
    </row>
    <row r="16" spans="1:6">
      <c r="A16" s="558">
        <v>9</v>
      </c>
      <c r="B16" s="563" t="s">
        <v>385</v>
      </c>
      <c r="C16" s="548">
        <v>0</v>
      </c>
      <c r="F16" s="667"/>
    </row>
    <row r="17" spans="1:6">
      <c r="A17" s="554">
        <v>10</v>
      </c>
      <c r="B17" s="547" t="s">
        <v>386</v>
      </c>
      <c r="C17" s="548">
        <v>0</v>
      </c>
      <c r="F17" s="667"/>
    </row>
    <row r="18" spans="1:6">
      <c r="A18" s="554">
        <v>11</v>
      </c>
      <c r="B18" s="547" t="s">
        <v>387</v>
      </c>
      <c r="C18" s="548">
        <v>0</v>
      </c>
      <c r="F18" s="667"/>
    </row>
    <row r="19" spans="1:6" ht="24">
      <c r="A19" s="558">
        <v>12</v>
      </c>
      <c r="B19" s="563" t="s">
        <v>388</v>
      </c>
      <c r="C19" s="548">
        <v>0</v>
      </c>
      <c r="F19" s="667"/>
    </row>
    <row r="20" spans="1:6">
      <c r="A20" s="558">
        <v>13</v>
      </c>
      <c r="B20" s="563" t="s">
        <v>389</v>
      </c>
      <c r="C20" s="548">
        <v>0</v>
      </c>
      <c r="F20" s="667"/>
    </row>
    <row r="21" spans="1:6">
      <c r="A21" s="558">
        <v>14</v>
      </c>
      <c r="B21" s="547" t="s">
        <v>390</v>
      </c>
      <c r="C21" s="548">
        <v>0</v>
      </c>
      <c r="F21" s="667"/>
    </row>
    <row r="22" spans="1:6">
      <c r="A22" s="560">
        <v>15</v>
      </c>
      <c r="B22" s="561" t="s">
        <v>391</v>
      </c>
      <c r="C22" s="551">
        <f>SUM(C16:C21)</f>
        <v>0</v>
      </c>
      <c r="F22" s="667"/>
    </row>
    <row r="23" spans="1:6">
      <c r="A23" s="552"/>
      <c r="B23" s="552" t="s">
        <v>392</v>
      </c>
      <c r="C23" s="553"/>
      <c r="F23" s="667"/>
    </row>
    <row r="24" spans="1:6">
      <c r="A24" s="554">
        <v>16</v>
      </c>
      <c r="B24" s="547" t="s">
        <v>393</v>
      </c>
      <c r="C24" s="548">
        <v>203090491.26299769</v>
      </c>
      <c r="F24" s="667"/>
    </row>
    <row r="25" spans="1:6">
      <c r="A25" s="554">
        <v>17</v>
      </c>
      <c r="B25" s="547" t="s">
        <v>394</v>
      </c>
      <c r="C25" s="548">
        <v>-91519693.949966714</v>
      </c>
      <c r="F25" s="667"/>
    </row>
    <row r="26" spans="1:6">
      <c r="A26" s="560">
        <v>18</v>
      </c>
      <c r="B26" s="561" t="s">
        <v>395</v>
      </c>
      <c r="C26" s="551">
        <f>C24+C25</f>
        <v>111570797.31303097</v>
      </c>
      <c r="F26" s="667"/>
    </row>
    <row r="27" spans="1:6">
      <c r="A27" s="552"/>
      <c r="B27" s="552" t="s">
        <v>396</v>
      </c>
      <c r="C27" s="562"/>
      <c r="F27" s="667"/>
    </row>
    <row r="28" spans="1:6">
      <c r="A28" s="554">
        <v>19</v>
      </c>
      <c r="B28" s="547" t="s">
        <v>397</v>
      </c>
      <c r="C28" s="548">
        <v>0</v>
      </c>
      <c r="F28" s="667"/>
    </row>
    <row r="29" spans="1:6">
      <c r="A29" s="554">
        <v>20</v>
      </c>
      <c r="B29" s="547" t="s">
        <v>398</v>
      </c>
      <c r="C29" s="548">
        <v>0</v>
      </c>
      <c r="F29" s="667"/>
    </row>
    <row r="30" spans="1:6">
      <c r="A30" s="552"/>
      <c r="B30" s="552" t="s">
        <v>399</v>
      </c>
      <c r="C30" s="553"/>
      <c r="F30" s="667"/>
    </row>
    <row r="31" spans="1:6">
      <c r="A31" s="560">
        <v>21</v>
      </c>
      <c r="B31" s="561" t="s">
        <v>75</v>
      </c>
      <c r="C31" s="551">
        <f>'1. key ratios'!C9</f>
        <v>493036670.88888454</v>
      </c>
      <c r="F31" s="667"/>
    </row>
    <row r="32" spans="1:6">
      <c r="A32" s="560">
        <v>22</v>
      </c>
      <c r="B32" s="561" t="s">
        <v>400</v>
      </c>
      <c r="C32" s="551">
        <f>C8+C14+C22+C26</f>
        <v>1921238548.4610522</v>
      </c>
      <c r="F32" s="667"/>
    </row>
    <row r="33" spans="1:6">
      <c r="A33" s="564"/>
      <c r="B33" s="564" t="s">
        <v>375</v>
      </c>
      <c r="C33" s="553"/>
      <c r="F33" s="667"/>
    </row>
    <row r="34" spans="1:6">
      <c r="A34" s="560">
        <v>23</v>
      </c>
      <c r="B34" s="561" t="s">
        <v>375</v>
      </c>
      <c r="C34" s="730">
        <f>IFERROR(C31/C32,0)</f>
        <v>0.25662439017987437</v>
      </c>
      <c r="F34" s="667"/>
    </row>
    <row r="35" spans="1:6">
      <c r="A35" s="564"/>
      <c r="B35" s="564" t="s">
        <v>401</v>
      </c>
      <c r="C35" s="553"/>
      <c r="F35" s="667"/>
    </row>
    <row r="36" spans="1:6">
      <c r="A36" s="558" t="s">
        <v>402</v>
      </c>
      <c r="B36" s="563" t="s">
        <v>403</v>
      </c>
      <c r="C36" s="565">
        <v>0</v>
      </c>
      <c r="F36" s="667"/>
    </row>
    <row r="37" spans="1:6">
      <c r="A37" s="566" t="s">
        <v>404</v>
      </c>
      <c r="B37" s="567" t="s">
        <v>405</v>
      </c>
      <c r="C37" s="565">
        <v>0</v>
      </c>
      <c r="F37" s="667"/>
    </row>
    <row r="39" spans="1:6">
      <c r="B39" s="218"/>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showGridLines="0" zoomScale="80" zoomScaleNormal="80" workbookViewId="0">
      <selection activeCell="B2" sqref="B2"/>
    </sheetView>
  </sheetViews>
  <sheetFormatPr defaultRowHeight="15"/>
  <cols>
    <col min="1" max="1" width="11.42578125" customWidth="1"/>
    <col min="2" max="2" width="76.85546875" style="2" customWidth="1"/>
    <col min="3" max="6" width="24.42578125" customWidth="1"/>
  </cols>
  <sheetData>
    <row r="1" spans="1:6">
      <c r="A1" s="12" t="s">
        <v>97</v>
      </c>
      <c r="B1" t="str">
        <f>Info!C2</f>
        <v>სს "ბანკი ქართუ"</v>
      </c>
    </row>
    <row r="2" spans="1:6">
      <c r="A2" s="1" t="s">
        <v>98</v>
      </c>
      <c r="B2" s="585">
        <f>'1. key ratios'!B2</f>
        <v>45747</v>
      </c>
    </row>
    <row r="3" spans="1:6">
      <c r="A3" s="1"/>
      <c r="B3"/>
    </row>
    <row r="4" spans="1:6">
      <c r="A4" s="543" t="s">
        <v>970</v>
      </c>
    </row>
    <row r="5" spans="1:6" ht="105">
      <c r="B5" s="537"/>
      <c r="C5" s="538" t="s">
        <v>971</v>
      </c>
      <c r="D5" s="538" t="s">
        <v>972</v>
      </c>
      <c r="E5" s="538" t="s">
        <v>973</v>
      </c>
      <c r="F5" s="538" t="s">
        <v>974</v>
      </c>
    </row>
    <row r="6" spans="1:6">
      <c r="B6" s="539" t="s">
        <v>969</v>
      </c>
      <c r="C6" s="540" t="b">
        <f>IF(C7&gt;0,C7,IF(C8&gt;0,C8,IF(C9&gt;0,C9)))</f>
        <v>0</v>
      </c>
      <c r="D6" s="540" t="b">
        <f>IF(D7&gt;0,D7,IF(D8&gt;0,D8,IF(D9&gt;0,D9)))</f>
        <v>0</v>
      </c>
      <c r="E6" s="540" t="b">
        <f>IF(E7&gt;0,E7,IF(E8&gt;0,E8,IF(E9&gt;0,E9)))</f>
        <v>0</v>
      </c>
      <c r="F6" s="540" t="b">
        <f>IF(F7&gt;0,F7,IF(F8&gt;0,F8,IF(F9&gt;0,F9)))</f>
        <v>0</v>
      </c>
    </row>
    <row r="7" spans="1:6">
      <c r="B7" s="541" t="s">
        <v>975</v>
      </c>
      <c r="C7" s="542"/>
      <c r="D7" s="542"/>
      <c r="E7" s="542"/>
      <c r="F7" s="542"/>
    </row>
    <row r="8" spans="1:6">
      <c r="B8" s="541" t="s">
        <v>976</v>
      </c>
      <c r="C8" s="542"/>
      <c r="D8" s="542"/>
      <c r="E8" s="542"/>
      <c r="F8" s="542"/>
    </row>
    <row r="9" spans="1:6">
      <c r="B9" s="541" t="s">
        <v>977</v>
      </c>
      <c r="C9" s="542"/>
      <c r="D9" s="542"/>
      <c r="E9" s="542"/>
      <c r="F9" s="542"/>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Q42"/>
  <sheetViews>
    <sheetView showGridLines="0" zoomScale="80" zoomScaleNormal="80" workbookViewId="0">
      <pane xSplit="2" ySplit="6" topLeftCell="C7" activePane="bottomRight" state="frozen"/>
      <selection pane="topRight" activeCell="C1" sqref="C1"/>
      <selection pane="bottomLeft" activeCell="A7" sqref="A7"/>
      <selection pane="bottomRight"/>
    </sheetView>
  </sheetViews>
  <sheetFormatPr defaultRowHeight="15"/>
  <cols>
    <col min="1" max="1" width="9.85546875" style="1" bestFit="1" customWidth="1"/>
    <col min="2" max="2" width="82.5703125" style="17" customWidth="1"/>
    <col min="3" max="7" width="17.5703125" style="1" customWidth="1"/>
    <col min="10" max="10" width="14.28515625" bestFit="1" customWidth="1"/>
  </cols>
  <sheetData>
    <row r="1" spans="1:17">
      <c r="A1" s="1" t="s">
        <v>97</v>
      </c>
      <c r="B1" s="1" t="str">
        <f>Info!C2</f>
        <v>სს "ბანკი ქართუ"</v>
      </c>
    </row>
    <row r="2" spans="1:17">
      <c r="A2" s="1" t="s">
        <v>98</v>
      </c>
      <c r="B2" s="585">
        <f>'1. key ratios'!B2</f>
        <v>45747</v>
      </c>
    </row>
    <row r="3" spans="1:17">
      <c r="B3" s="249"/>
    </row>
    <row r="4" spans="1:17" ht="15.75" thickBot="1">
      <c r="A4" s="1" t="s">
        <v>457</v>
      </c>
      <c r="B4" s="143" t="s">
        <v>422</v>
      </c>
    </row>
    <row r="5" spans="1:17">
      <c r="A5" s="253"/>
      <c r="B5" s="254"/>
      <c r="C5" s="804" t="s">
        <v>423</v>
      </c>
      <c r="D5" s="804"/>
      <c r="E5" s="804"/>
      <c r="F5" s="804"/>
      <c r="G5" s="805" t="s">
        <v>424</v>
      </c>
    </row>
    <row r="6" spans="1:17">
      <c r="A6" s="255"/>
      <c r="B6" s="256"/>
      <c r="C6" s="257" t="s">
        <v>425</v>
      </c>
      <c r="D6" s="257" t="s">
        <v>426</v>
      </c>
      <c r="E6" s="257" t="s">
        <v>427</v>
      </c>
      <c r="F6" s="257" t="s">
        <v>428</v>
      </c>
      <c r="G6" s="806"/>
    </row>
    <row r="7" spans="1:17">
      <c r="A7" s="258"/>
      <c r="B7" s="259" t="s">
        <v>429</v>
      </c>
      <c r="C7" s="260"/>
      <c r="D7" s="260"/>
      <c r="E7" s="260"/>
      <c r="F7" s="260"/>
      <c r="G7" s="261"/>
    </row>
    <row r="8" spans="1:17">
      <c r="A8" s="262">
        <v>1</v>
      </c>
      <c r="B8" s="263" t="s">
        <v>430</v>
      </c>
      <c r="C8" s="264">
        <f>SUM(C9:C10)</f>
        <v>442164918.72888452</v>
      </c>
      <c r="D8" s="264">
        <f>SUM(D9:D10)</f>
        <v>0</v>
      </c>
      <c r="E8" s="264">
        <f>SUM(E9:E10)</f>
        <v>0</v>
      </c>
      <c r="F8" s="264">
        <f>SUM(F9:F10)</f>
        <v>218403852.57519999</v>
      </c>
      <c r="G8" s="265">
        <f>SUM(G9:G10)</f>
        <v>660568771.30408454</v>
      </c>
      <c r="I8" s="669"/>
      <c r="J8" s="667"/>
      <c r="K8" s="667"/>
      <c r="L8" s="667"/>
      <c r="M8" s="667"/>
      <c r="N8" s="667"/>
      <c r="O8" s="667"/>
      <c r="P8" s="667"/>
      <c r="Q8" s="667"/>
    </row>
    <row r="9" spans="1:17">
      <c r="A9" s="262">
        <v>2</v>
      </c>
      <c r="B9" s="266" t="s">
        <v>74</v>
      </c>
      <c r="C9" s="264">
        <v>442164918.72888452</v>
      </c>
      <c r="D9" s="264">
        <v>0</v>
      </c>
      <c r="E9" s="264">
        <v>0</v>
      </c>
      <c r="F9" s="264">
        <v>66922092.159999996</v>
      </c>
      <c r="G9" s="265">
        <v>509087010.88888454</v>
      </c>
      <c r="I9" s="669"/>
      <c r="J9" s="667"/>
      <c r="K9" s="667"/>
      <c r="L9" s="667"/>
      <c r="M9" s="667"/>
      <c r="N9" s="667"/>
    </row>
    <row r="10" spans="1:17">
      <c r="A10" s="262">
        <v>3</v>
      </c>
      <c r="B10" s="266" t="s">
        <v>431</v>
      </c>
      <c r="C10" s="267"/>
      <c r="D10" s="267"/>
      <c r="E10" s="267"/>
      <c r="F10" s="264">
        <v>151481760.4152</v>
      </c>
      <c r="G10" s="265">
        <v>151481760.4152</v>
      </c>
      <c r="I10" s="669"/>
      <c r="J10" s="667"/>
      <c r="K10" s="667"/>
      <c r="L10" s="667"/>
      <c r="M10" s="667"/>
      <c r="N10" s="667"/>
    </row>
    <row r="11" spans="1:17" ht="26.25">
      <c r="A11" s="262">
        <v>4</v>
      </c>
      <c r="B11" s="263" t="s">
        <v>432</v>
      </c>
      <c r="C11" s="264">
        <f t="shared" ref="C11:F11" si="0">SUM(C12:C13)</f>
        <v>93411724.688399941</v>
      </c>
      <c r="D11" s="264">
        <f t="shared" si="0"/>
        <v>212242505.04889998</v>
      </c>
      <c r="E11" s="264">
        <f t="shared" si="0"/>
        <v>151868286.7123</v>
      </c>
      <c r="F11" s="264">
        <f t="shared" si="0"/>
        <v>0</v>
      </c>
      <c r="G11" s="265">
        <f>SUM(G12:G13)</f>
        <v>417452077.5533399</v>
      </c>
      <c r="I11" s="669"/>
      <c r="J11" s="667"/>
      <c r="K11" s="667"/>
      <c r="L11" s="667"/>
      <c r="M11" s="667"/>
      <c r="N11" s="667"/>
    </row>
    <row r="12" spans="1:17">
      <c r="A12" s="262">
        <v>5</v>
      </c>
      <c r="B12" s="266" t="s">
        <v>433</v>
      </c>
      <c r="C12" s="264">
        <v>70691578.044299945</v>
      </c>
      <c r="D12" s="268">
        <v>206197174.93689999</v>
      </c>
      <c r="E12" s="264">
        <v>142424178.86000001</v>
      </c>
      <c r="F12" s="264">
        <v>0</v>
      </c>
      <c r="G12" s="265">
        <v>398347285.2491399</v>
      </c>
      <c r="I12" s="669"/>
      <c r="J12" s="667"/>
      <c r="K12" s="667"/>
      <c r="L12" s="667"/>
      <c r="M12" s="667"/>
      <c r="N12" s="667"/>
    </row>
    <row r="13" spans="1:17">
      <c r="A13" s="262">
        <v>6</v>
      </c>
      <c r="B13" s="266" t="s">
        <v>434</v>
      </c>
      <c r="C13" s="264">
        <v>22720146.644099995</v>
      </c>
      <c r="D13" s="268">
        <v>6045330.1119999997</v>
      </c>
      <c r="E13" s="264">
        <v>9444107.8522999994</v>
      </c>
      <c r="F13" s="264">
        <v>0</v>
      </c>
      <c r="G13" s="265">
        <v>19104792.304199997</v>
      </c>
      <c r="I13" s="669"/>
      <c r="J13" s="667"/>
      <c r="K13" s="667"/>
      <c r="L13" s="667"/>
      <c r="M13" s="667"/>
      <c r="N13" s="667"/>
    </row>
    <row r="14" spans="1:17">
      <c r="A14" s="262">
        <v>7</v>
      </c>
      <c r="B14" s="263" t="s">
        <v>435</v>
      </c>
      <c r="C14" s="264">
        <f t="shared" ref="C14:F14" si="1">SUM(C15:C16)</f>
        <v>302881629.87410003</v>
      </c>
      <c r="D14" s="264">
        <f t="shared" si="1"/>
        <v>327084277.66670007</v>
      </c>
      <c r="E14" s="264">
        <f t="shared" si="1"/>
        <v>31345864.9857</v>
      </c>
      <c r="F14" s="264">
        <f t="shared" si="1"/>
        <v>0</v>
      </c>
      <c r="G14" s="265">
        <f>SUM(G15:G16)</f>
        <v>325550333.55955005</v>
      </c>
      <c r="I14" s="669"/>
      <c r="J14" s="667"/>
      <c r="K14" s="667"/>
      <c r="L14" s="667"/>
      <c r="M14" s="667"/>
      <c r="N14" s="667"/>
    </row>
    <row r="15" spans="1:17" ht="51.75">
      <c r="A15" s="262">
        <v>8</v>
      </c>
      <c r="B15" s="266" t="s">
        <v>436</v>
      </c>
      <c r="C15" s="268">
        <v>299474118.18670005</v>
      </c>
      <c r="D15" s="268">
        <v>320280683.94670004</v>
      </c>
      <c r="E15" s="268">
        <v>27915674.9857</v>
      </c>
      <c r="F15" s="268">
        <v>0</v>
      </c>
      <c r="G15" s="657">
        <v>323835238.55955005</v>
      </c>
      <c r="I15" s="669"/>
      <c r="J15" s="667"/>
      <c r="K15" s="667"/>
      <c r="L15" s="667"/>
      <c r="M15" s="667"/>
      <c r="N15" s="667"/>
    </row>
    <row r="16" spans="1:17" ht="26.25">
      <c r="A16" s="262">
        <v>9</v>
      </c>
      <c r="B16" s="266" t="s">
        <v>437</v>
      </c>
      <c r="C16" s="268">
        <v>3407511.6873999997</v>
      </c>
      <c r="D16" s="268">
        <v>6803593.7199999997</v>
      </c>
      <c r="E16" s="268">
        <v>3430190</v>
      </c>
      <c r="F16" s="268">
        <v>0</v>
      </c>
      <c r="G16" s="657">
        <v>1715095</v>
      </c>
      <c r="I16" s="669"/>
      <c r="J16" s="667"/>
      <c r="K16" s="667"/>
      <c r="L16" s="667"/>
      <c r="M16" s="667"/>
      <c r="N16" s="667"/>
    </row>
    <row r="17" spans="1:14">
      <c r="A17" s="262">
        <v>10</v>
      </c>
      <c r="B17" s="263" t="s">
        <v>438</v>
      </c>
      <c r="C17" s="264">
        <v>0</v>
      </c>
      <c r="D17" s="268">
        <v>0</v>
      </c>
      <c r="E17" s="264">
        <v>0</v>
      </c>
      <c r="F17" s="264">
        <v>0</v>
      </c>
      <c r="G17" s="265">
        <v>0</v>
      </c>
      <c r="I17" s="669"/>
      <c r="J17" s="667"/>
      <c r="K17" s="667"/>
      <c r="L17" s="667"/>
      <c r="M17" s="667"/>
      <c r="N17" s="667"/>
    </row>
    <row r="18" spans="1:14">
      <c r="A18" s="262">
        <v>11</v>
      </c>
      <c r="B18" s="263" t="s">
        <v>78</v>
      </c>
      <c r="C18" s="264">
        <f>SUM(C19:C20)</f>
        <v>0</v>
      </c>
      <c r="D18" s="268">
        <f t="shared" ref="D18:G18" si="2">SUM(D19:D20)</f>
        <v>14106013.693780839</v>
      </c>
      <c r="E18" s="264">
        <f t="shared" si="2"/>
        <v>6793427.0692148022</v>
      </c>
      <c r="F18" s="264">
        <f t="shared" si="2"/>
        <v>9365258.0747593343</v>
      </c>
      <c r="G18" s="265">
        <f t="shared" si="2"/>
        <v>0</v>
      </c>
      <c r="I18" s="669"/>
      <c r="J18" s="667"/>
      <c r="K18" s="667"/>
      <c r="L18" s="667"/>
      <c r="M18" s="667"/>
      <c r="N18" s="667"/>
    </row>
    <row r="19" spans="1:14">
      <c r="A19" s="262">
        <v>12</v>
      </c>
      <c r="B19" s="266" t="s">
        <v>439</v>
      </c>
      <c r="C19" s="267"/>
      <c r="D19" s="268">
        <v>0</v>
      </c>
      <c r="E19" s="264">
        <v>0</v>
      </c>
      <c r="F19" s="264">
        <v>0</v>
      </c>
      <c r="G19" s="265">
        <v>0</v>
      </c>
      <c r="I19" s="669"/>
      <c r="J19" s="667"/>
      <c r="K19" s="667"/>
      <c r="L19" s="667"/>
      <c r="M19" s="667"/>
      <c r="N19" s="667"/>
    </row>
    <row r="20" spans="1:14" ht="26.25">
      <c r="A20" s="262">
        <v>13</v>
      </c>
      <c r="B20" s="266" t="s">
        <v>440</v>
      </c>
      <c r="C20" s="264">
        <v>0</v>
      </c>
      <c r="D20" s="264">
        <v>14106013.693780839</v>
      </c>
      <c r="E20" s="264">
        <v>6793427.0692148022</v>
      </c>
      <c r="F20" s="264">
        <v>9365258.0747593343</v>
      </c>
      <c r="G20" s="265">
        <v>0</v>
      </c>
      <c r="I20" s="669"/>
      <c r="J20" s="667"/>
      <c r="K20" s="667"/>
      <c r="L20" s="667"/>
      <c r="M20" s="667"/>
      <c r="N20" s="667"/>
    </row>
    <row r="21" spans="1:14">
      <c r="A21" s="269">
        <v>14</v>
      </c>
      <c r="B21" s="270" t="s">
        <v>441</v>
      </c>
      <c r="C21" s="267"/>
      <c r="D21" s="267"/>
      <c r="E21" s="267"/>
      <c r="F21" s="267"/>
      <c r="G21" s="271">
        <f>SUM(G8,G11,G14,G17,G18)</f>
        <v>1403571182.4169745</v>
      </c>
      <c r="I21" s="669"/>
      <c r="J21" s="667"/>
      <c r="K21" s="667"/>
      <c r="L21" s="667"/>
      <c r="M21" s="667"/>
      <c r="N21" s="667"/>
    </row>
    <row r="22" spans="1:14">
      <c r="A22" s="272"/>
      <c r="B22" s="292" t="s">
        <v>442</v>
      </c>
      <c r="C22" s="273"/>
      <c r="D22" s="274"/>
      <c r="E22" s="273"/>
      <c r="F22" s="273"/>
      <c r="G22" s="275"/>
      <c r="I22" s="669"/>
      <c r="J22" s="667"/>
      <c r="K22" s="667"/>
      <c r="L22" s="667"/>
      <c r="M22" s="667"/>
      <c r="N22" s="667"/>
    </row>
    <row r="23" spans="1:14">
      <c r="A23" s="262">
        <v>15</v>
      </c>
      <c r="B23" s="263" t="s">
        <v>310</v>
      </c>
      <c r="C23" s="276">
        <v>393050349.11178982</v>
      </c>
      <c r="D23" s="277">
        <v>257660074.56807932</v>
      </c>
      <c r="E23" s="276">
        <v>0</v>
      </c>
      <c r="F23" s="276">
        <v>0</v>
      </c>
      <c r="G23" s="265">
        <v>15980437.709688328</v>
      </c>
      <c r="I23" s="669"/>
      <c r="J23" s="667"/>
      <c r="K23" s="667"/>
      <c r="L23" s="667"/>
      <c r="M23" s="667"/>
      <c r="N23" s="667"/>
    </row>
    <row r="24" spans="1:14">
      <c r="A24" s="262">
        <v>16</v>
      </c>
      <c r="B24" s="263" t="s">
        <v>443</v>
      </c>
      <c r="C24" s="264">
        <f>SUM(C25:C27,C29,C31)</f>
        <v>20530262.187164426</v>
      </c>
      <c r="D24" s="268">
        <f t="shared" ref="D24:G24" si="3">SUM(D25:D27,D29,D31)</f>
        <v>294184400.19846106</v>
      </c>
      <c r="E24" s="264">
        <f t="shared" si="3"/>
        <v>150614887.16866392</v>
      </c>
      <c r="F24" s="264">
        <f t="shared" si="3"/>
        <v>377805021.14364392</v>
      </c>
      <c r="G24" s="265">
        <f t="shared" si="3"/>
        <v>546613450.98373449</v>
      </c>
      <c r="I24" s="669"/>
      <c r="J24" s="667"/>
      <c r="K24" s="667"/>
      <c r="L24" s="667"/>
      <c r="M24" s="667"/>
      <c r="N24" s="667"/>
    </row>
    <row r="25" spans="1:14" ht="26.25">
      <c r="A25" s="262">
        <v>17</v>
      </c>
      <c r="B25" s="266" t="s">
        <v>444</v>
      </c>
      <c r="C25" s="264">
        <v>0</v>
      </c>
      <c r="D25" s="268">
        <v>0</v>
      </c>
      <c r="E25" s="264">
        <v>0</v>
      </c>
      <c r="F25" s="264">
        <v>0</v>
      </c>
      <c r="G25" s="265">
        <v>0</v>
      </c>
      <c r="I25" s="669"/>
      <c r="J25" s="667"/>
      <c r="K25" s="667"/>
      <c r="L25" s="667"/>
      <c r="M25" s="667"/>
      <c r="N25" s="667"/>
    </row>
    <row r="26" spans="1:14" ht="26.25">
      <c r="A26" s="262">
        <v>18</v>
      </c>
      <c r="B26" s="266" t="s">
        <v>445</v>
      </c>
      <c r="C26" s="264">
        <v>20530262.187164426</v>
      </c>
      <c r="D26" s="268">
        <v>0</v>
      </c>
      <c r="E26" s="264">
        <v>0</v>
      </c>
      <c r="F26" s="264">
        <v>0</v>
      </c>
      <c r="G26" s="265">
        <v>3079539.3280746639</v>
      </c>
      <c r="I26" s="669"/>
      <c r="J26" s="667"/>
      <c r="K26" s="667"/>
      <c r="L26" s="667"/>
      <c r="M26" s="667"/>
      <c r="N26" s="667"/>
    </row>
    <row r="27" spans="1:14">
      <c r="A27" s="262">
        <v>19</v>
      </c>
      <c r="B27" s="266" t="s">
        <v>446</v>
      </c>
      <c r="C27" s="264">
        <v>0</v>
      </c>
      <c r="D27" s="268">
        <v>290050569.31931531</v>
      </c>
      <c r="E27" s="264">
        <v>139217285.79357335</v>
      </c>
      <c r="F27" s="264">
        <v>358654260.64221364</v>
      </c>
      <c r="G27" s="265">
        <v>519490049.10232592</v>
      </c>
      <c r="I27" s="669"/>
      <c r="J27" s="667"/>
      <c r="K27" s="667"/>
      <c r="L27" s="667"/>
      <c r="M27" s="667"/>
      <c r="N27" s="667"/>
    </row>
    <row r="28" spans="1:14">
      <c r="A28" s="262">
        <v>20</v>
      </c>
      <c r="B28" s="278" t="s">
        <v>447</v>
      </c>
      <c r="C28" s="264">
        <v>0</v>
      </c>
      <c r="D28" s="268">
        <v>0</v>
      </c>
      <c r="E28" s="264">
        <v>0</v>
      </c>
      <c r="F28" s="264">
        <v>0</v>
      </c>
      <c r="G28" s="265">
        <v>0</v>
      </c>
      <c r="I28" s="669"/>
      <c r="J28" s="667"/>
      <c r="K28" s="667"/>
      <c r="L28" s="667"/>
      <c r="M28" s="667"/>
      <c r="N28" s="667"/>
    </row>
    <row r="29" spans="1:14">
      <c r="A29" s="262">
        <v>21</v>
      </c>
      <c r="B29" s="266" t="s">
        <v>448</v>
      </c>
      <c r="C29" s="264">
        <v>0</v>
      </c>
      <c r="D29" s="268">
        <v>2794108.4691457134</v>
      </c>
      <c r="E29" s="264">
        <v>8877601.3750905786</v>
      </c>
      <c r="F29" s="264">
        <v>15250723.915585257</v>
      </c>
      <c r="G29" s="265">
        <v>18798970.250365615</v>
      </c>
      <c r="I29" s="669"/>
      <c r="J29" s="667"/>
      <c r="K29" s="667"/>
      <c r="L29" s="667"/>
      <c r="M29" s="667"/>
      <c r="N29" s="667"/>
    </row>
    <row r="30" spans="1:14">
      <c r="A30" s="262">
        <v>22</v>
      </c>
      <c r="B30" s="278" t="s">
        <v>447</v>
      </c>
      <c r="C30" s="264">
        <v>0</v>
      </c>
      <c r="D30" s="268">
        <v>0</v>
      </c>
      <c r="E30" s="264">
        <v>0</v>
      </c>
      <c r="F30" s="264">
        <v>0</v>
      </c>
      <c r="G30" s="265">
        <v>0</v>
      </c>
      <c r="I30" s="669"/>
      <c r="J30" s="667"/>
      <c r="K30" s="667"/>
      <c r="L30" s="667"/>
      <c r="M30" s="667"/>
      <c r="N30" s="667"/>
    </row>
    <row r="31" spans="1:14" ht="26.25">
      <c r="A31" s="262">
        <v>23</v>
      </c>
      <c r="B31" s="266" t="s">
        <v>449</v>
      </c>
      <c r="C31" s="264">
        <v>0</v>
      </c>
      <c r="D31" s="268">
        <v>1339722.4100000001</v>
      </c>
      <c r="E31" s="264">
        <v>2520000</v>
      </c>
      <c r="F31" s="264">
        <v>3900036.5858450001</v>
      </c>
      <c r="G31" s="265">
        <v>5244892.3029682506</v>
      </c>
      <c r="I31" s="669"/>
      <c r="J31" s="667"/>
      <c r="K31" s="667"/>
      <c r="L31" s="667"/>
      <c r="M31" s="667"/>
      <c r="N31" s="667"/>
    </row>
    <row r="32" spans="1:14">
      <c r="A32" s="262">
        <v>24</v>
      </c>
      <c r="B32" s="263" t="s">
        <v>450</v>
      </c>
      <c r="C32" s="264">
        <v>0</v>
      </c>
      <c r="D32" s="268">
        <v>0</v>
      </c>
      <c r="E32" s="264">
        <v>0</v>
      </c>
      <c r="F32" s="264">
        <v>0</v>
      </c>
      <c r="G32" s="265">
        <v>0</v>
      </c>
      <c r="I32" s="669"/>
      <c r="J32" s="667"/>
      <c r="K32" s="667"/>
      <c r="L32" s="667"/>
      <c r="M32" s="667"/>
      <c r="N32" s="667"/>
    </row>
    <row r="33" spans="1:14">
      <c r="A33" s="262">
        <v>25</v>
      </c>
      <c r="B33" s="263" t="s">
        <v>88</v>
      </c>
      <c r="C33" s="264">
        <f>SUM(C34:C35)</f>
        <v>0</v>
      </c>
      <c r="D33" s="264">
        <f>SUM(D34:D35)</f>
        <v>109551207.88793102</v>
      </c>
      <c r="E33" s="264">
        <f>SUM(E34:E35)</f>
        <v>12976839.341900021</v>
      </c>
      <c r="F33" s="264">
        <f>SUM(F34:F35)</f>
        <v>193316671.01021132</v>
      </c>
      <c r="G33" s="265">
        <f>SUM(G34:G35)</f>
        <v>258433425.40028733</v>
      </c>
      <c r="I33" s="669"/>
      <c r="J33" s="667"/>
      <c r="K33" s="667"/>
      <c r="L33" s="667"/>
      <c r="M33" s="667"/>
      <c r="N33" s="667"/>
    </row>
    <row r="34" spans="1:14">
      <c r="A34" s="262">
        <v>26</v>
      </c>
      <c r="B34" s="266" t="s">
        <v>451</v>
      </c>
      <c r="C34" s="267"/>
      <c r="D34" s="268">
        <v>0</v>
      </c>
      <c r="E34" s="264">
        <v>0</v>
      </c>
      <c r="F34" s="264">
        <v>0</v>
      </c>
      <c r="G34" s="265">
        <v>0</v>
      </c>
      <c r="I34" s="669"/>
      <c r="J34" s="667"/>
      <c r="K34" s="667"/>
      <c r="L34" s="667"/>
      <c r="M34" s="667"/>
      <c r="N34" s="667"/>
    </row>
    <row r="35" spans="1:14">
      <c r="A35" s="262">
        <v>27</v>
      </c>
      <c r="B35" s="266" t="s">
        <v>452</v>
      </c>
      <c r="C35" s="264">
        <v>0</v>
      </c>
      <c r="D35" s="268">
        <v>109551207.88793102</v>
      </c>
      <c r="E35" s="264">
        <v>12976839.341900021</v>
      </c>
      <c r="F35" s="264">
        <v>193316671.01021132</v>
      </c>
      <c r="G35" s="265">
        <v>258433425.40028733</v>
      </c>
      <c r="I35" s="669"/>
      <c r="J35" s="667"/>
      <c r="K35" s="667"/>
      <c r="L35" s="667"/>
      <c r="M35" s="667"/>
      <c r="N35" s="667"/>
    </row>
    <row r="36" spans="1:14">
      <c r="A36" s="262">
        <v>28</v>
      </c>
      <c r="B36" s="263" t="s">
        <v>453</v>
      </c>
      <c r="C36" s="264">
        <v>0</v>
      </c>
      <c r="D36" s="268">
        <v>79700262.172728926</v>
      </c>
      <c r="E36" s="264">
        <v>14084299.510249641</v>
      </c>
      <c r="F36" s="264">
        <v>109305929.64948136</v>
      </c>
      <c r="G36" s="265">
        <v>23195803.993102755</v>
      </c>
      <c r="I36" s="669"/>
      <c r="J36" s="667"/>
      <c r="K36" s="667"/>
      <c r="L36" s="667"/>
      <c r="M36" s="667"/>
      <c r="N36" s="667"/>
    </row>
    <row r="37" spans="1:14">
      <c r="A37" s="269">
        <v>29</v>
      </c>
      <c r="B37" s="270" t="s">
        <v>454</v>
      </c>
      <c r="C37" s="267"/>
      <c r="D37" s="267"/>
      <c r="E37" s="267"/>
      <c r="F37" s="267"/>
      <c r="G37" s="271">
        <f>SUM(G23:G24,G32:G33,G36)</f>
        <v>844223118.08681297</v>
      </c>
      <c r="I37" s="669"/>
      <c r="J37" s="667"/>
      <c r="K37" s="667"/>
      <c r="L37" s="667"/>
      <c r="M37" s="667"/>
      <c r="N37" s="667"/>
    </row>
    <row r="38" spans="1:14">
      <c r="A38" s="258"/>
      <c r="B38" s="279"/>
      <c r="C38" s="280"/>
      <c r="D38" s="280"/>
      <c r="E38" s="280"/>
      <c r="F38" s="280"/>
      <c r="G38" s="281"/>
      <c r="I38" s="669"/>
      <c r="J38" s="667"/>
      <c r="K38" s="667"/>
      <c r="L38" s="667"/>
      <c r="M38" s="667"/>
      <c r="N38" s="667"/>
    </row>
    <row r="39" spans="1:14" ht="15.75" thickBot="1">
      <c r="A39" s="282">
        <v>30</v>
      </c>
      <c r="B39" s="283" t="s">
        <v>422</v>
      </c>
      <c r="C39" s="176"/>
      <c r="D39" s="160"/>
      <c r="E39" s="160"/>
      <c r="F39" s="284"/>
      <c r="G39" s="285">
        <f>IFERROR(G21/G37,0)</f>
        <v>1.6625595205184167</v>
      </c>
      <c r="I39" s="669"/>
      <c r="J39" s="667"/>
      <c r="K39" s="667"/>
      <c r="L39" s="667"/>
      <c r="M39" s="667"/>
      <c r="N39" s="667"/>
    </row>
    <row r="42" spans="1:14" ht="39">
      <c r="B42" s="17" t="s">
        <v>455</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O26"/>
  <sheetViews>
    <sheetView showGridLines="0" zoomScale="80" zoomScaleNormal="80" workbookViewId="0"/>
  </sheetViews>
  <sheetFormatPr defaultColWidth="9.140625" defaultRowHeight="12.75"/>
  <cols>
    <col min="1" max="1" width="11.85546875" style="297" bestFit="1" customWidth="1"/>
    <col min="2" max="2" width="105.140625" style="297" bestFit="1" customWidth="1"/>
    <col min="3" max="3" width="18.85546875" style="297" bestFit="1" customWidth="1"/>
    <col min="4" max="4" width="19.28515625" style="297" bestFit="1" customWidth="1"/>
    <col min="5" max="6" width="18.85546875" style="297" bestFit="1" customWidth="1"/>
    <col min="7" max="7" width="30.42578125" style="297" customWidth="1"/>
    <col min="8" max="8" width="20.85546875" style="297" bestFit="1" customWidth="1"/>
    <col min="9" max="9" width="9.140625" style="297"/>
    <col min="10" max="10" width="16.42578125" style="297" bestFit="1" customWidth="1"/>
    <col min="11" max="16384" width="9.140625" style="297"/>
  </cols>
  <sheetData>
    <row r="1" spans="1:15" ht="13.5">
      <c r="A1" s="296" t="s">
        <v>97</v>
      </c>
      <c r="B1" s="217" t="str">
        <f>Info!C2</f>
        <v>სს "ბანკი ქართუ"</v>
      </c>
    </row>
    <row r="2" spans="1:15">
      <c r="A2" s="296" t="s">
        <v>98</v>
      </c>
      <c r="B2" s="668">
        <f>'1. key ratios'!B2</f>
        <v>45747</v>
      </c>
    </row>
    <row r="3" spans="1:15">
      <c r="A3" s="298" t="s">
        <v>462</v>
      </c>
    </row>
    <row r="5" spans="1:15">
      <c r="A5" s="807" t="s">
        <v>463</v>
      </c>
      <c r="B5" s="808"/>
      <c r="C5" s="813" t="s">
        <v>464</v>
      </c>
      <c r="D5" s="814"/>
      <c r="E5" s="814"/>
      <c r="F5" s="814"/>
      <c r="G5" s="814"/>
      <c r="H5" s="815"/>
    </row>
    <row r="6" spans="1:15">
      <c r="A6" s="809"/>
      <c r="B6" s="810"/>
      <c r="C6" s="816"/>
      <c r="D6" s="817"/>
      <c r="E6" s="817"/>
      <c r="F6" s="817"/>
      <c r="G6" s="817"/>
      <c r="H6" s="818"/>
    </row>
    <row r="7" spans="1:15" ht="25.5">
      <c r="A7" s="811"/>
      <c r="B7" s="812"/>
      <c r="C7" s="380" t="s">
        <v>465</v>
      </c>
      <c r="D7" s="380" t="s">
        <v>466</v>
      </c>
      <c r="E7" s="380" t="s">
        <v>467</v>
      </c>
      <c r="F7" s="380" t="s">
        <v>468</v>
      </c>
      <c r="G7" s="380" t="s">
        <v>648</v>
      </c>
      <c r="H7" s="380" t="s">
        <v>66</v>
      </c>
    </row>
    <row r="8" spans="1:15">
      <c r="A8" s="376">
        <v>1</v>
      </c>
      <c r="B8" s="375" t="s">
        <v>123</v>
      </c>
      <c r="C8" s="671">
        <v>284804637</v>
      </c>
      <c r="D8" s="671">
        <v>7595661.6335474616</v>
      </c>
      <c r="E8" s="671">
        <v>21000731.716899998</v>
      </c>
      <c r="F8" s="671">
        <v>0</v>
      </c>
      <c r="G8" s="671">
        <v>0</v>
      </c>
      <c r="H8" s="672">
        <f t="shared" ref="H8:H20" si="0">SUM(C8:G8)</f>
        <v>313401030.35044748</v>
      </c>
      <c r="J8" s="670"/>
      <c r="K8" s="670"/>
      <c r="L8" s="670"/>
      <c r="M8" s="670"/>
      <c r="N8" s="670"/>
      <c r="O8" s="670"/>
    </row>
    <row r="9" spans="1:15">
      <c r="A9" s="376">
        <v>2</v>
      </c>
      <c r="B9" s="375" t="s">
        <v>124</v>
      </c>
      <c r="C9" s="671">
        <v>0</v>
      </c>
      <c r="D9" s="671">
        <v>0</v>
      </c>
      <c r="E9" s="671">
        <v>0</v>
      </c>
      <c r="F9" s="671">
        <v>0</v>
      </c>
      <c r="G9" s="671">
        <v>0</v>
      </c>
      <c r="H9" s="672">
        <f t="shared" si="0"/>
        <v>0</v>
      </c>
      <c r="J9" s="670"/>
      <c r="K9" s="670"/>
      <c r="L9" s="670"/>
      <c r="M9" s="670"/>
      <c r="N9" s="670"/>
      <c r="O9" s="670"/>
    </row>
    <row r="10" spans="1:15">
      <c r="A10" s="376">
        <v>3</v>
      </c>
      <c r="B10" s="375" t="s">
        <v>125</v>
      </c>
      <c r="C10" s="671">
        <v>0</v>
      </c>
      <c r="D10" s="671">
        <v>0</v>
      </c>
      <c r="E10" s="671">
        <v>0</v>
      </c>
      <c r="F10" s="671">
        <v>0</v>
      </c>
      <c r="G10" s="671">
        <v>0</v>
      </c>
      <c r="H10" s="672">
        <f t="shared" si="0"/>
        <v>0</v>
      </c>
      <c r="J10" s="670"/>
      <c r="K10" s="670"/>
      <c r="L10" s="670"/>
      <c r="M10" s="670"/>
      <c r="N10" s="670"/>
      <c r="O10" s="670"/>
    </row>
    <row r="11" spans="1:15">
      <c r="A11" s="376">
        <v>4</v>
      </c>
      <c r="B11" s="375" t="s">
        <v>126</v>
      </c>
      <c r="C11" s="671">
        <v>0</v>
      </c>
      <c r="D11" s="671">
        <v>0</v>
      </c>
      <c r="E11" s="671">
        <v>0</v>
      </c>
      <c r="F11" s="671">
        <v>0</v>
      </c>
      <c r="G11" s="671">
        <v>0</v>
      </c>
      <c r="H11" s="672">
        <f t="shared" si="0"/>
        <v>0</v>
      </c>
      <c r="J11" s="670"/>
      <c r="K11" s="670"/>
      <c r="L11" s="670"/>
      <c r="M11" s="670"/>
      <c r="N11" s="670"/>
      <c r="O11" s="670"/>
    </row>
    <row r="12" spans="1:15">
      <c r="A12" s="376">
        <v>5</v>
      </c>
      <c r="B12" s="375" t="s">
        <v>911</v>
      </c>
      <c r="C12" s="671">
        <v>0</v>
      </c>
      <c r="D12" s="671">
        <v>0</v>
      </c>
      <c r="E12" s="671">
        <v>0</v>
      </c>
      <c r="F12" s="671">
        <v>0</v>
      </c>
      <c r="G12" s="671">
        <v>0</v>
      </c>
      <c r="H12" s="672">
        <f t="shared" si="0"/>
        <v>0</v>
      </c>
      <c r="J12" s="670"/>
      <c r="K12" s="670"/>
      <c r="L12" s="670"/>
      <c r="M12" s="670"/>
      <c r="N12" s="670"/>
      <c r="O12" s="670"/>
    </row>
    <row r="13" spans="1:15">
      <c r="A13" s="376">
        <v>6</v>
      </c>
      <c r="B13" s="375" t="s">
        <v>127</v>
      </c>
      <c r="C13" s="671">
        <v>22974562.828599997</v>
      </c>
      <c r="D13" s="671">
        <v>257664103.53072134</v>
      </c>
      <c r="E13" s="671">
        <v>0</v>
      </c>
      <c r="F13" s="671">
        <v>3145186.9033945482</v>
      </c>
      <c r="G13" s="671">
        <v>0</v>
      </c>
      <c r="H13" s="672">
        <f t="shared" si="0"/>
        <v>283783853.26271588</v>
      </c>
      <c r="J13" s="670"/>
      <c r="K13" s="670"/>
      <c r="L13" s="670"/>
      <c r="M13" s="670"/>
      <c r="N13" s="670"/>
      <c r="O13" s="670"/>
    </row>
    <row r="14" spans="1:15">
      <c r="A14" s="376">
        <v>7</v>
      </c>
      <c r="B14" s="375" t="s">
        <v>71</v>
      </c>
      <c r="C14" s="671">
        <v>0</v>
      </c>
      <c r="D14" s="671">
        <v>488089643.41402799</v>
      </c>
      <c r="E14" s="671">
        <v>241535708.12878874</v>
      </c>
      <c r="F14" s="671">
        <v>277018725.43369079</v>
      </c>
      <c r="G14" s="671">
        <v>31563684.140792742</v>
      </c>
      <c r="H14" s="672">
        <f t="shared" si="0"/>
        <v>1038207761.1173003</v>
      </c>
      <c r="J14" s="670"/>
      <c r="K14" s="670"/>
      <c r="L14" s="670"/>
      <c r="M14" s="670"/>
      <c r="N14" s="670"/>
      <c r="O14" s="670"/>
    </row>
    <row r="15" spans="1:15">
      <c r="A15" s="376">
        <v>8</v>
      </c>
      <c r="B15" s="377" t="s">
        <v>72</v>
      </c>
      <c r="C15" s="671">
        <v>0</v>
      </c>
      <c r="D15" s="671">
        <v>0</v>
      </c>
      <c r="E15" s="671">
        <v>0</v>
      </c>
      <c r="F15" s="671">
        <v>0</v>
      </c>
      <c r="G15" s="671">
        <v>0</v>
      </c>
      <c r="H15" s="672">
        <f t="shared" si="0"/>
        <v>0</v>
      </c>
      <c r="J15" s="670"/>
      <c r="K15" s="670"/>
      <c r="L15" s="670"/>
      <c r="M15" s="670"/>
      <c r="N15" s="670"/>
      <c r="O15" s="670"/>
    </row>
    <row r="16" spans="1:15">
      <c r="A16" s="376">
        <v>9</v>
      </c>
      <c r="B16" s="375" t="s">
        <v>912</v>
      </c>
      <c r="C16" s="671">
        <v>0</v>
      </c>
      <c r="D16" s="671">
        <v>0</v>
      </c>
      <c r="E16" s="671">
        <v>0</v>
      </c>
      <c r="F16" s="671">
        <v>0</v>
      </c>
      <c r="G16" s="671">
        <v>0</v>
      </c>
      <c r="H16" s="672">
        <f t="shared" si="0"/>
        <v>0</v>
      </c>
      <c r="J16" s="670"/>
      <c r="K16" s="670"/>
      <c r="L16" s="670"/>
      <c r="M16" s="670"/>
      <c r="N16" s="670"/>
      <c r="O16" s="670"/>
    </row>
    <row r="17" spans="1:15">
      <c r="A17" s="376">
        <v>10</v>
      </c>
      <c r="B17" s="379" t="s">
        <v>483</v>
      </c>
      <c r="C17" s="671">
        <v>0</v>
      </c>
      <c r="D17" s="671">
        <v>5228031.0213385057</v>
      </c>
      <c r="E17" s="671">
        <v>24743104.603113346</v>
      </c>
      <c r="F17" s="671">
        <v>191780.74088015838</v>
      </c>
      <c r="G17" s="671">
        <v>31302563.431052353</v>
      </c>
      <c r="H17" s="672">
        <f t="shared" si="0"/>
        <v>61465479.796384364</v>
      </c>
      <c r="J17" s="670"/>
      <c r="K17" s="670"/>
      <c r="L17" s="670"/>
      <c r="M17" s="670"/>
      <c r="N17" s="670"/>
      <c r="O17" s="670"/>
    </row>
    <row r="18" spans="1:15">
      <c r="A18" s="376">
        <v>11</v>
      </c>
      <c r="B18" s="375" t="s">
        <v>68</v>
      </c>
      <c r="C18" s="671">
        <v>0</v>
      </c>
      <c r="D18" s="671">
        <v>0</v>
      </c>
      <c r="E18" s="671">
        <v>0</v>
      </c>
      <c r="F18" s="671">
        <v>0</v>
      </c>
      <c r="G18" s="671">
        <v>0</v>
      </c>
      <c r="H18" s="672">
        <f t="shared" si="0"/>
        <v>0</v>
      </c>
      <c r="J18" s="670"/>
      <c r="K18" s="670"/>
      <c r="L18" s="670"/>
      <c r="M18" s="670"/>
      <c r="N18" s="670"/>
      <c r="O18" s="670"/>
    </row>
    <row r="19" spans="1:15">
      <c r="A19" s="376">
        <v>12</v>
      </c>
      <c r="B19" s="375" t="s">
        <v>69</v>
      </c>
      <c r="C19" s="671">
        <v>0</v>
      </c>
      <c r="D19" s="671">
        <v>0</v>
      </c>
      <c r="E19" s="671">
        <v>0</v>
      </c>
      <c r="F19" s="671">
        <v>0</v>
      </c>
      <c r="G19" s="671">
        <v>0</v>
      </c>
      <c r="H19" s="672">
        <f t="shared" si="0"/>
        <v>0</v>
      </c>
      <c r="J19" s="670"/>
      <c r="K19" s="670"/>
      <c r="L19" s="670"/>
      <c r="M19" s="670"/>
      <c r="N19" s="670"/>
      <c r="O19" s="670"/>
    </row>
    <row r="20" spans="1:15">
      <c r="A20" s="378">
        <v>13</v>
      </c>
      <c r="B20" s="377" t="s">
        <v>70</v>
      </c>
      <c r="C20" s="671">
        <v>0</v>
      </c>
      <c r="D20" s="671">
        <v>0</v>
      </c>
      <c r="E20" s="671">
        <v>0</v>
      </c>
      <c r="F20" s="671">
        <v>0</v>
      </c>
      <c r="G20" s="671">
        <v>0</v>
      </c>
      <c r="H20" s="672">
        <f t="shared" si="0"/>
        <v>0</v>
      </c>
      <c r="J20" s="670"/>
      <c r="K20" s="670"/>
      <c r="L20" s="670"/>
      <c r="M20" s="670"/>
      <c r="N20" s="670"/>
      <c r="O20" s="670"/>
    </row>
    <row r="21" spans="1:15">
      <c r="A21" s="376">
        <v>14</v>
      </c>
      <c r="B21" s="375" t="s">
        <v>469</v>
      </c>
      <c r="C21" s="671">
        <v>46297032.329999998</v>
      </c>
      <c r="D21" s="671">
        <v>7447931.353915642</v>
      </c>
      <c r="E21" s="671">
        <v>6215324.9316962762</v>
      </c>
      <c r="F21" s="671">
        <v>26985554.925574116</v>
      </c>
      <c r="G21" s="671">
        <v>87329258.594810963</v>
      </c>
      <c r="H21" s="672">
        <f>SUM(C21:G21)</f>
        <v>174275102.135997</v>
      </c>
      <c r="J21" s="670"/>
      <c r="K21" s="670"/>
      <c r="L21" s="670"/>
      <c r="M21" s="670"/>
      <c r="N21" s="670"/>
      <c r="O21" s="670"/>
    </row>
    <row r="22" spans="1:15">
      <c r="A22" s="374">
        <v>15</v>
      </c>
      <c r="B22" s="373" t="s">
        <v>66</v>
      </c>
      <c r="C22" s="672">
        <f>SUM(C18:C21)+SUM(C8:C16)</f>
        <v>354076232.15859997</v>
      </c>
      <c r="D22" s="672">
        <f t="shared" ref="D22:H22" si="1">SUM(D18:D21)+SUM(D8:D16)</f>
        <v>760797339.93221247</v>
      </c>
      <c r="E22" s="672">
        <f t="shared" si="1"/>
        <v>268751764.777385</v>
      </c>
      <c r="F22" s="672">
        <f t="shared" si="1"/>
        <v>307149467.26265943</v>
      </c>
      <c r="G22" s="672">
        <f t="shared" si="1"/>
        <v>118892942.73560371</v>
      </c>
      <c r="H22" s="672">
        <f t="shared" si="1"/>
        <v>1809667746.8664606</v>
      </c>
      <c r="J22" s="670"/>
      <c r="K22" s="670"/>
      <c r="L22" s="670"/>
      <c r="M22" s="670"/>
      <c r="N22" s="670"/>
      <c r="O22" s="670"/>
    </row>
    <row r="26" spans="1:15" ht="38.25">
      <c r="B26" s="313" t="s">
        <v>647</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46"/>
  <sheetViews>
    <sheetView showGridLines="0" zoomScale="80" zoomScaleNormal="80" workbookViewId="0"/>
  </sheetViews>
  <sheetFormatPr defaultColWidth="9.140625" defaultRowHeight="12.75"/>
  <cols>
    <col min="1" max="1" width="11.85546875" style="299" bestFit="1" customWidth="1"/>
    <col min="2" max="2" width="86.85546875" style="297" customWidth="1"/>
    <col min="3" max="4" width="31.5703125" style="297" customWidth="1"/>
    <col min="5" max="5" width="16.42578125" style="297" bestFit="1" customWidth="1"/>
    <col min="6" max="6" width="14.140625" style="297" bestFit="1" customWidth="1"/>
    <col min="7" max="7" width="20" style="297" bestFit="1" customWidth="1"/>
    <col min="8" max="8" width="25.140625" style="297" bestFit="1" customWidth="1"/>
    <col min="9" max="16384" width="9.140625" style="297"/>
  </cols>
  <sheetData>
    <row r="1" spans="1:8" ht="13.5">
      <c r="A1" s="296" t="s">
        <v>97</v>
      </c>
      <c r="B1" s="217" t="str">
        <f>Info!C2</f>
        <v>სს "ბანკი ქართუ"</v>
      </c>
      <c r="C1" s="391"/>
      <c r="D1" s="391"/>
      <c r="E1" s="391"/>
      <c r="F1" s="391"/>
      <c r="G1" s="391"/>
      <c r="H1" s="391"/>
    </row>
    <row r="2" spans="1:8">
      <c r="A2" s="296" t="s">
        <v>98</v>
      </c>
      <c r="B2" s="668">
        <f>'1. key ratios'!B2</f>
        <v>45747</v>
      </c>
      <c r="C2" s="391"/>
      <c r="D2" s="391"/>
      <c r="E2" s="391"/>
      <c r="F2" s="391"/>
      <c r="G2" s="391"/>
      <c r="H2" s="391"/>
    </row>
    <row r="3" spans="1:8">
      <c r="A3" s="298" t="s">
        <v>470</v>
      </c>
      <c r="B3" s="391"/>
      <c r="C3" s="391"/>
      <c r="D3" s="391"/>
      <c r="E3" s="391"/>
      <c r="F3" s="391"/>
      <c r="G3" s="391"/>
      <c r="H3" s="391"/>
    </row>
    <row r="4" spans="1:8">
      <c r="A4" s="392"/>
      <c r="B4" s="391"/>
      <c r="C4" s="390" t="s">
        <v>471</v>
      </c>
      <c r="D4" s="390" t="s">
        <v>472</v>
      </c>
      <c r="E4" s="390" t="s">
        <v>473</v>
      </c>
      <c r="F4" s="390" t="s">
        <v>474</v>
      </c>
      <c r="G4" s="390" t="s">
        <v>475</v>
      </c>
      <c r="H4" s="390" t="s">
        <v>476</v>
      </c>
    </row>
    <row r="5" spans="1:8" ht="33.950000000000003" customHeight="1">
      <c r="A5" s="807" t="s">
        <v>1003</v>
      </c>
      <c r="B5" s="808"/>
      <c r="C5" s="821" t="s">
        <v>565</v>
      </c>
      <c r="D5" s="821"/>
      <c r="E5" s="821" t="s">
        <v>834</v>
      </c>
      <c r="F5" s="819" t="s">
        <v>833</v>
      </c>
      <c r="G5" s="819" t="s">
        <v>480</v>
      </c>
      <c r="H5" s="388" t="s">
        <v>832</v>
      </c>
    </row>
    <row r="6" spans="1:8" ht="31.5" customHeight="1">
      <c r="A6" s="811"/>
      <c r="B6" s="812"/>
      <c r="C6" s="389" t="s">
        <v>481</v>
      </c>
      <c r="D6" s="389" t="s">
        <v>482</v>
      </c>
      <c r="E6" s="821"/>
      <c r="F6" s="820"/>
      <c r="G6" s="820"/>
      <c r="H6" s="388" t="s">
        <v>831</v>
      </c>
    </row>
    <row r="7" spans="1:8">
      <c r="A7" s="386">
        <v>1</v>
      </c>
      <c r="B7" s="375" t="s">
        <v>123</v>
      </c>
      <c r="C7" s="673">
        <v>0</v>
      </c>
      <c r="D7" s="673">
        <v>313535134.86320555</v>
      </c>
      <c r="E7" s="673">
        <v>112144.40343287736</v>
      </c>
      <c r="F7" s="673">
        <v>0</v>
      </c>
      <c r="G7" s="673">
        <v>0</v>
      </c>
      <c r="H7" s="674">
        <f t="shared" ref="H7:H20" si="0">C7+D7-E7-F7</f>
        <v>313422990.45977265</v>
      </c>
    </row>
    <row r="8" spans="1:8" ht="14.45" customHeight="1">
      <c r="A8" s="386">
        <v>2</v>
      </c>
      <c r="B8" s="375" t="s">
        <v>124</v>
      </c>
      <c r="C8" s="673">
        <v>0</v>
      </c>
      <c r="D8" s="673">
        <v>0</v>
      </c>
      <c r="E8" s="673">
        <v>0</v>
      </c>
      <c r="F8" s="673">
        <v>0</v>
      </c>
      <c r="G8" s="673">
        <v>0</v>
      </c>
      <c r="H8" s="674">
        <f t="shared" si="0"/>
        <v>0</v>
      </c>
    </row>
    <row r="9" spans="1:8">
      <c r="A9" s="386">
        <v>3</v>
      </c>
      <c r="B9" s="375" t="s">
        <v>125</v>
      </c>
      <c r="C9" s="673">
        <v>0</v>
      </c>
      <c r="D9" s="673">
        <v>0</v>
      </c>
      <c r="E9" s="673">
        <v>0</v>
      </c>
      <c r="F9" s="673">
        <v>0</v>
      </c>
      <c r="G9" s="673">
        <v>0</v>
      </c>
      <c r="H9" s="674">
        <f t="shared" si="0"/>
        <v>0</v>
      </c>
    </row>
    <row r="10" spans="1:8">
      <c r="A10" s="386">
        <v>4</v>
      </c>
      <c r="B10" s="375" t="s">
        <v>126</v>
      </c>
      <c r="C10" s="673">
        <v>0</v>
      </c>
      <c r="D10" s="673">
        <v>0</v>
      </c>
      <c r="E10" s="673">
        <v>0</v>
      </c>
      <c r="F10" s="673">
        <v>0</v>
      </c>
      <c r="G10" s="673">
        <v>0</v>
      </c>
      <c r="H10" s="674">
        <f t="shared" si="0"/>
        <v>0</v>
      </c>
    </row>
    <row r="11" spans="1:8">
      <c r="A11" s="386">
        <v>5</v>
      </c>
      <c r="B11" s="375" t="s">
        <v>911</v>
      </c>
      <c r="C11" s="673">
        <v>0</v>
      </c>
      <c r="D11" s="673">
        <v>0</v>
      </c>
      <c r="E11" s="673">
        <v>0</v>
      </c>
      <c r="F11" s="673">
        <v>0</v>
      </c>
      <c r="G11" s="673">
        <v>0</v>
      </c>
      <c r="H11" s="674">
        <f t="shared" si="0"/>
        <v>0</v>
      </c>
    </row>
    <row r="12" spans="1:8">
      <c r="A12" s="386">
        <v>6</v>
      </c>
      <c r="B12" s="375" t="s">
        <v>127</v>
      </c>
      <c r="C12" s="673">
        <v>0</v>
      </c>
      <c r="D12" s="673">
        <v>283852731.70649999</v>
      </c>
      <c r="E12" s="673">
        <v>68878.450484116387</v>
      </c>
      <c r="F12" s="673">
        <v>0</v>
      </c>
      <c r="G12" s="673">
        <v>0</v>
      </c>
      <c r="H12" s="674">
        <f t="shared" si="0"/>
        <v>283783853.2560159</v>
      </c>
    </row>
    <row r="13" spans="1:8">
      <c r="A13" s="386">
        <v>7</v>
      </c>
      <c r="B13" s="375" t="s">
        <v>71</v>
      </c>
      <c r="C13" s="673">
        <v>122787936.98032165</v>
      </c>
      <c r="D13" s="673">
        <v>971297919.03447747</v>
      </c>
      <c r="E13" s="673">
        <v>55878094.897497155</v>
      </c>
      <c r="F13" s="673">
        <v>0</v>
      </c>
      <c r="G13" s="673">
        <v>1176940.29</v>
      </c>
      <c r="H13" s="674">
        <f t="shared" si="0"/>
        <v>1038207761.1173019</v>
      </c>
    </row>
    <row r="14" spans="1:8">
      <c r="A14" s="386">
        <v>8</v>
      </c>
      <c r="B14" s="377" t="s">
        <v>72</v>
      </c>
      <c r="C14" s="673">
        <v>0</v>
      </c>
      <c r="D14" s="673">
        <v>0</v>
      </c>
      <c r="E14" s="673">
        <v>0</v>
      </c>
      <c r="F14" s="673">
        <v>0</v>
      </c>
      <c r="G14" s="673">
        <v>0</v>
      </c>
      <c r="H14" s="674">
        <f t="shared" si="0"/>
        <v>0</v>
      </c>
    </row>
    <row r="15" spans="1:8">
      <c r="A15" s="386">
        <v>9</v>
      </c>
      <c r="B15" s="375" t="s">
        <v>912</v>
      </c>
      <c r="C15" s="673">
        <v>0</v>
      </c>
      <c r="D15" s="673">
        <v>0</v>
      </c>
      <c r="E15" s="673">
        <v>0</v>
      </c>
      <c r="F15" s="673">
        <v>0</v>
      </c>
      <c r="G15" s="673">
        <v>0</v>
      </c>
      <c r="H15" s="674">
        <f t="shared" si="0"/>
        <v>0</v>
      </c>
    </row>
    <row r="16" spans="1:8">
      <c r="A16" s="386">
        <v>10</v>
      </c>
      <c r="B16" s="379" t="s">
        <v>483</v>
      </c>
      <c r="C16" s="673">
        <v>78330457.899704143</v>
      </c>
      <c r="D16" s="673">
        <v>0</v>
      </c>
      <c r="E16" s="673">
        <v>16864978.10331976</v>
      </c>
      <c r="F16" s="673">
        <v>0</v>
      </c>
      <c r="G16" s="673">
        <v>1177946.42</v>
      </c>
      <c r="H16" s="674">
        <f t="shared" si="0"/>
        <v>61465479.796384379</v>
      </c>
    </row>
    <row r="17" spans="1:8">
      <c r="A17" s="386">
        <v>11</v>
      </c>
      <c r="B17" s="375" t="s">
        <v>68</v>
      </c>
      <c r="C17" s="673">
        <v>0</v>
      </c>
      <c r="D17" s="673">
        <v>0</v>
      </c>
      <c r="E17" s="673">
        <v>0</v>
      </c>
      <c r="F17" s="673">
        <v>0</v>
      </c>
      <c r="G17" s="673">
        <v>0</v>
      </c>
      <c r="H17" s="674">
        <f t="shared" si="0"/>
        <v>0</v>
      </c>
    </row>
    <row r="18" spans="1:8">
      <c r="A18" s="386">
        <v>12</v>
      </c>
      <c r="B18" s="375" t="s">
        <v>69</v>
      </c>
      <c r="C18" s="673">
        <v>0</v>
      </c>
      <c r="D18" s="673">
        <v>0</v>
      </c>
      <c r="E18" s="673">
        <v>0</v>
      </c>
      <c r="F18" s="673">
        <v>0</v>
      </c>
      <c r="G18" s="673">
        <v>0</v>
      </c>
      <c r="H18" s="674">
        <f t="shared" si="0"/>
        <v>0</v>
      </c>
    </row>
    <row r="19" spans="1:8">
      <c r="A19" s="387">
        <v>13</v>
      </c>
      <c r="B19" s="377" t="s">
        <v>70</v>
      </c>
      <c r="C19" s="673">
        <v>0</v>
      </c>
      <c r="D19" s="673">
        <v>0</v>
      </c>
      <c r="E19" s="673">
        <v>0</v>
      </c>
      <c r="F19" s="673">
        <v>0</v>
      </c>
      <c r="G19" s="673">
        <v>0</v>
      </c>
      <c r="H19" s="674">
        <f t="shared" si="0"/>
        <v>0</v>
      </c>
    </row>
    <row r="20" spans="1:8">
      <c r="A20" s="386">
        <v>14</v>
      </c>
      <c r="B20" s="375" t="s">
        <v>469</v>
      </c>
      <c r="C20" s="673">
        <v>3038831.1992071602</v>
      </c>
      <c r="D20" s="673">
        <v>185089032.91020533</v>
      </c>
      <c r="E20" s="673">
        <v>1502347.6234154205</v>
      </c>
      <c r="F20" s="673">
        <v>0</v>
      </c>
      <c r="G20" s="673">
        <v>27526.710000000003</v>
      </c>
      <c r="H20" s="674">
        <f t="shared" si="0"/>
        <v>186625516.48599708</v>
      </c>
    </row>
    <row r="21" spans="1:8" s="300" customFormat="1">
      <c r="A21" s="385">
        <v>15</v>
      </c>
      <c r="B21" s="384" t="s">
        <v>66</v>
      </c>
      <c r="C21" s="675">
        <f t="shared" ref="C21:H21" si="1">SUM(C7:C15)+SUM(C17:C20)</f>
        <v>125826768.1795288</v>
      </c>
      <c r="D21" s="675">
        <f t="shared" si="1"/>
        <v>1753774818.5143883</v>
      </c>
      <c r="E21" s="675">
        <f t="shared" si="1"/>
        <v>57561465.374829568</v>
      </c>
      <c r="F21" s="675">
        <f t="shared" si="1"/>
        <v>0</v>
      </c>
      <c r="G21" s="675">
        <f t="shared" si="1"/>
        <v>1204467</v>
      </c>
      <c r="H21" s="681">
        <f t="shared" si="1"/>
        <v>1822040121.3190875</v>
      </c>
    </row>
    <row r="22" spans="1:8">
      <c r="A22" s="383">
        <v>16</v>
      </c>
      <c r="B22" s="382" t="s">
        <v>484</v>
      </c>
      <c r="C22" s="673">
        <v>125570375.5850289</v>
      </c>
      <c r="D22" s="673">
        <v>970656706.81172335</v>
      </c>
      <c r="E22" s="673">
        <v>56793257.405083552</v>
      </c>
      <c r="F22" s="673">
        <v>0</v>
      </c>
      <c r="G22" s="673">
        <v>1177946.42</v>
      </c>
      <c r="H22" s="674">
        <f>C22+D22-E22-F22</f>
        <v>1039433824.9916688</v>
      </c>
    </row>
    <row r="23" spans="1:8">
      <c r="A23" s="383">
        <v>17</v>
      </c>
      <c r="B23" s="382" t="s">
        <v>485</v>
      </c>
      <c r="C23" s="673">
        <v>0</v>
      </c>
      <c r="D23" s="673">
        <v>68064682.288405567</v>
      </c>
      <c r="E23" s="673">
        <v>495854.14415922126</v>
      </c>
      <c r="F23" s="673">
        <v>0</v>
      </c>
      <c r="G23" s="673">
        <v>0</v>
      </c>
      <c r="H23" s="674">
        <f>C23+D23-E23-F23</f>
        <v>67568828.14424634</v>
      </c>
    </row>
    <row r="26" spans="1:8" ht="42.6" customHeight="1">
      <c r="B26" s="313" t="s">
        <v>647</v>
      </c>
    </row>
    <row r="30" spans="1:8">
      <c r="C30" s="670"/>
      <c r="D30" s="670"/>
      <c r="E30" s="670"/>
      <c r="F30" s="670"/>
      <c r="G30" s="670"/>
      <c r="H30" s="670"/>
    </row>
    <row r="31" spans="1:8">
      <c r="C31" s="670"/>
      <c r="D31" s="670"/>
      <c r="E31" s="670"/>
      <c r="F31" s="670"/>
      <c r="G31" s="670"/>
      <c r="H31" s="670"/>
    </row>
    <row r="32" spans="1:8">
      <c r="C32" s="670"/>
      <c r="D32" s="670"/>
      <c r="E32" s="670"/>
      <c r="F32" s="670"/>
      <c r="G32" s="670"/>
      <c r="H32" s="670"/>
    </row>
    <row r="33" spans="3:8">
      <c r="C33" s="670"/>
      <c r="D33" s="670"/>
      <c r="E33" s="670"/>
      <c r="F33" s="670"/>
      <c r="G33" s="670"/>
      <c r="H33" s="670"/>
    </row>
    <row r="34" spans="3:8">
      <c r="C34" s="670"/>
      <c r="D34" s="670"/>
      <c r="E34" s="670"/>
      <c r="F34" s="670"/>
      <c r="G34" s="670"/>
      <c r="H34" s="670"/>
    </row>
    <row r="35" spans="3:8">
      <c r="C35" s="670"/>
      <c r="D35" s="670"/>
      <c r="E35" s="670"/>
      <c r="F35" s="670"/>
      <c r="G35" s="670"/>
      <c r="H35" s="670"/>
    </row>
    <row r="36" spans="3:8">
      <c r="C36" s="670"/>
      <c r="D36" s="670"/>
      <c r="E36" s="670"/>
      <c r="F36" s="670"/>
      <c r="G36" s="670"/>
      <c r="H36" s="670"/>
    </row>
    <row r="37" spans="3:8">
      <c r="C37" s="670"/>
      <c r="D37" s="670"/>
      <c r="E37" s="670"/>
      <c r="F37" s="670"/>
      <c r="G37" s="670"/>
      <c r="H37" s="670"/>
    </row>
    <row r="38" spans="3:8">
      <c r="C38" s="670"/>
      <c r="D38" s="670"/>
      <c r="E38" s="670"/>
      <c r="F38" s="670"/>
      <c r="G38" s="670"/>
      <c r="H38" s="670"/>
    </row>
    <row r="39" spans="3:8">
      <c r="C39" s="670"/>
      <c r="D39" s="670"/>
      <c r="E39" s="670"/>
      <c r="F39" s="670"/>
      <c r="G39" s="670"/>
      <c r="H39" s="670"/>
    </row>
    <row r="40" spans="3:8">
      <c r="C40" s="670"/>
      <c r="D40" s="670"/>
      <c r="E40" s="670"/>
      <c r="F40" s="670"/>
      <c r="G40" s="670"/>
      <c r="H40" s="670"/>
    </row>
    <row r="41" spans="3:8">
      <c r="C41" s="670"/>
      <c r="D41" s="670"/>
      <c r="E41" s="670"/>
      <c r="F41" s="670"/>
      <c r="G41" s="670"/>
      <c r="H41" s="670"/>
    </row>
    <row r="42" spans="3:8">
      <c r="C42" s="670"/>
      <c r="D42" s="670"/>
      <c r="E42" s="670"/>
      <c r="F42" s="670"/>
      <c r="G42" s="670"/>
      <c r="H42" s="670"/>
    </row>
    <row r="43" spans="3:8">
      <c r="C43" s="670"/>
      <c r="D43" s="670"/>
      <c r="E43" s="670"/>
      <c r="F43" s="670"/>
      <c r="G43" s="670"/>
      <c r="H43" s="670"/>
    </row>
    <row r="44" spans="3:8">
      <c r="C44" s="670"/>
      <c r="D44" s="670"/>
      <c r="E44" s="670"/>
      <c r="F44" s="670"/>
      <c r="G44" s="670"/>
      <c r="H44" s="670"/>
    </row>
    <row r="45" spans="3:8">
      <c r="C45" s="670"/>
      <c r="D45" s="670"/>
      <c r="E45" s="670"/>
      <c r="F45" s="670"/>
      <c r="G45" s="670"/>
      <c r="H45" s="670"/>
    </row>
    <row r="46" spans="3:8">
      <c r="C46" s="670"/>
      <c r="D46" s="670"/>
      <c r="E46" s="670"/>
      <c r="F46" s="670"/>
      <c r="G46" s="670"/>
      <c r="H46" s="670"/>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P36"/>
  <sheetViews>
    <sheetView showGridLines="0" zoomScale="80" zoomScaleNormal="80" workbookViewId="0"/>
  </sheetViews>
  <sheetFormatPr defaultColWidth="9.140625" defaultRowHeight="12.75"/>
  <cols>
    <col min="1" max="1" width="11" style="297" bestFit="1" customWidth="1"/>
    <col min="2" max="2" width="93.42578125" style="297" customWidth="1"/>
    <col min="3" max="4" width="35" style="670" customWidth="1"/>
    <col min="5" max="7" width="22" style="670" customWidth="1"/>
    <col min="8" max="8" width="42.28515625" style="670" bestFit="1" customWidth="1"/>
    <col min="9" max="10" width="9.140625" style="670"/>
    <col min="11" max="11" width="15.7109375" style="670" bestFit="1" customWidth="1"/>
    <col min="12" max="12" width="17" style="670" bestFit="1" customWidth="1"/>
    <col min="13" max="13" width="15" style="670" bestFit="1" customWidth="1"/>
    <col min="14" max="14" width="9.28515625" style="670" bestFit="1" customWidth="1"/>
    <col min="15" max="15" width="13.7109375" style="670" bestFit="1" customWidth="1"/>
    <col min="16" max="16" width="17" style="670" bestFit="1" customWidth="1"/>
    <col min="17" max="16384" width="9.140625" style="297"/>
  </cols>
  <sheetData>
    <row r="1" spans="1:8" ht="13.5">
      <c r="A1" s="296" t="s">
        <v>97</v>
      </c>
      <c r="B1" s="217" t="str">
        <f>Info!C2</f>
        <v>სს "ბანკი ქართუ"</v>
      </c>
      <c r="C1" s="677"/>
      <c r="D1" s="677"/>
      <c r="E1" s="677"/>
      <c r="F1" s="677"/>
      <c r="G1" s="677"/>
      <c r="H1" s="677"/>
    </row>
    <row r="2" spans="1:8">
      <c r="A2" s="296" t="s">
        <v>98</v>
      </c>
      <c r="B2" s="668">
        <f>'1. key ratios'!B2</f>
        <v>45747</v>
      </c>
      <c r="C2" s="677"/>
      <c r="D2" s="677"/>
      <c r="E2" s="677"/>
      <c r="F2" s="677"/>
      <c r="G2" s="677"/>
      <c r="H2" s="677"/>
    </row>
    <row r="3" spans="1:8">
      <c r="A3" s="298" t="s">
        <v>486</v>
      </c>
      <c r="B3" s="391"/>
      <c r="C3" s="677"/>
      <c r="D3" s="677"/>
      <c r="E3" s="677"/>
      <c r="F3" s="677"/>
      <c r="G3" s="677"/>
      <c r="H3" s="677"/>
    </row>
    <row r="4" spans="1:8">
      <c r="A4" s="391"/>
      <c r="B4" s="391"/>
      <c r="C4" s="678" t="s">
        <v>471</v>
      </c>
      <c r="D4" s="678" t="s">
        <v>472</v>
      </c>
      <c r="E4" s="678" t="s">
        <v>473</v>
      </c>
      <c r="F4" s="678" t="s">
        <v>474</v>
      </c>
      <c r="G4" s="678" t="s">
        <v>475</v>
      </c>
      <c r="H4" s="678" t="s">
        <v>476</v>
      </c>
    </row>
    <row r="5" spans="1:8" ht="41.45" customHeight="1">
      <c r="A5" s="807" t="s">
        <v>836</v>
      </c>
      <c r="B5" s="808"/>
      <c r="C5" s="824" t="s">
        <v>565</v>
      </c>
      <c r="D5" s="825"/>
      <c r="E5" s="822" t="s">
        <v>834</v>
      </c>
      <c r="F5" s="822" t="s">
        <v>833</v>
      </c>
      <c r="G5" s="822" t="s">
        <v>480</v>
      </c>
      <c r="H5" s="680" t="s">
        <v>832</v>
      </c>
    </row>
    <row r="6" spans="1:8" ht="25.5">
      <c r="A6" s="811"/>
      <c r="B6" s="812"/>
      <c r="C6" s="679" t="s">
        <v>481</v>
      </c>
      <c r="D6" s="679" t="s">
        <v>482</v>
      </c>
      <c r="E6" s="823"/>
      <c r="F6" s="823"/>
      <c r="G6" s="823"/>
      <c r="H6" s="680" t="s">
        <v>831</v>
      </c>
    </row>
    <row r="7" spans="1:8">
      <c r="A7" s="381">
        <v>1</v>
      </c>
      <c r="B7" s="394" t="s">
        <v>487</v>
      </c>
      <c r="C7" s="673">
        <v>745813.37747069262</v>
      </c>
      <c r="D7" s="673">
        <v>321115147.37136388</v>
      </c>
      <c r="E7" s="673">
        <v>413743.23935102043</v>
      </c>
      <c r="F7" s="673">
        <v>0</v>
      </c>
      <c r="G7" s="673">
        <v>0</v>
      </c>
      <c r="H7" s="681">
        <f t="shared" ref="H7:H34" si="0">C7+D7-E7-F7</f>
        <v>321447217.50948352</v>
      </c>
    </row>
    <row r="8" spans="1:8">
      <c r="A8" s="381">
        <v>2</v>
      </c>
      <c r="B8" s="394" t="s">
        <v>488</v>
      </c>
      <c r="C8" s="673">
        <v>164188.83331408165</v>
      </c>
      <c r="D8" s="673">
        <v>329589445.24625254</v>
      </c>
      <c r="E8" s="673">
        <v>308993.13746435451</v>
      </c>
      <c r="F8" s="673">
        <v>0</v>
      </c>
      <c r="G8" s="673">
        <v>0</v>
      </c>
      <c r="H8" s="681">
        <f t="shared" si="0"/>
        <v>329444640.94210225</v>
      </c>
    </row>
    <row r="9" spans="1:8">
      <c r="A9" s="381">
        <v>3</v>
      </c>
      <c r="B9" s="394" t="s">
        <v>835</v>
      </c>
      <c r="C9" s="673">
        <v>0</v>
      </c>
      <c r="D9" s="673">
        <v>0</v>
      </c>
      <c r="E9" s="673">
        <v>0</v>
      </c>
      <c r="F9" s="673">
        <v>0</v>
      </c>
      <c r="G9" s="673">
        <v>0</v>
      </c>
      <c r="H9" s="681">
        <f t="shared" si="0"/>
        <v>0</v>
      </c>
    </row>
    <row r="10" spans="1:8">
      <c r="A10" s="381">
        <v>4</v>
      </c>
      <c r="B10" s="394" t="s">
        <v>489</v>
      </c>
      <c r="C10" s="673">
        <v>24558526.159622185</v>
      </c>
      <c r="D10" s="673">
        <v>81148903.67783536</v>
      </c>
      <c r="E10" s="673">
        <v>503167.78347747482</v>
      </c>
      <c r="F10" s="673">
        <v>0</v>
      </c>
      <c r="G10" s="673">
        <v>0</v>
      </c>
      <c r="H10" s="681">
        <f t="shared" si="0"/>
        <v>105204262.05398007</v>
      </c>
    </row>
    <row r="11" spans="1:8">
      <c r="A11" s="381">
        <v>5</v>
      </c>
      <c r="B11" s="394" t="s">
        <v>490</v>
      </c>
      <c r="C11" s="673">
        <v>2930084.1655830001</v>
      </c>
      <c r="D11" s="673">
        <v>107160583.85921147</v>
      </c>
      <c r="E11" s="673">
        <v>1132924.482715474</v>
      </c>
      <c r="F11" s="673">
        <v>0</v>
      </c>
      <c r="G11" s="673">
        <v>0.03</v>
      </c>
      <c r="H11" s="681">
        <f t="shared" si="0"/>
        <v>108957743.542079</v>
      </c>
    </row>
    <row r="12" spans="1:8">
      <c r="A12" s="381">
        <v>6</v>
      </c>
      <c r="B12" s="394" t="s">
        <v>491</v>
      </c>
      <c r="C12" s="673">
        <v>867.63</v>
      </c>
      <c r="D12" s="673">
        <v>21869069.685159706</v>
      </c>
      <c r="E12" s="673">
        <v>29358.836453223663</v>
      </c>
      <c r="F12" s="673">
        <v>0</v>
      </c>
      <c r="G12" s="673">
        <v>0</v>
      </c>
      <c r="H12" s="681">
        <f t="shared" si="0"/>
        <v>21840578.478706479</v>
      </c>
    </row>
    <row r="13" spans="1:8">
      <c r="A13" s="381">
        <v>7</v>
      </c>
      <c r="B13" s="394" t="s">
        <v>492</v>
      </c>
      <c r="C13" s="673">
        <v>5962255.5941569954</v>
      </c>
      <c r="D13" s="673">
        <v>14127573.354418648</v>
      </c>
      <c r="E13" s="673">
        <v>89929.403753157647</v>
      </c>
      <c r="F13" s="673">
        <v>0</v>
      </c>
      <c r="G13" s="673">
        <v>0</v>
      </c>
      <c r="H13" s="681">
        <f t="shared" si="0"/>
        <v>19999899.544822488</v>
      </c>
    </row>
    <row r="14" spans="1:8">
      <c r="A14" s="381">
        <v>8</v>
      </c>
      <c r="B14" s="394" t="s">
        <v>493</v>
      </c>
      <c r="C14" s="673">
        <v>267657.15481966588</v>
      </c>
      <c r="D14" s="673">
        <v>13711124.482605727</v>
      </c>
      <c r="E14" s="673">
        <v>271465.90838990698</v>
      </c>
      <c r="F14" s="673">
        <v>0</v>
      </c>
      <c r="G14" s="673">
        <v>0</v>
      </c>
      <c r="H14" s="681">
        <f t="shared" si="0"/>
        <v>13707315.729035486</v>
      </c>
    </row>
    <row r="15" spans="1:8">
      <c r="A15" s="381">
        <v>9</v>
      </c>
      <c r="B15" s="394" t="s">
        <v>494</v>
      </c>
      <c r="C15" s="673">
        <v>3651004.8963455758</v>
      </c>
      <c r="D15" s="673">
        <v>184741876.83448902</v>
      </c>
      <c r="E15" s="673">
        <v>2710021.0947242058</v>
      </c>
      <c r="F15" s="673">
        <v>0</v>
      </c>
      <c r="G15" s="673">
        <v>1092469</v>
      </c>
      <c r="H15" s="681">
        <f t="shared" si="0"/>
        <v>185682860.6361104</v>
      </c>
    </row>
    <row r="16" spans="1:8">
      <c r="A16" s="381">
        <v>10</v>
      </c>
      <c r="B16" s="394" t="s">
        <v>495</v>
      </c>
      <c r="C16" s="673">
        <v>0</v>
      </c>
      <c r="D16" s="673">
        <v>5464043.1119266488</v>
      </c>
      <c r="E16" s="673">
        <v>1232.0164819051765</v>
      </c>
      <c r="F16" s="673">
        <v>0</v>
      </c>
      <c r="G16" s="673">
        <v>0</v>
      </c>
      <c r="H16" s="681">
        <f t="shared" si="0"/>
        <v>5462811.0954447435</v>
      </c>
    </row>
    <row r="17" spans="1:8">
      <c r="A17" s="381">
        <v>11</v>
      </c>
      <c r="B17" s="394" t="s">
        <v>496</v>
      </c>
      <c r="C17" s="673">
        <v>0</v>
      </c>
      <c r="D17" s="673">
        <v>327769.47886000003</v>
      </c>
      <c r="E17" s="673">
        <v>85.082729881587483</v>
      </c>
      <c r="F17" s="673">
        <v>0</v>
      </c>
      <c r="G17" s="673">
        <v>0</v>
      </c>
      <c r="H17" s="681">
        <f t="shared" si="0"/>
        <v>327684.39613011846</v>
      </c>
    </row>
    <row r="18" spans="1:8">
      <c r="A18" s="381">
        <v>12</v>
      </c>
      <c r="B18" s="394" t="s">
        <v>497</v>
      </c>
      <c r="C18" s="673">
        <v>25811794.756724223</v>
      </c>
      <c r="D18" s="673">
        <v>28117835.463943109</v>
      </c>
      <c r="E18" s="673">
        <v>12265060.864765335</v>
      </c>
      <c r="F18" s="673">
        <v>0</v>
      </c>
      <c r="G18" s="673">
        <v>0</v>
      </c>
      <c r="H18" s="681">
        <f t="shared" si="0"/>
        <v>41664569.355902001</v>
      </c>
    </row>
    <row r="19" spans="1:8">
      <c r="A19" s="381">
        <v>13</v>
      </c>
      <c r="B19" s="394" t="s">
        <v>498</v>
      </c>
      <c r="C19" s="673">
        <v>2988727.8283034316</v>
      </c>
      <c r="D19" s="673">
        <v>15560904.501959218</v>
      </c>
      <c r="E19" s="673">
        <v>1154212.713696481</v>
      </c>
      <c r="F19" s="673">
        <v>0</v>
      </c>
      <c r="G19" s="673">
        <v>0</v>
      </c>
      <c r="H19" s="681">
        <f t="shared" si="0"/>
        <v>17395419.61656617</v>
      </c>
    </row>
    <row r="20" spans="1:8">
      <c r="A20" s="381">
        <v>14</v>
      </c>
      <c r="B20" s="394" t="s">
        <v>499</v>
      </c>
      <c r="C20" s="673">
        <v>19814010.849371005</v>
      </c>
      <c r="D20" s="673">
        <v>26111881.172476064</v>
      </c>
      <c r="E20" s="673">
        <v>1028596.6643798586</v>
      </c>
      <c r="F20" s="673">
        <v>0</v>
      </c>
      <c r="G20" s="673">
        <v>0</v>
      </c>
      <c r="H20" s="681">
        <f t="shared" si="0"/>
        <v>44897295.357467212</v>
      </c>
    </row>
    <row r="21" spans="1:8">
      <c r="A21" s="381">
        <v>15</v>
      </c>
      <c r="B21" s="394" t="s">
        <v>500</v>
      </c>
      <c r="C21" s="673">
        <v>447394.06417299999</v>
      </c>
      <c r="D21" s="673">
        <v>1674306.4500000002</v>
      </c>
      <c r="E21" s="673">
        <v>88962.258468005632</v>
      </c>
      <c r="F21" s="673">
        <v>0</v>
      </c>
      <c r="G21" s="673">
        <v>0</v>
      </c>
      <c r="H21" s="681">
        <f t="shared" si="0"/>
        <v>2032738.2557049945</v>
      </c>
    </row>
    <row r="22" spans="1:8">
      <c r="A22" s="381">
        <v>16</v>
      </c>
      <c r="B22" s="394" t="s">
        <v>501</v>
      </c>
      <c r="C22" s="673">
        <v>0</v>
      </c>
      <c r="D22" s="673">
        <v>82266206.095714688</v>
      </c>
      <c r="E22" s="673">
        <v>10783343.43572</v>
      </c>
      <c r="F22" s="673">
        <v>0</v>
      </c>
      <c r="G22" s="673">
        <v>0</v>
      </c>
      <c r="H22" s="681">
        <f t="shared" si="0"/>
        <v>71482862.659994692</v>
      </c>
    </row>
    <row r="23" spans="1:8">
      <c r="A23" s="381">
        <v>17</v>
      </c>
      <c r="B23" s="394" t="s">
        <v>502</v>
      </c>
      <c r="C23" s="673">
        <v>0</v>
      </c>
      <c r="D23" s="673">
        <v>87111839.251115158</v>
      </c>
      <c r="E23" s="673">
        <v>984951.55786569428</v>
      </c>
      <c r="F23" s="673">
        <v>0</v>
      </c>
      <c r="G23" s="673">
        <v>0</v>
      </c>
      <c r="H23" s="681">
        <f t="shared" si="0"/>
        <v>86126887.693249464</v>
      </c>
    </row>
    <row r="24" spans="1:8">
      <c r="A24" s="381">
        <v>18</v>
      </c>
      <c r="B24" s="394" t="s">
        <v>503</v>
      </c>
      <c r="C24" s="673">
        <v>0</v>
      </c>
      <c r="D24" s="673">
        <v>89773.610122813945</v>
      </c>
      <c r="E24" s="673">
        <v>14.813405767647419</v>
      </c>
      <c r="F24" s="673">
        <v>0</v>
      </c>
      <c r="G24" s="673">
        <v>0</v>
      </c>
      <c r="H24" s="681">
        <f t="shared" si="0"/>
        <v>89758.796717046294</v>
      </c>
    </row>
    <row r="25" spans="1:8">
      <c r="A25" s="381">
        <v>19</v>
      </c>
      <c r="B25" s="394" t="s">
        <v>504</v>
      </c>
      <c r="C25" s="673">
        <v>0</v>
      </c>
      <c r="D25" s="673">
        <v>17431946.416191306</v>
      </c>
      <c r="E25" s="673">
        <v>247332.22986601331</v>
      </c>
      <c r="F25" s="673">
        <v>0</v>
      </c>
      <c r="G25" s="673">
        <v>0</v>
      </c>
      <c r="H25" s="681">
        <f t="shared" si="0"/>
        <v>17184614.186325293</v>
      </c>
    </row>
    <row r="26" spans="1:8">
      <c r="A26" s="381">
        <v>20</v>
      </c>
      <c r="B26" s="394" t="s">
        <v>505</v>
      </c>
      <c r="C26" s="673">
        <v>0</v>
      </c>
      <c r="D26" s="673">
        <v>47830467.058650702</v>
      </c>
      <c r="E26" s="673">
        <v>2250190.4160638065</v>
      </c>
      <c r="F26" s="673">
        <v>0</v>
      </c>
      <c r="G26" s="673">
        <v>0</v>
      </c>
      <c r="H26" s="681">
        <f t="shared" si="0"/>
        <v>45580276.642586894</v>
      </c>
    </row>
    <row r="27" spans="1:8">
      <c r="A27" s="381">
        <v>21</v>
      </c>
      <c r="B27" s="394" t="s">
        <v>506</v>
      </c>
      <c r="C27" s="673">
        <v>2.9817999999999998</v>
      </c>
      <c r="D27" s="673">
        <v>5057457.3887869511</v>
      </c>
      <c r="E27" s="673">
        <v>5078.6188134400309</v>
      </c>
      <c r="F27" s="673">
        <v>0</v>
      </c>
      <c r="G27" s="673">
        <v>0</v>
      </c>
      <c r="H27" s="681">
        <f t="shared" si="0"/>
        <v>5052381.7517735111</v>
      </c>
    </row>
    <row r="28" spans="1:8">
      <c r="A28" s="381">
        <v>22</v>
      </c>
      <c r="B28" s="394" t="s">
        <v>507</v>
      </c>
      <c r="C28" s="673">
        <v>21615792.105849005</v>
      </c>
      <c r="D28" s="673">
        <v>38142235.657123625</v>
      </c>
      <c r="E28" s="673">
        <v>18263279.449474402</v>
      </c>
      <c r="F28" s="673">
        <v>0</v>
      </c>
      <c r="G28" s="673">
        <v>0</v>
      </c>
      <c r="H28" s="681">
        <f t="shared" si="0"/>
        <v>41494748.313498229</v>
      </c>
    </row>
    <row r="29" spans="1:8">
      <c r="A29" s="381">
        <v>23</v>
      </c>
      <c r="B29" s="394" t="s">
        <v>508</v>
      </c>
      <c r="C29" s="673">
        <v>6274241.8397979615</v>
      </c>
      <c r="D29" s="673">
        <v>77228097.966139212</v>
      </c>
      <c r="E29" s="673">
        <v>638964.8798592597</v>
      </c>
      <c r="F29" s="673">
        <v>0</v>
      </c>
      <c r="G29" s="673">
        <v>0</v>
      </c>
      <c r="H29" s="681">
        <f t="shared" si="0"/>
        <v>82863374.926077917</v>
      </c>
    </row>
    <row r="30" spans="1:8">
      <c r="A30" s="381">
        <v>24</v>
      </c>
      <c r="B30" s="394" t="s">
        <v>509</v>
      </c>
      <c r="C30" s="673">
        <v>3701643.9823449999</v>
      </c>
      <c r="D30" s="673">
        <v>41517395.713207893</v>
      </c>
      <c r="E30" s="673">
        <v>1134025.2349528538</v>
      </c>
      <c r="F30" s="673">
        <v>0</v>
      </c>
      <c r="G30" s="673">
        <v>0</v>
      </c>
      <c r="H30" s="681">
        <f t="shared" si="0"/>
        <v>44085014.460600041</v>
      </c>
    </row>
    <row r="31" spans="1:8">
      <c r="A31" s="381">
        <v>25</v>
      </c>
      <c r="B31" s="394" t="s">
        <v>510</v>
      </c>
      <c r="C31" s="673">
        <v>6521891.0460530072</v>
      </c>
      <c r="D31" s="673">
        <v>59802540.840198301</v>
      </c>
      <c r="E31" s="673">
        <v>2989102.5869622794</v>
      </c>
      <c r="F31" s="673">
        <v>0</v>
      </c>
      <c r="G31" s="673">
        <v>85477.389999999985</v>
      </c>
      <c r="H31" s="681">
        <f t="shared" si="0"/>
        <v>63335329.299289025</v>
      </c>
    </row>
    <row r="32" spans="1:8">
      <c r="A32" s="381">
        <v>26</v>
      </c>
      <c r="B32" s="394" t="s">
        <v>511</v>
      </c>
      <c r="C32" s="673">
        <v>114478.31929999993</v>
      </c>
      <c r="D32" s="673">
        <v>236260.86367400005</v>
      </c>
      <c r="E32" s="673">
        <v>119880.80377347993</v>
      </c>
      <c r="F32" s="673">
        <v>0</v>
      </c>
      <c r="G32" s="673">
        <v>0</v>
      </c>
      <c r="H32" s="681">
        <f t="shared" si="0"/>
        <v>230858.37920052005</v>
      </c>
    </row>
    <row r="33" spans="1:8">
      <c r="A33" s="381">
        <v>27</v>
      </c>
      <c r="B33" s="381" t="s">
        <v>88</v>
      </c>
      <c r="C33" s="673">
        <v>256392.59449999995</v>
      </c>
      <c r="D33" s="673">
        <v>146340132.96296093</v>
      </c>
      <c r="E33" s="673">
        <v>147547.86122232888</v>
      </c>
      <c r="F33" s="673">
        <v>0</v>
      </c>
      <c r="G33" s="673">
        <v>26520.58</v>
      </c>
      <c r="H33" s="681">
        <f t="shared" si="0"/>
        <v>146448977.69623861</v>
      </c>
    </row>
    <row r="34" spans="1:8">
      <c r="A34" s="381">
        <v>28</v>
      </c>
      <c r="B34" s="384" t="s">
        <v>66</v>
      </c>
      <c r="C34" s="675">
        <f>SUM(C7:C33)</f>
        <v>125826768.17952885</v>
      </c>
      <c r="D34" s="675">
        <f>SUM(D7:D33)</f>
        <v>1753774818.5143869</v>
      </c>
      <c r="E34" s="675">
        <f>SUM(E7:E33)</f>
        <v>57561465.374829605</v>
      </c>
      <c r="F34" s="675">
        <f>SUM(F7:F33)</f>
        <v>0</v>
      </c>
      <c r="G34" s="675">
        <f>SUM(G7:G33)</f>
        <v>1204467</v>
      </c>
      <c r="H34" s="681">
        <f t="shared" si="0"/>
        <v>1822040121.3190863</v>
      </c>
    </row>
    <row r="36" spans="1:8">
      <c r="B36" s="301"/>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5"/>
  <sheetViews>
    <sheetView showGridLines="0" zoomScale="80" zoomScaleNormal="80" workbookViewId="0"/>
  </sheetViews>
  <sheetFormatPr defaultColWidth="9.140625" defaultRowHeight="12.75"/>
  <cols>
    <col min="1" max="1" width="11.85546875" style="297" bestFit="1" customWidth="1"/>
    <col min="2" max="2" width="108" style="297" bestFit="1" customWidth="1"/>
    <col min="3" max="3" width="35.5703125" style="670" customWidth="1"/>
    <col min="4" max="4" width="38.42578125" style="670" customWidth="1"/>
    <col min="5" max="16384" width="9.140625" style="297"/>
  </cols>
  <sheetData>
    <row r="1" spans="1:4" ht="13.5">
      <c r="A1" s="296" t="s">
        <v>97</v>
      </c>
      <c r="B1" s="217" t="str">
        <f>Info!C2</f>
        <v>სს "ბანკი ქართუ"</v>
      </c>
    </row>
    <row r="2" spans="1:4">
      <c r="A2" s="296" t="s">
        <v>98</v>
      </c>
      <c r="B2" s="668">
        <f>'1. key ratios'!B2</f>
        <v>45747</v>
      </c>
    </row>
    <row r="3" spans="1:4">
      <c r="A3" s="298" t="s">
        <v>512</v>
      </c>
    </row>
    <row r="5" spans="1:4">
      <c r="A5" s="826" t="s">
        <v>847</v>
      </c>
      <c r="B5" s="826"/>
      <c r="C5" s="682" t="s">
        <v>531</v>
      </c>
      <c r="D5" s="682" t="s">
        <v>846</v>
      </c>
    </row>
    <row r="6" spans="1:4">
      <c r="A6" s="401">
        <v>1</v>
      </c>
      <c r="B6" s="395" t="s">
        <v>845</v>
      </c>
      <c r="C6" s="684">
        <v>57472863.338918895</v>
      </c>
      <c r="D6" s="684">
        <v>484184.43239890097</v>
      </c>
    </row>
    <row r="7" spans="1:4">
      <c r="A7" s="398">
        <v>2</v>
      </c>
      <c r="B7" s="395" t="s">
        <v>844</v>
      </c>
      <c r="C7" s="683">
        <f>SUM(C8:C9)</f>
        <v>7512407.1278025899</v>
      </c>
      <c r="D7" s="683">
        <f>SUM(D8:D9)</f>
        <v>2912.9268193945609</v>
      </c>
    </row>
    <row r="8" spans="1:4">
      <c r="A8" s="400">
        <v>2.1</v>
      </c>
      <c r="B8" s="399" t="s">
        <v>843</v>
      </c>
      <c r="C8" s="683">
        <v>3262657.348651222</v>
      </c>
      <c r="D8" s="683">
        <v>2912.9268193945609</v>
      </c>
    </row>
    <row r="9" spans="1:4">
      <c r="A9" s="400">
        <v>2.2000000000000002</v>
      </c>
      <c r="B9" s="399" t="s">
        <v>842</v>
      </c>
      <c r="C9" s="683">
        <v>4249749.779151368</v>
      </c>
      <c r="D9" s="683">
        <v>0</v>
      </c>
    </row>
    <row r="10" spans="1:4">
      <c r="A10" s="401">
        <v>3</v>
      </c>
      <c r="B10" s="395" t="s">
        <v>841</v>
      </c>
      <c r="C10" s="683">
        <f>SUM(C11:C13)</f>
        <v>7827425.3513881005</v>
      </c>
      <c r="D10" s="683">
        <f>SUM(D11:D13)</f>
        <v>47460.104611613249</v>
      </c>
    </row>
    <row r="11" spans="1:4">
      <c r="A11" s="400">
        <v>3.1</v>
      </c>
      <c r="B11" s="399" t="s">
        <v>513</v>
      </c>
      <c r="C11" s="683">
        <v>1177946.42</v>
      </c>
      <c r="D11" s="683">
        <v>0</v>
      </c>
    </row>
    <row r="12" spans="1:4">
      <c r="A12" s="400">
        <v>3.2</v>
      </c>
      <c r="B12" s="399" t="s">
        <v>840</v>
      </c>
      <c r="C12" s="683">
        <v>3474639.2490042485</v>
      </c>
      <c r="D12" s="683">
        <v>0.63579720600271483</v>
      </c>
    </row>
    <row r="13" spans="1:4">
      <c r="A13" s="400">
        <v>3.3</v>
      </c>
      <c r="B13" s="399" t="s">
        <v>839</v>
      </c>
      <c r="C13" s="683">
        <v>3174839.6823838521</v>
      </c>
      <c r="D13" s="683">
        <v>47459.46881440725</v>
      </c>
    </row>
    <row r="14" spans="1:4">
      <c r="A14" s="398">
        <v>4</v>
      </c>
      <c r="B14" s="397" t="s">
        <v>838</v>
      </c>
      <c r="C14" s="683">
        <v>-364587.71024940442</v>
      </c>
      <c r="D14" s="683">
        <v>-4.2803094402188435E-11</v>
      </c>
    </row>
    <row r="15" spans="1:4">
      <c r="A15" s="396">
        <v>5</v>
      </c>
      <c r="B15" s="395" t="s">
        <v>837</v>
      </c>
      <c r="C15" s="684">
        <f>C6+C7-C10+C14</f>
        <v>56793257.405083977</v>
      </c>
      <c r="D15" s="684">
        <f>D6+D7-D10+D14</f>
        <v>439637.25460668223</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G23"/>
  <sheetViews>
    <sheetView showGridLines="0" zoomScale="80" zoomScaleNormal="80" workbookViewId="0"/>
  </sheetViews>
  <sheetFormatPr defaultColWidth="9.140625" defaultRowHeight="12.75"/>
  <cols>
    <col min="1" max="1" width="11.85546875" style="391" bestFit="1" customWidth="1"/>
    <col min="2" max="2" width="128.85546875" style="391" bestFit="1" customWidth="1"/>
    <col min="3" max="3" width="37" style="677" customWidth="1"/>
    <col min="4" max="4" width="50.5703125" style="677" customWidth="1"/>
    <col min="5" max="16384" width="9.140625" style="391"/>
  </cols>
  <sheetData>
    <row r="1" spans="1:7" ht="13.5">
      <c r="A1" s="296" t="s">
        <v>97</v>
      </c>
      <c r="B1" s="217" t="str">
        <f>Info!C2</f>
        <v>სს "ბანკი ქართუ"</v>
      </c>
    </row>
    <row r="2" spans="1:7">
      <c r="A2" s="296" t="s">
        <v>98</v>
      </c>
      <c r="B2" s="668">
        <f>'1. key ratios'!B2</f>
        <v>45747</v>
      </c>
    </row>
    <row r="3" spans="1:7">
      <c r="A3" s="298" t="s">
        <v>514</v>
      </c>
    </row>
    <row r="4" spans="1:7">
      <c r="A4" s="298"/>
    </row>
    <row r="5" spans="1:7" ht="15" customHeight="1">
      <c r="A5" s="827" t="s">
        <v>515</v>
      </c>
      <c r="B5" s="828"/>
      <c r="C5" s="831" t="s">
        <v>516</v>
      </c>
      <c r="D5" s="831" t="s">
        <v>517</v>
      </c>
    </row>
    <row r="6" spans="1:7">
      <c r="A6" s="829"/>
      <c r="B6" s="830"/>
      <c r="C6" s="831"/>
      <c r="D6" s="831"/>
    </row>
    <row r="7" spans="1:7">
      <c r="A7" s="384">
        <v>1</v>
      </c>
      <c r="B7" s="384" t="s">
        <v>518</v>
      </c>
      <c r="C7" s="675">
        <v>142688833.51327622</v>
      </c>
      <c r="D7" s="685"/>
      <c r="F7" s="676"/>
      <c r="G7" s="676"/>
    </row>
    <row r="8" spans="1:7">
      <c r="A8" s="381">
        <v>2</v>
      </c>
      <c r="B8" s="381" t="s">
        <v>519</v>
      </c>
      <c r="C8" s="673">
        <v>2432994.4899213617</v>
      </c>
      <c r="D8" s="685"/>
      <c r="F8" s="676"/>
      <c r="G8" s="676"/>
    </row>
    <row r="9" spans="1:7">
      <c r="A9" s="381">
        <v>3</v>
      </c>
      <c r="B9" s="404" t="s">
        <v>520</v>
      </c>
      <c r="C9" s="673">
        <v>52.031487231283371</v>
      </c>
      <c r="D9" s="685"/>
      <c r="F9" s="676"/>
      <c r="G9" s="676"/>
    </row>
    <row r="10" spans="1:7">
      <c r="A10" s="381">
        <v>4</v>
      </c>
      <c r="B10" s="381" t="s">
        <v>521</v>
      </c>
      <c r="C10" s="673">
        <f>SUM(C11:C17)</f>
        <v>19551504.539655939</v>
      </c>
      <c r="D10" s="685"/>
      <c r="F10" s="676"/>
      <c r="G10" s="676"/>
    </row>
    <row r="11" spans="1:7">
      <c r="A11" s="381">
        <v>5</v>
      </c>
      <c r="B11" s="403" t="s">
        <v>848</v>
      </c>
      <c r="C11" s="673">
        <v>0</v>
      </c>
      <c r="D11" s="685"/>
      <c r="F11" s="676"/>
      <c r="G11" s="676"/>
    </row>
    <row r="12" spans="1:7">
      <c r="A12" s="381">
        <v>6</v>
      </c>
      <c r="B12" s="403" t="s">
        <v>522</v>
      </c>
      <c r="C12" s="673">
        <v>17092897.131807312</v>
      </c>
      <c r="D12" s="685"/>
      <c r="F12" s="676"/>
      <c r="G12" s="676"/>
    </row>
    <row r="13" spans="1:7">
      <c r="A13" s="381">
        <v>7</v>
      </c>
      <c r="B13" s="403" t="s">
        <v>525</v>
      </c>
      <c r="C13" s="673">
        <v>1177946.42</v>
      </c>
      <c r="D13" s="685"/>
      <c r="F13" s="676"/>
      <c r="G13" s="676"/>
    </row>
    <row r="14" spans="1:7">
      <c r="A14" s="381">
        <v>8</v>
      </c>
      <c r="B14" s="403" t="s">
        <v>523</v>
      </c>
      <c r="C14" s="673">
        <v>37961.03</v>
      </c>
      <c r="D14" s="673">
        <v>39821.86</v>
      </c>
      <c r="F14" s="676"/>
      <c r="G14" s="676"/>
    </row>
    <row r="15" spans="1:7">
      <c r="A15" s="381">
        <v>9</v>
      </c>
      <c r="B15" s="403" t="s">
        <v>524</v>
      </c>
      <c r="C15" s="673">
        <v>0</v>
      </c>
      <c r="D15" s="675">
        <v>0</v>
      </c>
      <c r="F15" s="676"/>
      <c r="G15" s="676"/>
    </row>
    <row r="16" spans="1:7">
      <c r="A16" s="381">
        <v>10</v>
      </c>
      <c r="B16" s="403" t="s">
        <v>526</v>
      </c>
      <c r="C16" s="673">
        <v>0</v>
      </c>
      <c r="D16" s="673">
        <v>0</v>
      </c>
      <c r="F16" s="676"/>
      <c r="G16" s="676"/>
    </row>
    <row r="17" spans="1:7" ht="25.5">
      <c r="A17" s="381">
        <v>11</v>
      </c>
      <c r="B17" s="403" t="s">
        <v>527</v>
      </c>
      <c r="C17" s="673">
        <v>1242699.9578486232</v>
      </c>
      <c r="D17" s="685"/>
      <c r="F17" s="676"/>
      <c r="G17" s="676"/>
    </row>
    <row r="18" spans="1:7">
      <c r="A18" s="384">
        <v>12</v>
      </c>
      <c r="B18" s="402" t="s">
        <v>528</v>
      </c>
      <c r="C18" s="675">
        <f>C7+C8+C9-C10</f>
        <v>125570375.49502887</v>
      </c>
      <c r="D18" s="685"/>
      <c r="F18" s="676"/>
      <c r="G18" s="676"/>
    </row>
    <row r="21" spans="1:7">
      <c r="B21" s="296"/>
    </row>
    <row r="22" spans="1:7">
      <c r="B22" s="296"/>
    </row>
    <row r="23" spans="1:7">
      <c r="B23" s="298"/>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51"/>
  <sheetViews>
    <sheetView showGridLines="0" zoomScale="80" zoomScaleNormal="80" workbookViewId="0"/>
  </sheetViews>
  <sheetFormatPr defaultColWidth="9.140625" defaultRowHeight="12.75"/>
  <cols>
    <col min="1" max="1" width="11.85546875" style="391" bestFit="1" customWidth="1"/>
    <col min="2" max="2" width="63.85546875" style="391" customWidth="1"/>
    <col min="3" max="3" width="17.42578125" style="391" bestFit="1" customWidth="1"/>
    <col min="4" max="18" width="22.140625" style="391" customWidth="1"/>
    <col min="19" max="19" width="23.140625" style="391" bestFit="1" customWidth="1"/>
    <col min="20" max="26" width="22.140625" style="391" customWidth="1"/>
    <col min="27" max="27" width="23.140625" style="391" bestFit="1" customWidth="1"/>
    <col min="28" max="28" width="20" style="391" customWidth="1"/>
    <col min="29" max="16384" width="9.140625" style="391"/>
  </cols>
  <sheetData>
    <row r="1" spans="1:28" ht="13.5">
      <c r="A1" s="296" t="s">
        <v>97</v>
      </c>
      <c r="B1" s="217" t="str">
        <f>Info!C2</f>
        <v>სს "ბანკი ქართუ"</v>
      </c>
    </row>
    <row r="2" spans="1:28">
      <c r="A2" s="296" t="s">
        <v>98</v>
      </c>
      <c r="B2" s="668">
        <f>'1. key ratios'!B2</f>
        <v>45747</v>
      </c>
      <c r="C2" s="392"/>
    </row>
    <row r="3" spans="1:28">
      <c r="A3" s="298" t="s">
        <v>529</v>
      </c>
    </row>
    <row r="5" spans="1:28" ht="15" customHeight="1">
      <c r="A5" s="833" t="s">
        <v>861</v>
      </c>
      <c r="B5" s="834"/>
      <c r="C5" s="839" t="s">
        <v>860</v>
      </c>
      <c r="D5" s="840"/>
      <c r="E5" s="840"/>
      <c r="F5" s="840"/>
      <c r="G5" s="840"/>
      <c r="H5" s="840"/>
      <c r="I5" s="840"/>
      <c r="J5" s="840"/>
      <c r="K5" s="840"/>
      <c r="L5" s="840"/>
      <c r="M5" s="840"/>
      <c r="N5" s="840"/>
      <c r="O5" s="840"/>
      <c r="P5" s="840"/>
      <c r="Q5" s="840"/>
      <c r="R5" s="840"/>
      <c r="S5" s="840"/>
      <c r="T5" s="414"/>
      <c r="U5" s="414"/>
      <c r="V5" s="414"/>
      <c r="W5" s="414"/>
      <c r="X5" s="414"/>
      <c r="Y5" s="414"/>
      <c r="Z5" s="414"/>
      <c r="AA5" s="413"/>
      <c r="AB5" s="406"/>
    </row>
    <row r="6" spans="1:28">
      <c r="A6" s="835"/>
      <c r="B6" s="836"/>
      <c r="C6" s="841" t="s">
        <v>66</v>
      </c>
      <c r="D6" s="843" t="s">
        <v>859</v>
      </c>
      <c r="E6" s="843"/>
      <c r="F6" s="843"/>
      <c r="G6" s="843"/>
      <c r="H6" s="844" t="s">
        <v>858</v>
      </c>
      <c r="I6" s="845"/>
      <c r="J6" s="845"/>
      <c r="K6" s="846"/>
      <c r="L6" s="411"/>
      <c r="M6" s="847" t="s">
        <v>857</v>
      </c>
      <c r="N6" s="847"/>
      <c r="O6" s="847"/>
      <c r="P6" s="847"/>
      <c r="Q6" s="847"/>
      <c r="R6" s="847"/>
      <c r="S6" s="820"/>
      <c r="T6" s="412"/>
      <c r="U6" s="832" t="s">
        <v>856</v>
      </c>
      <c r="V6" s="832"/>
      <c r="W6" s="832"/>
      <c r="X6" s="832"/>
      <c r="Y6" s="832"/>
      <c r="Z6" s="832"/>
      <c r="AA6" s="821"/>
      <c r="AB6" s="411"/>
    </row>
    <row r="7" spans="1:28" ht="25.5">
      <c r="A7" s="837"/>
      <c r="B7" s="838"/>
      <c r="C7" s="842"/>
      <c r="D7" s="410"/>
      <c r="E7" s="388" t="s">
        <v>530</v>
      </c>
      <c r="F7" s="388" t="s">
        <v>854</v>
      </c>
      <c r="G7" s="388" t="s">
        <v>855</v>
      </c>
      <c r="H7" s="409"/>
      <c r="I7" s="388" t="s">
        <v>530</v>
      </c>
      <c r="J7" s="388" t="s">
        <v>854</v>
      </c>
      <c r="K7" s="388" t="s">
        <v>855</v>
      </c>
      <c r="L7" s="408"/>
      <c r="M7" s="388" t="s">
        <v>530</v>
      </c>
      <c r="N7" s="388" t="s">
        <v>854</v>
      </c>
      <c r="O7" s="388" t="s">
        <v>853</v>
      </c>
      <c r="P7" s="388" t="s">
        <v>852</v>
      </c>
      <c r="Q7" s="388" t="s">
        <v>851</v>
      </c>
      <c r="R7" s="388" t="s">
        <v>850</v>
      </c>
      <c r="S7" s="388" t="s">
        <v>849</v>
      </c>
      <c r="T7" s="407"/>
      <c r="U7" s="388" t="s">
        <v>530</v>
      </c>
      <c r="V7" s="388" t="s">
        <v>854</v>
      </c>
      <c r="W7" s="388" t="s">
        <v>853</v>
      </c>
      <c r="X7" s="388" t="s">
        <v>852</v>
      </c>
      <c r="Y7" s="388" t="s">
        <v>851</v>
      </c>
      <c r="Z7" s="388" t="s">
        <v>850</v>
      </c>
      <c r="AA7" s="388" t="s">
        <v>849</v>
      </c>
      <c r="AB7" s="406"/>
    </row>
    <row r="8" spans="1:28">
      <c r="A8" s="405">
        <v>1</v>
      </c>
      <c r="B8" s="384" t="s">
        <v>531</v>
      </c>
      <c r="C8" s="675">
        <v>1096227082.3967495</v>
      </c>
      <c r="D8" s="673">
        <v>820325999.38240421</v>
      </c>
      <c r="E8" s="673">
        <v>12946174.872863133</v>
      </c>
      <c r="F8" s="673">
        <v>0</v>
      </c>
      <c r="G8" s="673">
        <v>0</v>
      </c>
      <c r="H8" s="673">
        <v>150330707.429317</v>
      </c>
      <c r="I8" s="673">
        <v>7159339.7124537267</v>
      </c>
      <c r="J8" s="673">
        <v>68784.760389013347</v>
      </c>
      <c r="K8" s="673">
        <v>0</v>
      </c>
      <c r="L8" s="673">
        <v>124362595.3261978</v>
      </c>
      <c r="M8" s="673">
        <v>732035.50529600005</v>
      </c>
      <c r="N8" s="673">
        <v>2406721.4658933571</v>
      </c>
      <c r="O8" s="673">
        <v>4700443.9494498847</v>
      </c>
      <c r="P8" s="673">
        <v>16016862.09484347</v>
      </c>
      <c r="Q8" s="673">
        <v>9150581.1079937536</v>
      </c>
      <c r="R8" s="673">
        <v>33554082.99183828</v>
      </c>
      <c r="S8" s="673">
        <v>10004608.212193003</v>
      </c>
      <c r="T8" s="673">
        <v>1207780.258831</v>
      </c>
      <c r="U8" s="673">
        <v>547132.12867800007</v>
      </c>
      <c r="V8" s="673">
        <v>0</v>
      </c>
      <c r="W8" s="673">
        <v>0</v>
      </c>
      <c r="X8" s="673">
        <v>0</v>
      </c>
      <c r="Y8" s="673">
        <v>0</v>
      </c>
      <c r="Z8" s="673">
        <v>0</v>
      </c>
      <c r="AA8" s="673">
        <v>0</v>
      </c>
    </row>
    <row r="9" spans="1:28">
      <c r="A9" s="381">
        <v>1.1000000000000001</v>
      </c>
      <c r="B9" s="398" t="s">
        <v>532</v>
      </c>
      <c r="C9" s="686">
        <v>0</v>
      </c>
      <c r="D9" s="673">
        <v>0</v>
      </c>
      <c r="E9" s="673">
        <v>0</v>
      </c>
      <c r="F9" s="673">
        <v>0</v>
      </c>
      <c r="G9" s="673">
        <v>0</v>
      </c>
      <c r="H9" s="673">
        <v>0</v>
      </c>
      <c r="I9" s="673">
        <v>0</v>
      </c>
      <c r="J9" s="673">
        <v>0</v>
      </c>
      <c r="K9" s="673">
        <v>0</v>
      </c>
      <c r="L9" s="673">
        <v>0</v>
      </c>
      <c r="M9" s="673">
        <v>0</v>
      </c>
      <c r="N9" s="673">
        <v>0</v>
      </c>
      <c r="O9" s="673">
        <v>0</v>
      </c>
      <c r="P9" s="673">
        <v>0</v>
      </c>
      <c r="Q9" s="673">
        <v>0</v>
      </c>
      <c r="R9" s="673">
        <v>0</v>
      </c>
      <c r="S9" s="673">
        <v>0</v>
      </c>
      <c r="T9" s="673">
        <v>0</v>
      </c>
      <c r="U9" s="673">
        <v>0</v>
      </c>
      <c r="V9" s="673">
        <v>0</v>
      </c>
      <c r="W9" s="673">
        <v>0</v>
      </c>
      <c r="X9" s="673">
        <v>0</v>
      </c>
      <c r="Y9" s="673">
        <v>0</v>
      </c>
      <c r="Z9" s="673">
        <v>0</v>
      </c>
      <c r="AA9" s="673">
        <v>0</v>
      </c>
    </row>
    <row r="10" spans="1:28">
      <c r="A10" s="381">
        <v>1.2</v>
      </c>
      <c r="B10" s="398" t="s">
        <v>533</v>
      </c>
      <c r="C10" s="686">
        <v>0</v>
      </c>
      <c r="D10" s="673">
        <v>0</v>
      </c>
      <c r="E10" s="673">
        <v>0</v>
      </c>
      <c r="F10" s="673">
        <v>0</v>
      </c>
      <c r="G10" s="673">
        <v>0</v>
      </c>
      <c r="H10" s="673">
        <v>0</v>
      </c>
      <c r="I10" s="673">
        <v>0</v>
      </c>
      <c r="J10" s="673">
        <v>0</v>
      </c>
      <c r="K10" s="673">
        <v>0</v>
      </c>
      <c r="L10" s="673">
        <v>0</v>
      </c>
      <c r="M10" s="673">
        <v>0</v>
      </c>
      <c r="N10" s="673">
        <v>0</v>
      </c>
      <c r="O10" s="673">
        <v>0</v>
      </c>
      <c r="P10" s="673">
        <v>0</v>
      </c>
      <c r="Q10" s="673">
        <v>0</v>
      </c>
      <c r="R10" s="673">
        <v>0</v>
      </c>
      <c r="S10" s="673">
        <v>0</v>
      </c>
      <c r="T10" s="673">
        <v>0</v>
      </c>
      <c r="U10" s="673">
        <v>0</v>
      </c>
      <c r="V10" s="673">
        <v>0</v>
      </c>
      <c r="W10" s="673">
        <v>0</v>
      </c>
      <c r="X10" s="673">
        <v>0</v>
      </c>
      <c r="Y10" s="673">
        <v>0</v>
      </c>
      <c r="Z10" s="673">
        <v>0</v>
      </c>
      <c r="AA10" s="673">
        <v>0</v>
      </c>
    </row>
    <row r="11" spans="1:28">
      <c r="A11" s="381">
        <v>1.3</v>
      </c>
      <c r="B11" s="398" t="s">
        <v>534</v>
      </c>
      <c r="C11" s="686">
        <v>0</v>
      </c>
      <c r="D11" s="673">
        <v>0</v>
      </c>
      <c r="E11" s="673">
        <v>0</v>
      </c>
      <c r="F11" s="673">
        <v>0</v>
      </c>
      <c r="G11" s="673">
        <v>0</v>
      </c>
      <c r="H11" s="673">
        <v>0</v>
      </c>
      <c r="I11" s="673">
        <v>0</v>
      </c>
      <c r="J11" s="673">
        <v>0</v>
      </c>
      <c r="K11" s="673">
        <v>0</v>
      </c>
      <c r="L11" s="673">
        <v>0</v>
      </c>
      <c r="M11" s="673">
        <v>0</v>
      </c>
      <c r="N11" s="673">
        <v>0</v>
      </c>
      <c r="O11" s="673">
        <v>0</v>
      </c>
      <c r="P11" s="673">
        <v>0</v>
      </c>
      <c r="Q11" s="673">
        <v>0</v>
      </c>
      <c r="R11" s="673">
        <v>0</v>
      </c>
      <c r="S11" s="673">
        <v>0</v>
      </c>
      <c r="T11" s="673">
        <v>0</v>
      </c>
      <c r="U11" s="673">
        <v>0</v>
      </c>
      <c r="V11" s="673">
        <v>0</v>
      </c>
      <c r="W11" s="673">
        <v>0</v>
      </c>
      <c r="X11" s="673">
        <v>0</v>
      </c>
      <c r="Y11" s="673">
        <v>0</v>
      </c>
      <c r="Z11" s="673">
        <v>0</v>
      </c>
      <c r="AA11" s="673">
        <v>0</v>
      </c>
    </row>
    <row r="12" spans="1:28">
      <c r="A12" s="381">
        <v>1.4</v>
      </c>
      <c r="B12" s="398" t="s">
        <v>535</v>
      </c>
      <c r="C12" s="686">
        <v>20075616.440000001</v>
      </c>
      <c r="D12" s="673">
        <v>20075616.440000001</v>
      </c>
      <c r="E12" s="673">
        <v>0</v>
      </c>
      <c r="F12" s="673">
        <v>0</v>
      </c>
      <c r="G12" s="673">
        <v>0</v>
      </c>
      <c r="H12" s="673">
        <v>0</v>
      </c>
      <c r="I12" s="673">
        <v>0</v>
      </c>
      <c r="J12" s="673">
        <v>0</v>
      </c>
      <c r="K12" s="673">
        <v>0</v>
      </c>
      <c r="L12" s="673">
        <v>0</v>
      </c>
      <c r="M12" s="673">
        <v>0</v>
      </c>
      <c r="N12" s="673">
        <v>0</v>
      </c>
      <c r="O12" s="673">
        <v>0</v>
      </c>
      <c r="P12" s="673">
        <v>0</v>
      </c>
      <c r="Q12" s="673">
        <v>0</v>
      </c>
      <c r="R12" s="673">
        <v>0</v>
      </c>
      <c r="S12" s="673">
        <v>0</v>
      </c>
      <c r="T12" s="673">
        <v>0</v>
      </c>
      <c r="U12" s="673">
        <v>0</v>
      </c>
      <c r="V12" s="673">
        <v>0</v>
      </c>
      <c r="W12" s="673">
        <v>0</v>
      </c>
      <c r="X12" s="673">
        <v>0</v>
      </c>
      <c r="Y12" s="673">
        <v>0</v>
      </c>
      <c r="Z12" s="673">
        <v>0</v>
      </c>
      <c r="AA12" s="673">
        <v>0</v>
      </c>
    </row>
    <row r="13" spans="1:28">
      <c r="A13" s="381">
        <v>1.5</v>
      </c>
      <c r="B13" s="398" t="s">
        <v>536</v>
      </c>
      <c r="C13" s="686">
        <v>982845242.59036493</v>
      </c>
      <c r="D13" s="673">
        <v>733337843.2213372</v>
      </c>
      <c r="E13" s="673">
        <v>8473821.5236891322</v>
      </c>
      <c r="F13" s="673">
        <v>0</v>
      </c>
      <c r="G13" s="673">
        <v>0</v>
      </c>
      <c r="H13" s="673">
        <v>133958333.4133006</v>
      </c>
      <c r="I13" s="673">
        <v>7159339.7124537267</v>
      </c>
      <c r="J13" s="673">
        <v>68784.760389013347</v>
      </c>
      <c r="K13" s="673">
        <v>0</v>
      </c>
      <c r="L13" s="673">
        <v>114341285.69689679</v>
      </c>
      <c r="M13" s="673">
        <v>271098.958491</v>
      </c>
      <c r="N13" s="673">
        <v>2235071.1405784343</v>
      </c>
      <c r="O13" s="673">
        <v>4602659.1948498851</v>
      </c>
      <c r="P13" s="673">
        <v>16016569.17484347</v>
      </c>
      <c r="Q13" s="673">
        <v>8782457.2018407546</v>
      </c>
      <c r="R13" s="673">
        <v>32804869.301962964</v>
      </c>
      <c r="S13" s="673">
        <v>4901335.9540600078</v>
      </c>
      <c r="T13" s="673">
        <v>1207780.258831</v>
      </c>
      <c r="U13" s="673">
        <v>547132.12867800007</v>
      </c>
      <c r="V13" s="673">
        <v>0</v>
      </c>
      <c r="W13" s="673">
        <v>0</v>
      </c>
      <c r="X13" s="673">
        <v>0</v>
      </c>
      <c r="Y13" s="673">
        <v>0</v>
      </c>
      <c r="Z13" s="673">
        <v>0</v>
      </c>
      <c r="AA13" s="673">
        <v>0</v>
      </c>
    </row>
    <row r="14" spans="1:28">
      <c r="A14" s="381">
        <v>1.6</v>
      </c>
      <c r="B14" s="398" t="s">
        <v>537</v>
      </c>
      <c r="C14" s="686">
        <v>93306223.366384417</v>
      </c>
      <c r="D14" s="673">
        <v>66912539.7210669</v>
      </c>
      <c r="E14" s="673">
        <v>4472353.3491739994</v>
      </c>
      <c r="F14" s="673">
        <v>0</v>
      </c>
      <c r="G14" s="673">
        <v>0</v>
      </c>
      <c r="H14" s="673">
        <v>16372374.016016379</v>
      </c>
      <c r="I14" s="673">
        <v>0</v>
      </c>
      <c r="J14" s="673">
        <v>0</v>
      </c>
      <c r="K14" s="673">
        <v>0</v>
      </c>
      <c r="L14" s="673">
        <v>10021309.629301008</v>
      </c>
      <c r="M14" s="673">
        <v>460936.54680499999</v>
      </c>
      <c r="N14" s="673">
        <v>171650.32531492249</v>
      </c>
      <c r="O14" s="673">
        <v>97784.7546</v>
      </c>
      <c r="P14" s="673">
        <v>292.91999999999979</v>
      </c>
      <c r="Q14" s="673">
        <v>368123.90615299979</v>
      </c>
      <c r="R14" s="673">
        <v>749213.68987531634</v>
      </c>
      <c r="S14" s="673">
        <v>5103272.2581329951</v>
      </c>
      <c r="T14" s="673">
        <v>0</v>
      </c>
      <c r="U14" s="673">
        <v>0</v>
      </c>
      <c r="V14" s="673">
        <v>0</v>
      </c>
      <c r="W14" s="673">
        <v>0</v>
      </c>
      <c r="X14" s="673">
        <v>0</v>
      </c>
      <c r="Y14" s="673">
        <v>0</v>
      </c>
      <c r="Z14" s="673">
        <v>0</v>
      </c>
      <c r="AA14" s="673">
        <v>0</v>
      </c>
    </row>
    <row r="15" spans="1:28">
      <c r="A15" s="405">
        <v>2</v>
      </c>
      <c r="B15" s="384" t="s">
        <v>538</v>
      </c>
      <c r="C15" s="675">
        <v>68064682.288405567</v>
      </c>
      <c r="D15" s="673">
        <v>68064682.288405567</v>
      </c>
      <c r="E15" s="673">
        <v>0</v>
      </c>
      <c r="F15" s="673">
        <v>0</v>
      </c>
      <c r="G15" s="673">
        <v>0</v>
      </c>
      <c r="H15" s="673">
        <v>0</v>
      </c>
      <c r="I15" s="673">
        <v>0</v>
      </c>
      <c r="J15" s="673">
        <v>0</v>
      </c>
      <c r="K15" s="673">
        <v>0</v>
      </c>
      <c r="L15" s="673">
        <v>0</v>
      </c>
      <c r="M15" s="673">
        <v>0</v>
      </c>
      <c r="N15" s="673">
        <v>0</v>
      </c>
      <c r="O15" s="673">
        <v>0</v>
      </c>
      <c r="P15" s="673">
        <v>0</v>
      </c>
      <c r="Q15" s="673">
        <v>0</v>
      </c>
      <c r="R15" s="673">
        <v>0</v>
      </c>
      <c r="S15" s="673">
        <v>0</v>
      </c>
      <c r="T15" s="673">
        <v>0</v>
      </c>
      <c r="U15" s="673">
        <v>0</v>
      </c>
      <c r="V15" s="673">
        <v>0</v>
      </c>
      <c r="W15" s="673">
        <v>0</v>
      </c>
      <c r="X15" s="673">
        <v>0</v>
      </c>
      <c r="Y15" s="673">
        <v>0</v>
      </c>
      <c r="Z15" s="673">
        <v>0</v>
      </c>
      <c r="AA15" s="673">
        <v>0</v>
      </c>
    </row>
    <row r="16" spans="1:28">
      <c r="A16" s="381">
        <v>2.1</v>
      </c>
      <c r="B16" s="398" t="s">
        <v>532</v>
      </c>
      <c r="C16" s="686">
        <v>0</v>
      </c>
      <c r="D16" s="673">
        <v>0</v>
      </c>
      <c r="E16" s="673">
        <v>0</v>
      </c>
      <c r="F16" s="673">
        <v>0</v>
      </c>
      <c r="G16" s="673">
        <v>0</v>
      </c>
      <c r="H16" s="673">
        <v>0</v>
      </c>
      <c r="I16" s="673">
        <v>0</v>
      </c>
      <c r="J16" s="673">
        <v>0</v>
      </c>
      <c r="K16" s="673">
        <v>0</v>
      </c>
      <c r="L16" s="673">
        <v>0</v>
      </c>
      <c r="M16" s="673">
        <v>0</v>
      </c>
      <c r="N16" s="673">
        <v>0</v>
      </c>
      <c r="O16" s="673">
        <v>0</v>
      </c>
      <c r="P16" s="673">
        <v>0</v>
      </c>
      <c r="Q16" s="673">
        <v>0</v>
      </c>
      <c r="R16" s="673">
        <v>0</v>
      </c>
      <c r="S16" s="673">
        <v>0</v>
      </c>
      <c r="T16" s="673">
        <v>0</v>
      </c>
      <c r="U16" s="673">
        <v>0</v>
      </c>
      <c r="V16" s="673">
        <v>0</v>
      </c>
      <c r="W16" s="673">
        <v>0</v>
      </c>
      <c r="X16" s="673">
        <v>0</v>
      </c>
      <c r="Y16" s="673">
        <v>0</v>
      </c>
      <c r="Z16" s="673">
        <v>0</v>
      </c>
      <c r="AA16" s="673">
        <v>0</v>
      </c>
    </row>
    <row r="17" spans="1:27">
      <c r="A17" s="381">
        <v>2.2000000000000002</v>
      </c>
      <c r="B17" s="398" t="s">
        <v>533</v>
      </c>
      <c r="C17" s="686">
        <v>28674570.118405569</v>
      </c>
      <c r="D17" s="673">
        <v>28674570.118405569</v>
      </c>
      <c r="E17" s="673">
        <v>0</v>
      </c>
      <c r="F17" s="673">
        <v>0</v>
      </c>
      <c r="G17" s="673">
        <v>0</v>
      </c>
      <c r="H17" s="673">
        <v>0</v>
      </c>
      <c r="I17" s="673">
        <v>0</v>
      </c>
      <c r="J17" s="673">
        <v>0</v>
      </c>
      <c r="K17" s="673">
        <v>0</v>
      </c>
      <c r="L17" s="673">
        <v>0</v>
      </c>
      <c r="M17" s="673">
        <v>0</v>
      </c>
      <c r="N17" s="673">
        <v>0</v>
      </c>
      <c r="O17" s="673">
        <v>0</v>
      </c>
      <c r="P17" s="673">
        <v>0</v>
      </c>
      <c r="Q17" s="673">
        <v>0</v>
      </c>
      <c r="R17" s="673">
        <v>0</v>
      </c>
      <c r="S17" s="673">
        <v>0</v>
      </c>
      <c r="T17" s="673">
        <v>0</v>
      </c>
      <c r="U17" s="673">
        <v>0</v>
      </c>
      <c r="V17" s="673">
        <v>0</v>
      </c>
      <c r="W17" s="673">
        <v>0</v>
      </c>
      <c r="X17" s="673">
        <v>0</v>
      </c>
      <c r="Y17" s="673">
        <v>0</v>
      </c>
      <c r="Z17" s="673">
        <v>0</v>
      </c>
      <c r="AA17" s="673">
        <v>0</v>
      </c>
    </row>
    <row r="18" spans="1:27">
      <c r="A18" s="381">
        <v>2.2999999999999998</v>
      </c>
      <c r="B18" s="398" t="s">
        <v>534</v>
      </c>
      <c r="C18" s="686">
        <v>0</v>
      </c>
      <c r="D18" s="673">
        <v>0</v>
      </c>
      <c r="E18" s="673">
        <v>0</v>
      </c>
      <c r="F18" s="673">
        <v>0</v>
      </c>
      <c r="G18" s="673">
        <v>0</v>
      </c>
      <c r="H18" s="673">
        <v>0</v>
      </c>
      <c r="I18" s="673">
        <v>0</v>
      </c>
      <c r="J18" s="673">
        <v>0</v>
      </c>
      <c r="K18" s="673">
        <v>0</v>
      </c>
      <c r="L18" s="673">
        <v>0</v>
      </c>
      <c r="M18" s="673">
        <v>0</v>
      </c>
      <c r="N18" s="673">
        <v>0</v>
      </c>
      <c r="O18" s="673">
        <v>0</v>
      </c>
      <c r="P18" s="673">
        <v>0</v>
      </c>
      <c r="Q18" s="673">
        <v>0</v>
      </c>
      <c r="R18" s="673">
        <v>0</v>
      </c>
      <c r="S18" s="673">
        <v>0</v>
      </c>
      <c r="T18" s="673">
        <v>0</v>
      </c>
      <c r="U18" s="673">
        <v>0</v>
      </c>
      <c r="V18" s="673">
        <v>0</v>
      </c>
      <c r="W18" s="673">
        <v>0</v>
      </c>
      <c r="X18" s="673">
        <v>0</v>
      </c>
      <c r="Y18" s="673">
        <v>0</v>
      </c>
      <c r="Z18" s="673">
        <v>0</v>
      </c>
      <c r="AA18" s="673">
        <v>0</v>
      </c>
    </row>
    <row r="19" spans="1:27">
      <c r="A19" s="381">
        <v>2.4</v>
      </c>
      <c r="B19" s="398" t="s">
        <v>535</v>
      </c>
      <c r="C19" s="686">
        <v>21063927.239999998</v>
      </c>
      <c r="D19" s="673">
        <v>21063927.239999998</v>
      </c>
      <c r="E19" s="673">
        <v>0</v>
      </c>
      <c r="F19" s="673">
        <v>0</v>
      </c>
      <c r="G19" s="673">
        <v>0</v>
      </c>
      <c r="H19" s="673">
        <v>0</v>
      </c>
      <c r="I19" s="673">
        <v>0</v>
      </c>
      <c r="J19" s="673">
        <v>0</v>
      </c>
      <c r="K19" s="673">
        <v>0</v>
      </c>
      <c r="L19" s="673">
        <v>0</v>
      </c>
      <c r="M19" s="673">
        <v>0</v>
      </c>
      <c r="N19" s="673">
        <v>0</v>
      </c>
      <c r="O19" s="673">
        <v>0</v>
      </c>
      <c r="P19" s="673">
        <v>0</v>
      </c>
      <c r="Q19" s="673">
        <v>0</v>
      </c>
      <c r="R19" s="673">
        <v>0</v>
      </c>
      <c r="S19" s="673">
        <v>0</v>
      </c>
      <c r="T19" s="673">
        <v>0</v>
      </c>
      <c r="U19" s="673">
        <v>0</v>
      </c>
      <c r="V19" s="673">
        <v>0</v>
      </c>
      <c r="W19" s="673">
        <v>0</v>
      </c>
      <c r="X19" s="673">
        <v>0</v>
      </c>
      <c r="Y19" s="673">
        <v>0</v>
      </c>
      <c r="Z19" s="673">
        <v>0</v>
      </c>
      <c r="AA19" s="673">
        <v>0</v>
      </c>
    </row>
    <row r="20" spans="1:27">
      <c r="A20" s="381">
        <v>2.5</v>
      </c>
      <c r="B20" s="398" t="s">
        <v>536</v>
      </c>
      <c r="C20" s="686">
        <v>18326184.93</v>
      </c>
      <c r="D20" s="673">
        <v>18326184.93</v>
      </c>
      <c r="E20" s="673">
        <v>0</v>
      </c>
      <c r="F20" s="673">
        <v>0</v>
      </c>
      <c r="G20" s="673">
        <v>0</v>
      </c>
      <c r="H20" s="673">
        <v>0</v>
      </c>
      <c r="I20" s="673">
        <v>0</v>
      </c>
      <c r="J20" s="673">
        <v>0</v>
      </c>
      <c r="K20" s="673">
        <v>0</v>
      </c>
      <c r="L20" s="673">
        <v>0</v>
      </c>
      <c r="M20" s="673">
        <v>0</v>
      </c>
      <c r="N20" s="673">
        <v>0</v>
      </c>
      <c r="O20" s="673">
        <v>0</v>
      </c>
      <c r="P20" s="673">
        <v>0</v>
      </c>
      <c r="Q20" s="673">
        <v>0</v>
      </c>
      <c r="R20" s="673">
        <v>0</v>
      </c>
      <c r="S20" s="673">
        <v>0</v>
      </c>
      <c r="T20" s="673">
        <v>0</v>
      </c>
      <c r="U20" s="673">
        <v>0</v>
      </c>
      <c r="V20" s="673">
        <v>0</v>
      </c>
      <c r="W20" s="673">
        <v>0</v>
      </c>
      <c r="X20" s="673">
        <v>0</v>
      </c>
      <c r="Y20" s="673">
        <v>0</v>
      </c>
      <c r="Z20" s="673">
        <v>0</v>
      </c>
      <c r="AA20" s="673">
        <v>0</v>
      </c>
    </row>
    <row r="21" spans="1:27">
      <c r="A21" s="381">
        <v>2.6</v>
      </c>
      <c r="B21" s="398" t="s">
        <v>537</v>
      </c>
      <c r="C21" s="686">
        <v>0</v>
      </c>
      <c r="D21" s="673">
        <v>0</v>
      </c>
      <c r="E21" s="673">
        <v>0</v>
      </c>
      <c r="F21" s="673">
        <v>0</v>
      </c>
      <c r="G21" s="673">
        <v>0</v>
      </c>
      <c r="H21" s="673">
        <v>0</v>
      </c>
      <c r="I21" s="673">
        <v>0</v>
      </c>
      <c r="J21" s="673">
        <v>0</v>
      </c>
      <c r="K21" s="673">
        <v>0</v>
      </c>
      <c r="L21" s="673">
        <v>0</v>
      </c>
      <c r="M21" s="673">
        <v>0</v>
      </c>
      <c r="N21" s="673">
        <v>0</v>
      </c>
      <c r="O21" s="673">
        <v>0</v>
      </c>
      <c r="P21" s="673">
        <v>0</v>
      </c>
      <c r="Q21" s="673">
        <v>0</v>
      </c>
      <c r="R21" s="673">
        <v>0</v>
      </c>
      <c r="S21" s="673">
        <v>0</v>
      </c>
      <c r="T21" s="673">
        <v>0</v>
      </c>
      <c r="U21" s="673">
        <v>0</v>
      </c>
      <c r="V21" s="673">
        <v>0</v>
      </c>
      <c r="W21" s="673">
        <v>0</v>
      </c>
      <c r="X21" s="673">
        <v>0</v>
      </c>
      <c r="Y21" s="673">
        <v>0</v>
      </c>
      <c r="Z21" s="673">
        <v>0</v>
      </c>
      <c r="AA21" s="673">
        <v>0</v>
      </c>
    </row>
    <row r="22" spans="1:27">
      <c r="A22" s="405">
        <v>3</v>
      </c>
      <c r="B22" s="384" t="s">
        <v>539</v>
      </c>
      <c r="C22" s="675">
        <v>203585294.91449997</v>
      </c>
      <c r="D22" s="673">
        <v>200542673.56449997</v>
      </c>
      <c r="E22" s="687"/>
      <c r="F22" s="687"/>
      <c r="G22" s="687"/>
      <c r="H22" s="673">
        <v>180391.22</v>
      </c>
      <c r="I22" s="687"/>
      <c r="J22" s="687"/>
      <c r="K22" s="687"/>
      <c r="L22" s="673">
        <v>2862230.13</v>
      </c>
      <c r="M22" s="687"/>
      <c r="N22" s="687"/>
      <c r="O22" s="687"/>
      <c r="P22" s="687"/>
      <c r="Q22" s="687"/>
      <c r="R22" s="687"/>
      <c r="S22" s="687"/>
      <c r="T22" s="673">
        <v>0</v>
      </c>
      <c r="U22" s="687"/>
      <c r="V22" s="687"/>
      <c r="W22" s="687"/>
      <c r="X22" s="687"/>
      <c r="Y22" s="687"/>
      <c r="Z22" s="687"/>
      <c r="AA22" s="687"/>
    </row>
    <row r="23" spans="1:27">
      <c r="A23" s="381">
        <v>3.1</v>
      </c>
      <c r="B23" s="398" t="s">
        <v>532</v>
      </c>
      <c r="C23" s="686">
        <v>0</v>
      </c>
      <c r="D23" s="673">
        <v>0</v>
      </c>
      <c r="E23" s="687"/>
      <c r="F23" s="687"/>
      <c r="G23" s="687"/>
      <c r="H23" s="686">
        <v>0</v>
      </c>
      <c r="I23" s="687"/>
      <c r="J23" s="687"/>
      <c r="K23" s="687"/>
      <c r="L23" s="686">
        <v>0</v>
      </c>
      <c r="M23" s="687"/>
      <c r="N23" s="687"/>
      <c r="O23" s="687"/>
      <c r="P23" s="687"/>
      <c r="Q23" s="687"/>
      <c r="R23" s="687"/>
      <c r="S23" s="687"/>
      <c r="T23" s="686">
        <v>0</v>
      </c>
      <c r="U23" s="687"/>
      <c r="V23" s="687"/>
      <c r="W23" s="687"/>
      <c r="X23" s="687"/>
      <c r="Y23" s="687"/>
      <c r="Z23" s="687"/>
      <c r="AA23" s="687"/>
    </row>
    <row r="24" spans="1:27">
      <c r="A24" s="381">
        <v>3.2</v>
      </c>
      <c r="B24" s="398" t="s">
        <v>533</v>
      </c>
      <c r="C24" s="686">
        <v>0</v>
      </c>
      <c r="D24" s="673">
        <v>0</v>
      </c>
      <c r="E24" s="687"/>
      <c r="F24" s="687"/>
      <c r="G24" s="687"/>
      <c r="H24" s="686">
        <v>0</v>
      </c>
      <c r="I24" s="687"/>
      <c r="J24" s="687"/>
      <c r="K24" s="687"/>
      <c r="L24" s="686">
        <v>0</v>
      </c>
      <c r="M24" s="687"/>
      <c r="N24" s="687"/>
      <c r="O24" s="687"/>
      <c r="P24" s="687"/>
      <c r="Q24" s="687"/>
      <c r="R24" s="687"/>
      <c r="S24" s="687"/>
      <c r="T24" s="686">
        <v>0</v>
      </c>
      <c r="U24" s="687"/>
      <c r="V24" s="687"/>
      <c r="W24" s="687"/>
      <c r="X24" s="687"/>
      <c r="Y24" s="687"/>
      <c r="Z24" s="687"/>
      <c r="AA24" s="687"/>
    </row>
    <row r="25" spans="1:27">
      <c r="A25" s="381">
        <v>3.3</v>
      </c>
      <c r="B25" s="398" t="s">
        <v>534</v>
      </c>
      <c r="C25" s="686">
        <v>0</v>
      </c>
      <c r="D25" s="673">
        <v>0</v>
      </c>
      <c r="E25" s="687"/>
      <c r="F25" s="687"/>
      <c r="G25" s="687"/>
      <c r="H25" s="686">
        <v>0</v>
      </c>
      <c r="I25" s="687"/>
      <c r="J25" s="687"/>
      <c r="K25" s="687"/>
      <c r="L25" s="686">
        <v>0</v>
      </c>
      <c r="M25" s="687"/>
      <c r="N25" s="687"/>
      <c r="O25" s="687"/>
      <c r="P25" s="687"/>
      <c r="Q25" s="687"/>
      <c r="R25" s="687"/>
      <c r="S25" s="687"/>
      <c r="T25" s="686">
        <v>0</v>
      </c>
      <c r="U25" s="687"/>
      <c r="V25" s="687"/>
      <c r="W25" s="687"/>
      <c r="X25" s="687"/>
      <c r="Y25" s="687"/>
      <c r="Z25" s="687"/>
      <c r="AA25" s="687"/>
    </row>
    <row r="26" spans="1:27">
      <c r="A26" s="381">
        <v>3.4</v>
      </c>
      <c r="B26" s="398" t="s">
        <v>535</v>
      </c>
      <c r="C26" s="686">
        <v>554669</v>
      </c>
      <c r="D26" s="673">
        <v>554669</v>
      </c>
      <c r="E26" s="687"/>
      <c r="F26" s="687"/>
      <c r="G26" s="687"/>
      <c r="H26" s="686">
        <v>0</v>
      </c>
      <c r="I26" s="687"/>
      <c r="J26" s="687"/>
      <c r="K26" s="687"/>
      <c r="L26" s="686">
        <v>0</v>
      </c>
      <c r="M26" s="687"/>
      <c r="N26" s="687"/>
      <c r="O26" s="687"/>
      <c r="P26" s="687"/>
      <c r="Q26" s="687"/>
      <c r="R26" s="687"/>
      <c r="S26" s="687"/>
      <c r="T26" s="686">
        <v>0</v>
      </c>
      <c r="U26" s="687"/>
      <c r="V26" s="687"/>
      <c r="W26" s="687"/>
      <c r="X26" s="687"/>
      <c r="Y26" s="687"/>
      <c r="Z26" s="687"/>
      <c r="AA26" s="687"/>
    </row>
    <row r="27" spans="1:27">
      <c r="A27" s="381">
        <v>3.5</v>
      </c>
      <c r="B27" s="398" t="s">
        <v>536</v>
      </c>
      <c r="C27" s="686">
        <v>197713087.34209996</v>
      </c>
      <c r="D27" s="673">
        <v>194671131.03209996</v>
      </c>
      <c r="E27" s="687"/>
      <c r="F27" s="687"/>
      <c r="G27" s="687"/>
      <c r="H27" s="686">
        <v>180228.33</v>
      </c>
      <c r="I27" s="687"/>
      <c r="J27" s="687"/>
      <c r="K27" s="687"/>
      <c r="L27" s="686">
        <v>2861727.98</v>
      </c>
      <c r="M27" s="687"/>
      <c r="N27" s="687"/>
      <c r="O27" s="687"/>
      <c r="P27" s="687"/>
      <c r="Q27" s="687"/>
      <c r="R27" s="687"/>
      <c r="S27" s="687"/>
      <c r="T27" s="686">
        <v>0</v>
      </c>
      <c r="U27" s="687"/>
      <c r="V27" s="687"/>
      <c r="W27" s="687"/>
      <c r="X27" s="687"/>
      <c r="Y27" s="687"/>
      <c r="Z27" s="687"/>
      <c r="AA27" s="687"/>
    </row>
    <row r="28" spans="1:27">
      <c r="A28" s="381">
        <v>3.6</v>
      </c>
      <c r="B28" s="398" t="s">
        <v>537</v>
      </c>
      <c r="C28" s="686">
        <v>5317538.5723999999</v>
      </c>
      <c r="D28" s="673">
        <v>5316873.5323999999</v>
      </c>
      <c r="E28" s="687"/>
      <c r="F28" s="687"/>
      <c r="G28" s="687"/>
      <c r="H28" s="686">
        <v>162.89000000000124</v>
      </c>
      <c r="I28" s="687"/>
      <c r="J28" s="687"/>
      <c r="K28" s="687"/>
      <c r="L28" s="686">
        <v>502.15</v>
      </c>
      <c r="M28" s="687"/>
      <c r="N28" s="687"/>
      <c r="O28" s="687"/>
      <c r="P28" s="687"/>
      <c r="Q28" s="687"/>
      <c r="R28" s="687"/>
      <c r="S28" s="687"/>
      <c r="T28" s="686">
        <v>0</v>
      </c>
      <c r="U28" s="687"/>
      <c r="V28" s="687"/>
      <c r="W28" s="687"/>
      <c r="X28" s="687"/>
      <c r="Y28" s="687"/>
      <c r="Z28" s="687"/>
      <c r="AA28" s="687"/>
    </row>
    <row r="31" spans="1:27">
      <c r="C31" s="688"/>
      <c r="D31" s="688"/>
      <c r="E31" s="688"/>
      <c r="F31" s="688"/>
      <c r="G31" s="688"/>
      <c r="H31" s="688"/>
      <c r="I31" s="688"/>
      <c r="J31" s="688"/>
      <c r="K31" s="688"/>
      <c r="L31" s="688"/>
      <c r="M31" s="688"/>
      <c r="N31" s="688"/>
      <c r="O31" s="688"/>
      <c r="P31" s="688"/>
      <c r="Q31" s="688"/>
      <c r="R31" s="688"/>
      <c r="S31" s="688"/>
      <c r="T31" s="688"/>
      <c r="U31" s="688"/>
      <c r="V31" s="688"/>
      <c r="W31" s="688"/>
      <c r="X31" s="688"/>
      <c r="Y31" s="688"/>
      <c r="Z31" s="688"/>
      <c r="AA31" s="688"/>
    </row>
    <row r="32" spans="1:27">
      <c r="C32" s="688"/>
      <c r="D32" s="688"/>
      <c r="E32" s="688"/>
      <c r="F32" s="688"/>
      <c r="G32" s="688"/>
      <c r="H32" s="688"/>
      <c r="I32" s="688"/>
      <c r="J32" s="688"/>
      <c r="K32" s="688"/>
      <c r="L32" s="688"/>
      <c r="M32" s="688"/>
      <c r="N32" s="688"/>
      <c r="O32" s="688"/>
      <c r="P32" s="688"/>
      <c r="Q32" s="688"/>
      <c r="R32" s="688"/>
      <c r="S32" s="688"/>
      <c r="T32" s="688"/>
      <c r="U32" s="688"/>
      <c r="V32" s="688"/>
      <c r="W32" s="688"/>
      <c r="X32" s="688"/>
      <c r="Y32" s="688"/>
      <c r="Z32" s="688"/>
      <c r="AA32" s="688"/>
    </row>
    <row r="33" spans="3:27">
      <c r="C33" s="688"/>
      <c r="D33" s="688"/>
      <c r="E33" s="688"/>
      <c r="F33" s="688"/>
      <c r="G33" s="688"/>
      <c r="H33" s="688"/>
      <c r="I33" s="688"/>
      <c r="J33" s="688"/>
      <c r="K33" s="688"/>
      <c r="L33" s="688"/>
      <c r="M33" s="688"/>
      <c r="N33" s="688"/>
      <c r="O33" s="688"/>
      <c r="P33" s="688"/>
      <c r="Q33" s="688"/>
      <c r="R33" s="688"/>
      <c r="S33" s="688"/>
      <c r="T33" s="688"/>
      <c r="U33" s="688"/>
      <c r="V33" s="688"/>
      <c r="W33" s="688"/>
      <c r="X33" s="688"/>
      <c r="Y33" s="688"/>
      <c r="Z33" s="688"/>
      <c r="AA33" s="688"/>
    </row>
    <row r="34" spans="3:27">
      <c r="C34" s="688"/>
      <c r="D34" s="688"/>
      <c r="E34" s="688"/>
      <c r="F34" s="688"/>
      <c r="G34" s="688"/>
      <c r="H34" s="688"/>
      <c r="I34" s="688"/>
      <c r="J34" s="688"/>
      <c r="K34" s="688"/>
      <c r="L34" s="688"/>
      <c r="M34" s="688"/>
      <c r="N34" s="688"/>
      <c r="O34" s="688"/>
      <c r="P34" s="688"/>
      <c r="Q34" s="688"/>
      <c r="R34" s="688"/>
      <c r="S34" s="688"/>
      <c r="T34" s="688"/>
      <c r="U34" s="688"/>
      <c r="V34" s="688"/>
      <c r="W34" s="688"/>
      <c r="X34" s="688"/>
      <c r="Y34" s="688"/>
      <c r="Z34" s="688"/>
      <c r="AA34" s="688"/>
    </row>
    <row r="35" spans="3:27">
      <c r="C35" s="688"/>
      <c r="D35" s="688"/>
      <c r="E35" s="688"/>
      <c r="F35" s="688"/>
      <c r="G35" s="688"/>
      <c r="H35" s="688"/>
      <c r="I35" s="688"/>
      <c r="J35" s="688"/>
      <c r="K35" s="688"/>
      <c r="L35" s="688"/>
      <c r="M35" s="688"/>
      <c r="N35" s="688"/>
      <c r="O35" s="688"/>
      <c r="P35" s="688"/>
      <c r="Q35" s="688"/>
      <c r="R35" s="688"/>
      <c r="S35" s="688"/>
      <c r="T35" s="688"/>
      <c r="U35" s="688"/>
      <c r="V35" s="688"/>
      <c r="W35" s="688"/>
      <c r="X35" s="688"/>
      <c r="Y35" s="688"/>
      <c r="Z35" s="688"/>
      <c r="AA35" s="688"/>
    </row>
    <row r="36" spans="3:27">
      <c r="C36" s="688"/>
      <c r="D36" s="688"/>
      <c r="E36" s="688"/>
      <c r="F36" s="688"/>
      <c r="G36" s="688"/>
      <c r="H36" s="688"/>
      <c r="I36" s="688"/>
      <c r="J36" s="688"/>
      <c r="K36" s="688"/>
      <c r="L36" s="688"/>
      <c r="M36" s="688"/>
      <c r="N36" s="688"/>
      <c r="O36" s="688"/>
      <c r="P36" s="688"/>
      <c r="Q36" s="688"/>
      <c r="R36" s="688"/>
      <c r="S36" s="688"/>
      <c r="T36" s="688"/>
      <c r="U36" s="688"/>
      <c r="V36" s="688"/>
      <c r="W36" s="688"/>
      <c r="X36" s="688"/>
      <c r="Y36" s="688"/>
      <c r="Z36" s="688"/>
      <c r="AA36" s="688"/>
    </row>
    <row r="37" spans="3:27">
      <c r="C37" s="688"/>
      <c r="D37" s="688"/>
      <c r="E37" s="688"/>
      <c r="F37" s="688"/>
      <c r="G37" s="688"/>
      <c r="H37" s="688"/>
      <c r="I37" s="688"/>
      <c r="J37" s="688"/>
      <c r="K37" s="688"/>
      <c r="L37" s="688"/>
      <c r="M37" s="688"/>
      <c r="N37" s="688"/>
      <c r="O37" s="688"/>
      <c r="P37" s="688"/>
      <c r="Q37" s="688"/>
      <c r="R37" s="688"/>
      <c r="S37" s="688"/>
      <c r="T37" s="688"/>
      <c r="U37" s="688"/>
      <c r="V37" s="688"/>
      <c r="W37" s="688"/>
      <c r="X37" s="688"/>
      <c r="Y37" s="688"/>
      <c r="Z37" s="688"/>
      <c r="AA37" s="688"/>
    </row>
    <row r="38" spans="3:27">
      <c r="C38" s="688"/>
      <c r="D38" s="688"/>
      <c r="E38" s="688"/>
      <c r="F38" s="688"/>
      <c r="G38" s="688"/>
      <c r="H38" s="688"/>
      <c r="I38" s="688"/>
      <c r="J38" s="688"/>
      <c r="K38" s="688"/>
      <c r="L38" s="688"/>
      <c r="M38" s="688"/>
      <c r="N38" s="688"/>
      <c r="O38" s="688"/>
      <c r="P38" s="688"/>
      <c r="Q38" s="688"/>
      <c r="R38" s="688"/>
      <c r="S38" s="688"/>
      <c r="T38" s="688"/>
      <c r="U38" s="688"/>
      <c r="V38" s="688"/>
      <c r="W38" s="688"/>
      <c r="X38" s="688"/>
      <c r="Y38" s="688"/>
      <c r="Z38" s="688"/>
      <c r="AA38" s="688"/>
    </row>
    <row r="39" spans="3:27">
      <c r="C39" s="688"/>
      <c r="D39" s="688"/>
      <c r="E39" s="688"/>
      <c r="F39" s="688"/>
      <c r="G39" s="688"/>
      <c r="H39" s="688"/>
      <c r="I39" s="688"/>
      <c r="J39" s="688"/>
      <c r="K39" s="688"/>
      <c r="L39" s="688"/>
      <c r="M39" s="688"/>
      <c r="N39" s="688"/>
      <c r="O39" s="688"/>
      <c r="P39" s="688"/>
      <c r="Q39" s="688"/>
      <c r="R39" s="688"/>
      <c r="S39" s="688"/>
      <c r="T39" s="688"/>
      <c r="U39" s="688"/>
      <c r="V39" s="688"/>
      <c r="W39" s="688"/>
      <c r="X39" s="688"/>
      <c r="Y39" s="688"/>
      <c r="Z39" s="688"/>
      <c r="AA39" s="688"/>
    </row>
    <row r="40" spans="3:27">
      <c r="C40" s="688"/>
      <c r="D40" s="688"/>
      <c r="E40" s="688"/>
      <c r="F40" s="688"/>
      <c r="G40" s="688"/>
      <c r="H40" s="688"/>
      <c r="I40" s="688"/>
      <c r="J40" s="688"/>
      <c r="K40" s="688"/>
      <c r="L40" s="688"/>
      <c r="M40" s="688"/>
      <c r="N40" s="688"/>
      <c r="O40" s="688"/>
      <c r="P40" s="688"/>
      <c r="Q40" s="688"/>
      <c r="R40" s="688"/>
      <c r="S40" s="688"/>
      <c r="T40" s="688"/>
      <c r="U40" s="688"/>
      <c r="V40" s="688"/>
      <c r="W40" s="688"/>
      <c r="X40" s="688"/>
      <c r="Y40" s="688"/>
      <c r="Z40" s="688"/>
      <c r="AA40" s="688"/>
    </row>
    <row r="41" spans="3:27">
      <c r="C41" s="688"/>
      <c r="D41" s="688"/>
      <c r="E41" s="688"/>
      <c r="F41" s="688"/>
      <c r="G41" s="688"/>
      <c r="H41" s="688"/>
      <c r="I41" s="688"/>
      <c r="J41" s="688"/>
      <c r="K41" s="688"/>
      <c r="L41" s="688"/>
      <c r="M41" s="688"/>
      <c r="N41" s="688"/>
      <c r="O41" s="688"/>
      <c r="P41" s="688"/>
      <c r="Q41" s="688"/>
      <c r="R41" s="688"/>
      <c r="S41" s="688"/>
      <c r="T41" s="688"/>
      <c r="U41" s="688"/>
      <c r="V41" s="688"/>
      <c r="W41" s="688"/>
      <c r="X41" s="688"/>
      <c r="Y41" s="688"/>
      <c r="Z41" s="688"/>
      <c r="AA41" s="688"/>
    </row>
    <row r="42" spans="3:27">
      <c r="C42" s="688"/>
      <c r="D42" s="688"/>
      <c r="E42" s="688"/>
      <c r="F42" s="688"/>
      <c r="G42" s="688"/>
      <c r="H42" s="688"/>
      <c r="I42" s="688"/>
      <c r="J42" s="688"/>
      <c r="K42" s="688"/>
      <c r="L42" s="688"/>
      <c r="M42" s="688"/>
      <c r="N42" s="688"/>
      <c r="O42" s="688"/>
      <c r="P42" s="688"/>
      <c r="Q42" s="688"/>
      <c r="R42" s="688"/>
      <c r="S42" s="688"/>
      <c r="T42" s="688"/>
      <c r="U42" s="688"/>
      <c r="V42" s="688"/>
      <c r="W42" s="688"/>
      <c r="X42" s="688"/>
      <c r="Y42" s="688"/>
      <c r="Z42" s="688"/>
      <c r="AA42" s="688"/>
    </row>
    <row r="43" spans="3:27">
      <c r="C43" s="688"/>
      <c r="D43" s="688"/>
      <c r="E43" s="688"/>
      <c r="F43" s="688"/>
      <c r="G43" s="688"/>
      <c r="H43" s="688"/>
      <c r="I43" s="688"/>
      <c r="J43" s="688"/>
      <c r="K43" s="688"/>
      <c r="L43" s="688"/>
      <c r="M43" s="688"/>
      <c r="N43" s="688"/>
      <c r="O43" s="688"/>
      <c r="P43" s="688"/>
      <c r="Q43" s="688"/>
      <c r="R43" s="688"/>
      <c r="S43" s="688"/>
      <c r="T43" s="688"/>
      <c r="U43" s="688"/>
      <c r="V43" s="688"/>
      <c r="W43" s="688"/>
      <c r="X43" s="688"/>
      <c r="Y43" s="688"/>
      <c r="Z43" s="688"/>
      <c r="AA43" s="688"/>
    </row>
    <row r="44" spans="3:27">
      <c r="C44" s="688"/>
      <c r="D44" s="688"/>
      <c r="E44" s="688"/>
      <c r="F44" s="688"/>
      <c r="G44" s="688"/>
      <c r="H44" s="688"/>
      <c r="I44" s="688"/>
      <c r="J44" s="688"/>
      <c r="K44" s="688"/>
      <c r="L44" s="688"/>
      <c r="M44" s="688"/>
      <c r="N44" s="688"/>
      <c r="O44" s="688"/>
      <c r="P44" s="688"/>
      <c r="Q44" s="688"/>
      <c r="R44" s="688"/>
      <c r="S44" s="688"/>
      <c r="T44" s="688"/>
      <c r="U44" s="688"/>
      <c r="V44" s="688"/>
      <c r="W44" s="688"/>
      <c r="X44" s="688"/>
      <c r="Y44" s="688"/>
      <c r="Z44" s="688"/>
      <c r="AA44" s="688"/>
    </row>
    <row r="45" spans="3:27">
      <c r="C45" s="688"/>
      <c r="D45" s="688"/>
      <c r="E45" s="688"/>
      <c r="F45" s="688"/>
      <c r="G45" s="688"/>
      <c r="H45" s="688"/>
      <c r="I45" s="688"/>
      <c r="J45" s="688"/>
      <c r="K45" s="688"/>
      <c r="L45" s="688"/>
      <c r="M45" s="688"/>
      <c r="N45" s="688"/>
      <c r="O45" s="688"/>
      <c r="P45" s="688"/>
      <c r="Q45" s="688"/>
      <c r="R45" s="688"/>
      <c r="S45" s="688"/>
      <c r="T45" s="688"/>
      <c r="U45" s="688"/>
      <c r="V45" s="688"/>
      <c r="W45" s="688"/>
      <c r="X45" s="688"/>
      <c r="Y45" s="688"/>
      <c r="Z45" s="688"/>
      <c r="AA45" s="688"/>
    </row>
    <row r="46" spans="3:27">
      <c r="C46" s="688"/>
      <c r="D46" s="688"/>
      <c r="E46" s="688"/>
      <c r="F46" s="688"/>
      <c r="G46" s="688"/>
      <c r="H46" s="688"/>
      <c r="I46" s="688"/>
      <c r="J46" s="688"/>
      <c r="K46" s="688"/>
      <c r="L46" s="688"/>
      <c r="M46" s="688"/>
      <c r="N46" s="688"/>
      <c r="O46" s="688"/>
      <c r="P46" s="688"/>
      <c r="Q46" s="688"/>
      <c r="R46" s="688"/>
      <c r="S46" s="688"/>
      <c r="T46" s="688"/>
      <c r="U46" s="688"/>
      <c r="V46" s="688"/>
      <c r="W46" s="688"/>
      <c r="X46" s="688"/>
      <c r="Y46" s="688"/>
      <c r="Z46" s="688"/>
      <c r="AA46" s="688"/>
    </row>
    <row r="47" spans="3:27">
      <c r="C47" s="688"/>
      <c r="D47" s="688"/>
      <c r="E47" s="688"/>
      <c r="F47" s="688"/>
      <c r="G47" s="688"/>
      <c r="H47" s="688"/>
      <c r="I47" s="688"/>
      <c r="J47" s="688"/>
      <c r="K47" s="688"/>
      <c r="L47" s="688"/>
      <c r="M47" s="688"/>
      <c r="N47" s="688"/>
      <c r="O47" s="688"/>
      <c r="P47" s="688"/>
      <c r="Q47" s="688"/>
      <c r="R47" s="688"/>
      <c r="S47" s="688"/>
      <c r="T47" s="688"/>
      <c r="U47" s="688"/>
      <c r="V47" s="688"/>
      <c r="W47" s="688"/>
      <c r="X47" s="688"/>
      <c r="Y47" s="688"/>
      <c r="Z47" s="688"/>
      <c r="AA47" s="688"/>
    </row>
    <row r="48" spans="3:27">
      <c r="C48" s="688"/>
      <c r="D48" s="688"/>
      <c r="E48" s="688"/>
      <c r="F48" s="688"/>
      <c r="G48" s="688"/>
      <c r="H48" s="688"/>
      <c r="I48" s="688"/>
      <c r="J48" s="688"/>
      <c r="K48" s="688"/>
      <c r="L48" s="688"/>
      <c r="M48" s="688"/>
      <c r="N48" s="688"/>
      <c r="O48" s="688"/>
      <c r="P48" s="688"/>
      <c r="Q48" s="688"/>
      <c r="R48" s="688"/>
      <c r="S48" s="688"/>
      <c r="T48" s="688"/>
      <c r="U48" s="688"/>
      <c r="V48" s="688"/>
      <c r="W48" s="688"/>
      <c r="X48" s="688"/>
      <c r="Y48" s="688"/>
      <c r="Z48" s="688"/>
      <c r="AA48" s="688"/>
    </row>
    <row r="49" spans="3:27">
      <c r="C49" s="688"/>
      <c r="D49" s="688"/>
      <c r="E49" s="688"/>
      <c r="F49" s="688"/>
      <c r="G49" s="688"/>
      <c r="H49" s="688"/>
      <c r="I49" s="688"/>
      <c r="J49" s="688"/>
      <c r="K49" s="688"/>
      <c r="L49" s="688"/>
      <c r="M49" s="688"/>
      <c r="N49" s="688"/>
      <c r="O49" s="688"/>
      <c r="P49" s="688"/>
      <c r="Q49" s="688"/>
      <c r="R49" s="688"/>
      <c r="S49" s="688"/>
      <c r="T49" s="688"/>
      <c r="U49" s="688"/>
      <c r="V49" s="688"/>
      <c r="W49" s="688"/>
      <c r="X49" s="688"/>
      <c r="Y49" s="688"/>
      <c r="Z49" s="688"/>
      <c r="AA49" s="688"/>
    </row>
    <row r="50" spans="3:27">
      <c r="C50" s="688"/>
      <c r="D50" s="688"/>
      <c r="E50" s="688"/>
      <c r="F50" s="688"/>
      <c r="G50" s="688"/>
      <c r="H50" s="688"/>
      <c r="I50" s="688"/>
      <c r="J50" s="688"/>
      <c r="K50" s="688"/>
      <c r="L50" s="688"/>
      <c r="M50" s="688"/>
      <c r="N50" s="688"/>
      <c r="O50" s="688"/>
      <c r="P50" s="688"/>
      <c r="Q50" s="688"/>
      <c r="R50" s="688"/>
      <c r="S50" s="688"/>
      <c r="T50" s="688"/>
      <c r="U50" s="688"/>
      <c r="V50" s="688"/>
      <c r="W50" s="688"/>
      <c r="X50" s="688"/>
      <c r="Y50" s="688"/>
      <c r="Z50" s="688"/>
      <c r="AA50" s="688"/>
    </row>
    <row r="51" spans="3:27">
      <c r="C51" s="688"/>
      <c r="D51" s="688"/>
      <c r="E51" s="688"/>
      <c r="F51" s="688"/>
      <c r="G51" s="688"/>
      <c r="H51" s="688"/>
      <c r="I51" s="688"/>
      <c r="J51" s="688"/>
      <c r="K51" s="688"/>
      <c r="L51" s="688"/>
      <c r="M51" s="688"/>
      <c r="N51" s="688"/>
      <c r="O51" s="688"/>
      <c r="P51" s="688"/>
      <c r="Q51" s="688"/>
      <c r="R51" s="688"/>
      <c r="S51" s="688"/>
      <c r="T51" s="688"/>
      <c r="U51" s="688"/>
      <c r="V51" s="688"/>
      <c r="W51" s="688"/>
      <c r="X51" s="688"/>
      <c r="Y51" s="688"/>
      <c r="Z51" s="688"/>
      <c r="AA51" s="688"/>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40"/>
  <sheetViews>
    <sheetView showGridLines="0" zoomScale="80" zoomScaleNormal="80" workbookViewId="0"/>
  </sheetViews>
  <sheetFormatPr defaultColWidth="9.140625" defaultRowHeight="12.75"/>
  <cols>
    <col min="1" max="1" width="11.85546875" style="391" bestFit="1" customWidth="1"/>
    <col min="2" max="2" width="90.140625" style="391" bestFit="1" customWidth="1"/>
    <col min="3" max="3" width="20.140625" style="391" customWidth="1"/>
    <col min="4" max="4" width="22.140625" style="391" customWidth="1"/>
    <col min="5" max="7" width="17.140625" style="391" customWidth="1"/>
    <col min="8" max="8" width="22.140625" style="391" customWidth="1"/>
    <col min="9" max="10" width="17.140625" style="391" customWidth="1"/>
    <col min="11" max="27" width="22.140625" style="391" customWidth="1"/>
    <col min="28" max="16384" width="9.140625" style="391"/>
  </cols>
  <sheetData>
    <row r="1" spans="1:27" ht="13.5">
      <c r="A1" s="296" t="s">
        <v>97</v>
      </c>
      <c r="B1" s="217" t="str">
        <f>Info!C2</f>
        <v>სს "ბანკი ქართუ"</v>
      </c>
    </row>
    <row r="2" spans="1:27">
      <c r="A2" s="296" t="s">
        <v>98</v>
      </c>
      <c r="B2" s="668">
        <f>'1. key ratios'!B2</f>
        <v>45747</v>
      </c>
    </row>
    <row r="3" spans="1:27">
      <c r="A3" s="298" t="s">
        <v>540</v>
      </c>
      <c r="C3" s="393"/>
    </row>
    <row r="4" spans="1:27" ht="13.5" thickBot="1">
      <c r="A4" s="298"/>
      <c r="B4" s="393"/>
      <c r="C4" s="393"/>
    </row>
    <row r="5" spans="1:27" ht="13.5" customHeight="1">
      <c r="A5" s="852" t="s">
        <v>868</v>
      </c>
      <c r="B5" s="853"/>
      <c r="C5" s="849" t="s">
        <v>541</v>
      </c>
      <c r="D5" s="850"/>
      <c r="E5" s="850"/>
      <c r="F5" s="850"/>
      <c r="G5" s="850"/>
      <c r="H5" s="850"/>
      <c r="I5" s="850"/>
      <c r="J5" s="850"/>
      <c r="K5" s="850"/>
      <c r="L5" s="850"/>
      <c r="M5" s="850"/>
      <c r="N5" s="850"/>
      <c r="O5" s="850"/>
      <c r="P5" s="850"/>
      <c r="Q5" s="850"/>
      <c r="R5" s="850"/>
      <c r="S5" s="850"/>
      <c r="T5" s="850"/>
      <c r="U5" s="850"/>
      <c r="V5" s="850"/>
      <c r="W5" s="850"/>
      <c r="X5" s="850"/>
      <c r="Y5" s="850"/>
      <c r="Z5" s="850"/>
      <c r="AA5" s="851"/>
    </row>
    <row r="6" spans="1:27" ht="12" customHeight="1">
      <c r="A6" s="854"/>
      <c r="B6" s="855"/>
      <c r="C6" s="858" t="s">
        <v>66</v>
      </c>
      <c r="D6" s="819" t="s">
        <v>859</v>
      </c>
      <c r="E6" s="819"/>
      <c r="F6" s="819"/>
      <c r="G6" s="819"/>
      <c r="H6" s="844" t="s">
        <v>858</v>
      </c>
      <c r="I6" s="845"/>
      <c r="J6" s="845"/>
      <c r="K6" s="845"/>
      <c r="L6" s="412"/>
      <c r="M6" s="832" t="s">
        <v>857</v>
      </c>
      <c r="N6" s="832"/>
      <c r="O6" s="832"/>
      <c r="P6" s="832"/>
      <c r="Q6" s="832"/>
      <c r="R6" s="832"/>
      <c r="S6" s="821"/>
      <c r="T6" s="412"/>
      <c r="U6" s="832" t="s">
        <v>856</v>
      </c>
      <c r="V6" s="832"/>
      <c r="W6" s="832"/>
      <c r="X6" s="832"/>
      <c r="Y6" s="832"/>
      <c r="Z6" s="832"/>
      <c r="AA6" s="848"/>
    </row>
    <row r="7" spans="1:27" ht="38.25">
      <c r="A7" s="856"/>
      <c r="B7" s="857"/>
      <c r="C7" s="859"/>
      <c r="D7" s="410"/>
      <c r="E7" s="388" t="s">
        <v>530</v>
      </c>
      <c r="F7" s="388" t="s">
        <v>854</v>
      </c>
      <c r="G7" s="388" t="s">
        <v>855</v>
      </c>
      <c r="H7" s="392"/>
      <c r="I7" s="388" t="s">
        <v>530</v>
      </c>
      <c r="J7" s="388" t="s">
        <v>854</v>
      </c>
      <c r="K7" s="388" t="s">
        <v>855</v>
      </c>
      <c r="L7" s="407"/>
      <c r="M7" s="388" t="s">
        <v>530</v>
      </c>
      <c r="N7" s="388" t="s">
        <v>867</v>
      </c>
      <c r="O7" s="388" t="s">
        <v>866</v>
      </c>
      <c r="P7" s="388" t="s">
        <v>865</v>
      </c>
      <c r="Q7" s="388" t="s">
        <v>864</v>
      </c>
      <c r="R7" s="388" t="s">
        <v>863</v>
      </c>
      <c r="S7" s="388" t="s">
        <v>849</v>
      </c>
      <c r="T7" s="407"/>
      <c r="U7" s="388" t="s">
        <v>530</v>
      </c>
      <c r="V7" s="388" t="s">
        <v>867</v>
      </c>
      <c r="W7" s="388" t="s">
        <v>866</v>
      </c>
      <c r="X7" s="388" t="s">
        <v>865</v>
      </c>
      <c r="Y7" s="388" t="s">
        <v>864</v>
      </c>
      <c r="Z7" s="388" t="s">
        <v>863</v>
      </c>
      <c r="AA7" s="388" t="s">
        <v>849</v>
      </c>
    </row>
    <row r="8" spans="1:27">
      <c r="A8" s="433">
        <v>1</v>
      </c>
      <c r="B8" s="432" t="s">
        <v>531</v>
      </c>
      <c r="C8" s="740">
        <v>1096227082.3967483</v>
      </c>
      <c r="D8" s="673">
        <v>820325999.38240612</v>
      </c>
      <c r="E8" s="673">
        <v>12946174.872863133</v>
      </c>
      <c r="F8" s="673">
        <v>0</v>
      </c>
      <c r="G8" s="673">
        <v>0</v>
      </c>
      <c r="H8" s="673">
        <v>150330707.42931691</v>
      </c>
      <c r="I8" s="673">
        <v>7159339.7124537267</v>
      </c>
      <c r="J8" s="673">
        <v>68784.760389013347</v>
      </c>
      <c r="K8" s="673">
        <v>0</v>
      </c>
      <c r="L8" s="673">
        <v>124362595.32619791</v>
      </c>
      <c r="M8" s="673">
        <v>732035.50529600005</v>
      </c>
      <c r="N8" s="673">
        <v>2406721.4658933575</v>
      </c>
      <c r="O8" s="673">
        <v>4700443.9494498875</v>
      </c>
      <c r="P8" s="673">
        <v>16016862.094843468</v>
      </c>
      <c r="Q8" s="673">
        <v>9150581.1079937574</v>
      </c>
      <c r="R8" s="673">
        <v>33554082.991838288</v>
      </c>
      <c r="S8" s="673">
        <v>10004608.212193001</v>
      </c>
      <c r="T8" s="673">
        <v>1207780.258831</v>
      </c>
      <c r="U8" s="673">
        <v>547132.12867800007</v>
      </c>
      <c r="V8" s="673">
        <v>0</v>
      </c>
      <c r="W8" s="673">
        <v>0</v>
      </c>
      <c r="X8" s="673">
        <v>0</v>
      </c>
      <c r="Y8" s="673">
        <v>0</v>
      </c>
      <c r="Z8" s="673">
        <v>0</v>
      </c>
      <c r="AA8" s="689">
        <v>0</v>
      </c>
    </row>
    <row r="9" spans="1:27">
      <c r="A9" s="425">
        <v>1.1000000000000001</v>
      </c>
      <c r="B9" s="431" t="s">
        <v>542</v>
      </c>
      <c r="C9" s="690">
        <v>1079475601.2574034</v>
      </c>
      <c r="D9" s="673">
        <v>818513489.3397845</v>
      </c>
      <c r="E9" s="673">
        <v>12946034.552863132</v>
      </c>
      <c r="F9" s="673">
        <v>0</v>
      </c>
      <c r="G9" s="673">
        <v>0</v>
      </c>
      <c r="H9" s="673">
        <v>144051134.01208732</v>
      </c>
      <c r="I9" s="673">
        <v>5936374.1572700813</v>
      </c>
      <c r="J9" s="673">
        <v>68784.760389013347</v>
      </c>
      <c r="K9" s="673">
        <v>0</v>
      </c>
      <c r="L9" s="673">
        <v>115703197.64670011</v>
      </c>
      <c r="M9" s="673">
        <v>732035.50529600005</v>
      </c>
      <c r="N9" s="673">
        <v>2389524.8733933568</v>
      </c>
      <c r="O9" s="673">
        <v>4661810.6785498857</v>
      </c>
      <c r="P9" s="673">
        <v>16016366.16484347</v>
      </c>
      <c r="Q9" s="673">
        <v>9142945.3185937554</v>
      </c>
      <c r="R9" s="673">
        <v>33489300.381438285</v>
      </c>
      <c r="S9" s="673">
        <v>9924001.8568929937</v>
      </c>
      <c r="T9" s="673">
        <v>1207780.258831</v>
      </c>
      <c r="U9" s="673">
        <v>547132.12867800007</v>
      </c>
      <c r="V9" s="673">
        <v>0</v>
      </c>
      <c r="W9" s="673">
        <v>0</v>
      </c>
      <c r="X9" s="673">
        <v>0</v>
      </c>
      <c r="Y9" s="673">
        <v>0</v>
      </c>
      <c r="Z9" s="673">
        <v>0</v>
      </c>
      <c r="AA9" s="689">
        <v>0</v>
      </c>
    </row>
    <row r="10" spans="1:27">
      <c r="A10" s="429" t="s">
        <v>146</v>
      </c>
      <c r="B10" s="430" t="s">
        <v>543</v>
      </c>
      <c r="C10" s="691">
        <v>970711838.49786937</v>
      </c>
      <c r="D10" s="673">
        <v>733685958.87737739</v>
      </c>
      <c r="E10" s="673">
        <v>12815186.852863133</v>
      </c>
      <c r="F10" s="673">
        <v>0</v>
      </c>
      <c r="G10" s="673">
        <v>0</v>
      </c>
      <c r="H10" s="673">
        <v>144048320.2420873</v>
      </c>
      <c r="I10" s="673">
        <v>5936374.1572700813</v>
      </c>
      <c r="J10" s="673">
        <v>68784.760389013347</v>
      </c>
      <c r="K10" s="673">
        <v>0</v>
      </c>
      <c r="L10" s="673">
        <v>91769779.119572863</v>
      </c>
      <c r="M10" s="673">
        <v>732035.50529600005</v>
      </c>
      <c r="N10" s="673">
        <v>2376385.4333933569</v>
      </c>
      <c r="O10" s="673">
        <v>4661810.6785498857</v>
      </c>
      <c r="P10" s="673">
        <v>14874024.748084471</v>
      </c>
      <c r="Q10" s="673">
        <v>8284417.3685937561</v>
      </c>
      <c r="R10" s="673">
        <v>33175458.231438287</v>
      </c>
      <c r="S10" s="673">
        <v>9924001.8568929937</v>
      </c>
      <c r="T10" s="673">
        <v>1207780.258831</v>
      </c>
      <c r="U10" s="673">
        <v>547132.12867800007</v>
      </c>
      <c r="V10" s="673">
        <v>0</v>
      </c>
      <c r="W10" s="673">
        <v>0</v>
      </c>
      <c r="X10" s="673">
        <v>0</v>
      </c>
      <c r="Y10" s="673">
        <v>0</v>
      </c>
      <c r="Z10" s="673">
        <v>0</v>
      </c>
      <c r="AA10" s="689">
        <v>0</v>
      </c>
    </row>
    <row r="11" spans="1:27">
      <c r="A11" s="427" t="s">
        <v>544</v>
      </c>
      <c r="B11" s="428" t="s">
        <v>545</v>
      </c>
      <c r="C11" s="692">
        <v>397789575.14432514</v>
      </c>
      <c r="D11" s="673">
        <v>313496700.39444929</v>
      </c>
      <c r="E11" s="673">
        <v>314549.68948299997</v>
      </c>
      <c r="F11" s="673">
        <v>0</v>
      </c>
      <c r="G11" s="673">
        <v>0</v>
      </c>
      <c r="H11" s="673">
        <v>25872829.183009177</v>
      </c>
      <c r="I11" s="673">
        <v>5936374.1572700813</v>
      </c>
      <c r="J11" s="673">
        <v>68784.760389013347</v>
      </c>
      <c r="K11" s="673">
        <v>0</v>
      </c>
      <c r="L11" s="673">
        <v>57212265.308035851</v>
      </c>
      <c r="M11" s="673">
        <v>271098.958491</v>
      </c>
      <c r="N11" s="673">
        <v>2376385.4333933569</v>
      </c>
      <c r="O11" s="673">
        <v>3960393.668821</v>
      </c>
      <c r="P11" s="673">
        <v>14874024.748084471</v>
      </c>
      <c r="Q11" s="673">
        <v>1075185.2340676056</v>
      </c>
      <c r="R11" s="673">
        <v>9318689.6440642811</v>
      </c>
      <c r="S11" s="673">
        <v>8161006.8337899949</v>
      </c>
      <c r="T11" s="673">
        <v>1207780.258831</v>
      </c>
      <c r="U11" s="673">
        <v>547132.12867800007</v>
      </c>
      <c r="V11" s="673">
        <v>0</v>
      </c>
      <c r="W11" s="673">
        <v>0</v>
      </c>
      <c r="X11" s="673">
        <v>0</v>
      </c>
      <c r="Y11" s="673">
        <v>0</v>
      </c>
      <c r="Z11" s="673">
        <v>0</v>
      </c>
      <c r="AA11" s="689">
        <v>0</v>
      </c>
    </row>
    <row r="12" spans="1:27">
      <c r="A12" s="427" t="s">
        <v>546</v>
      </c>
      <c r="B12" s="428" t="s">
        <v>547</v>
      </c>
      <c r="C12" s="692">
        <v>54220075.119337663</v>
      </c>
      <c r="D12" s="673">
        <v>48155382.499689907</v>
      </c>
      <c r="E12" s="673">
        <v>8510908.9785861336</v>
      </c>
      <c r="F12" s="673">
        <v>0</v>
      </c>
      <c r="G12" s="673">
        <v>0</v>
      </c>
      <c r="H12" s="673">
        <v>2633025.5726048802</v>
      </c>
      <c r="I12" s="673">
        <v>0</v>
      </c>
      <c r="J12" s="673">
        <v>0</v>
      </c>
      <c r="K12" s="673">
        <v>0</v>
      </c>
      <c r="L12" s="673">
        <v>3431667.0470428853</v>
      </c>
      <c r="M12" s="673">
        <v>460936.54680499999</v>
      </c>
      <c r="N12" s="673">
        <v>0</v>
      </c>
      <c r="O12" s="673">
        <v>701417.0097288856</v>
      </c>
      <c r="P12" s="673">
        <v>0</v>
      </c>
      <c r="Q12" s="673">
        <v>0</v>
      </c>
      <c r="R12" s="673">
        <v>446065.6</v>
      </c>
      <c r="S12" s="673">
        <v>1257083.380509</v>
      </c>
      <c r="T12" s="673">
        <v>0</v>
      </c>
      <c r="U12" s="673">
        <v>0</v>
      </c>
      <c r="V12" s="673">
        <v>0</v>
      </c>
      <c r="W12" s="673">
        <v>0</v>
      </c>
      <c r="X12" s="673">
        <v>0</v>
      </c>
      <c r="Y12" s="673">
        <v>0</v>
      </c>
      <c r="Z12" s="673">
        <v>0</v>
      </c>
      <c r="AA12" s="689">
        <v>0</v>
      </c>
    </row>
    <row r="13" spans="1:27">
      <c r="A13" s="427" t="s">
        <v>548</v>
      </c>
      <c r="B13" s="428" t="s">
        <v>549</v>
      </c>
      <c r="C13" s="692">
        <v>84505069.725988209</v>
      </c>
      <c r="D13" s="673">
        <v>84505069.725988209</v>
      </c>
      <c r="E13" s="673">
        <v>0</v>
      </c>
      <c r="F13" s="673">
        <v>0</v>
      </c>
      <c r="G13" s="673">
        <v>0</v>
      </c>
      <c r="H13" s="673">
        <v>0</v>
      </c>
      <c r="I13" s="673">
        <v>0</v>
      </c>
      <c r="J13" s="673">
        <v>0</v>
      </c>
      <c r="K13" s="673">
        <v>0</v>
      </c>
      <c r="L13" s="673">
        <v>0</v>
      </c>
      <c r="M13" s="673">
        <v>0</v>
      </c>
      <c r="N13" s="673">
        <v>0</v>
      </c>
      <c r="O13" s="673">
        <v>0</v>
      </c>
      <c r="P13" s="673">
        <v>0</v>
      </c>
      <c r="Q13" s="673">
        <v>0</v>
      </c>
      <c r="R13" s="673">
        <v>0</v>
      </c>
      <c r="S13" s="673">
        <v>0</v>
      </c>
      <c r="T13" s="673">
        <v>0</v>
      </c>
      <c r="U13" s="673">
        <v>0</v>
      </c>
      <c r="V13" s="673">
        <v>0</v>
      </c>
      <c r="W13" s="673">
        <v>0</v>
      </c>
      <c r="X13" s="673">
        <v>0</v>
      </c>
      <c r="Y13" s="673">
        <v>0</v>
      </c>
      <c r="Z13" s="673">
        <v>0</v>
      </c>
      <c r="AA13" s="689">
        <v>0</v>
      </c>
    </row>
    <row r="14" spans="1:27">
      <c r="A14" s="427" t="s">
        <v>550</v>
      </c>
      <c r="B14" s="428" t="s">
        <v>551</v>
      </c>
      <c r="C14" s="692">
        <v>434197118.50821489</v>
      </c>
      <c r="D14" s="673">
        <v>287528806.25724745</v>
      </c>
      <c r="E14" s="673">
        <v>3989728.1847939999</v>
      </c>
      <c r="F14" s="673">
        <v>0</v>
      </c>
      <c r="G14" s="673">
        <v>0</v>
      </c>
      <c r="H14" s="673">
        <v>115542465.48647329</v>
      </c>
      <c r="I14" s="673">
        <v>0</v>
      </c>
      <c r="J14" s="673">
        <v>0</v>
      </c>
      <c r="K14" s="673">
        <v>0</v>
      </c>
      <c r="L14" s="673">
        <v>31125846.764494158</v>
      </c>
      <c r="M14" s="673">
        <v>0</v>
      </c>
      <c r="N14" s="673">
        <v>0</v>
      </c>
      <c r="O14" s="673">
        <v>0</v>
      </c>
      <c r="P14" s="673">
        <v>0</v>
      </c>
      <c r="Q14" s="673">
        <v>7209232.1345261503</v>
      </c>
      <c r="R14" s="673">
        <v>23410702.987374004</v>
      </c>
      <c r="S14" s="673">
        <v>505911.64259399998</v>
      </c>
      <c r="T14" s="673">
        <v>0</v>
      </c>
      <c r="U14" s="673">
        <v>0</v>
      </c>
      <c r="V14" s="673">
        <v>0</v>
      </c>
      <c r="W14" s="673">
        <v>0</v>
      </c>
      <c r="X14" s="673">
        <v>0</v>
      </c>
      <c r="Y14" s="673">
        <v>0</v>
      </c>
      <c r="Z14" s="673">
        <v>0</v>
      </c>
      <c r="AA14" s="689">
        <v>0</v>
      </c>
    </row>
    <row r="15" spans="1:27">
      <c r="A15" s="426">
        <v>1.2</v>
      </c>
      <c r="B15" s="424" t="s">
        <v>862</v>
      </c>
      <c r="C15" s="690">
        <v>56485140.66560179</v>
      </c>
      <c r="D15" s="673">
        <v>5334439.3271369785</v>
      </c>
      <c r="E15" s="673">
        <v>218507.21822077385</v>
      </c>
      <c r="F15" s="673">
        <v>0</v>
      </c>
      <c r="G15" s="673">
        <v>0</v>
      </c>
      <c r="H15" s="673">
        <v>15814168.017228775</v>
      </c>
      <c r="I15" s="673">
        <v>19304.547106266178</v>
      </c>
      <c r="J15" s="673">
        <v>177.2174142677778</v>
      </c>
      <c r="K15" s="673">
        <v>0</v>
      </c>
      <c r="L15" s="673">
        <v>35332290.27814696</v>
      </c>
      <c r="M15" s="673">
        <v>60272.82475365643</v>
      </c>
      <c r="N15" s="673">
        <v>11947.624361566786</v>
      </c>
      <c r="O15" s="673">
        <v>256515.24953896599</v>
      </c>
      <c r="P15" s="673">
        <v>1127100.3899090879</v>
      </c>
      <c r="Q15" s="673">
        <v>4003499.6400636137</v>
      </c>
      <c r="R15" s="673">
        <v>10787637.67400871</v>
      </c>
      <c r="S15" s="673">
        <v>503918.10408066056</v>
      </c>
      <c r="T15" s="673">
        <v>4243.0430891342621</v>
      </c>
      <c r="U15" s="673">
        <v>2735.6606433900006</v>
      </c>
      <c r="V15" s="673">
        <v>0</v>
      </c>
      <c r="W15" s="673">
        <v>0</v>
      </c>
      <c r="X15" s="673">
        <v>0</v>
      </c>
      <c r="Y15" s="673">
        <v>0</v>
      </c>
      <c r="Z15" s="673">
        <v>0</v>
      </c>
      <c r="AA15" s="689">
        <v>0</v>
      </c>
    </row>
    <row r="16" spans="1:27">
      <c r="A16" s="425">
        <v>1.3</v>
      </c>
      <c r="B16" s="424" t="s">
        <v>552</v>
      </c>
      <c r="C16" s="693"/>
      <c r="D16" s="694"/>
      <c r="E16" s="694"/>
      <c r="F16" s="694"/>
      <c r="G16" s="694"/>
      <c r="H16" s="694"/>
      <c r="I16" s="694"/>
      <c r="J16" s="694"/>
      <c r="K16" s="694"/>
      <c r="L16" s="694"/>
      <c r="M16" s="694"/>
      <c r="N16" s="694"/>
      <c r="O16" s="694"/>
      <c r="P16" s="694"/>
      <c r="Q16" s="694"/>
      <c r="R16" s="694"/>
      <c r="S16" s="694"/>
      <c r="T16" s="694"/>
      <c r="U16" s="694"/>
      <c r="V16" s="694"/>
      <c r="W16" s="694"/>
      <c r="X16" s="694"/>
      <c r="Y16" s="694"/>
      <c r="Z16" s="694"/>
      <c r="AA16" s="695"/>
    </row>
    <row r="17" spans="1:27" ht="25.5">
      <c r="A17" s="421" t="s">
        <v>553</v>
      </c>
      <c r="B17" s="423" t="s">
        <v>554</v>
      </c>
      <c r="C17" s="696">
        <v>1006907388.7346859</v>
      </c>
      <c r="D17" s="673">
        <v>758615634.33652413</v>
      </c>
      <c r="E17" s="673">
        <v>12117345.232430551</v>
      </c>
      <c r="F17" s="673">
        <v>0</v>
      </c>
      <c r="G17" s="673">
        <v>0</v>
      </c>
      <c r="H17" s="673">
        <v>143621734.20208734</v>
      </c>
      <c r="I17" s="673">
        <v>5936374.1572700813</v>
      </c>
      <c r="J17" s="673">
        <v>68784.760389013347</v>
      </c>
      <c r="K17" s="673">
        <v>0</v>
      </c>
      <c r="L17" s="673">
        <v>103462239.93724351</v>
      </c>
      <c r="M17" s="673">
        <v>732035.50529600005</v>
      </c>
      <c r="N17" s="673">
        <v>2389185.4333933569</v>
      </c>
      <c r="O17" s="673">
        <v>4661810.6785498857</v>
      </c>
      <c r="P17" s="673">
        <v>14949024.748084471</v>
      </c>
      <c r="Q17" s="673">
        <v>6237766.9471130203</v>
      </c>
      <c r="R17" s="673">
        <v>32934547.446793936</v>
      </c>
      <c r="S17" s="673">
        <v>9827650.6142989937</v>
      </c>
      <c r="T17" s="673">
        <v>1207780.258831</v>
      </c>
      <c r="U17" s="673">
        <v>547132.12867800007</v>
      </c>
      <c r="V17" s="673">
        <v>0</v>
      </c>
      <c r="W17" s="673">
        <v>0</v>
      </c>
      <c r="X17" s="673">
        <v>0</v>
      </c>
      <c r="Y17" s="673">
        <v>0</v>
      </c>
      <c r="Z17" s="673">
        <v>0</v>
      </c>
      <c r="AA17" s="689">
        <v>0</v>
      </c>
    </row>
    <row r="18" spans="1:27" ht="25.5">
      <c r="A18" s="419" t="s">
        <v>555</v>
      </c>
      <c r="B18" s="420" t="s">
        <v>556</v>
      </c>
      <c r="C18" s="697">
        <v>838581363.14539897</v>
      </c>
      <c r="D18" s="673">
        <v>644918736.7080797</v>
      </c>
      <c r="E18" s="673">
        <v>11986497.532430552</v>
      </c>
      <c r="F18" s="673">
        <v>0</v>
      </c>
      <c r="G18" s="673">
        <v>0</v>
      </c>
      <c r="H18" s="673">
        <v>107918097.88417926</v>
      </c>
      <c r="I18" s="673">
        <v>5936374.1572700813</v>
      </c>
      <c r="J18" s="673">
        <v>68784.760389013347</v>
      </c>
      <c r="K18" s="673">
        <v>0</v>
      </c>
      <c r="L18" s="673">
        <v>84536748.29430829</v>
      </c>
      <c r="M18" s="673">
        <v>732035.50529600005</v>
      </c>
      <c r="N18" s="673">
        <v>2376385.4333933569</v>
      </c>
      <c r="O18" s="673">
        <v>4661810.6785498857</v>
      </c>
      <c r="P18" s="673">
        <v>14874024.748084471</v>
      </c>
      <c r="Q18" s="673">
        <v>4685992.0171504896</v>
      </c>
      <c r="R18" s="673">
        <v>29637204.000210918</v>
      </c>
      <c r="S18" s="673">
        <v>9827650.6142989937</v>
      </c>
      <c r="T18" s="673">
        <v>1207780.258831</v>
      </c>
      <c r="U18" s="673">
        <v>547132.12867800007</v>
      </c>
      <c r="V18" s="673">
        <v>0</v>
      </c>
      <c r="W18" s="673">
        <v>0</v>
      </c>
      <c r="X18" s="673">
        <v>0</v>
      </c>
      <c r="Y18" s="673">
        <v>0</v>
      </c>
      <c r="Z18" s="673">
        <v>0</v>
      </c>
      <c r="AA18" s="689">
        <v>0</v>
      </c>
    </row>
    <row r="19" spans="1:27">
      <c r="A19" s="421" t="s">
        <v>557</v>
      </c>
      <c r="B19" s="422" t="s">
        <v>558</v>
      </c>
      <c r="C19" s="698">
        <v>1157336663.4638426</v>
      </c>
      <c r="D19" s="673">
        <v>955164492.32446897</v>
      </c>
      <c r="E19" s="673">
        <v>9692532.546852814</v>
      </c>
      <c r="F19" s="673">
        <v>0</v>
      </c>
      <c r="G19" s="673">
        <v>0</v>
      </c>
      <c r="H19" s="673">
        <v>57376282.650359564</v>
      </c>
      <c r="I19" s="673">
        <v>5942766.1613749228</v>
      </c>
      <c r="J19" s="673">
        <v>974487.33961098676</v>
      </c>
      <c r="K19" s="673">
        <v>0</v>
      </c>
      <c r="L19" s="673">
        <v>133044402.84784336</v>
      </c>
      <c r="M19" s="673">
        <v>3830366.7566953329</v>
      </c>
      <c r="N19" s="673">
        <v>6256530.0083448328</v>
      </c>
      <c r="O19" s="673">
        <v>4389634.0919633042</v>
      </c>
      <c r="P19" s="673">
        <v>74283568.029342279</v>
      </c>
      <c r="Q19" s="673">
        <v>3235230.1205659229</v>
      </c>
      <c r="R19" s="673">
        <v>7365275.6567851938</v>
      </c>
      <c r="S19" s="673">
        <v>11021256.534088438</v>
      </c>
      <c r="T19" s="673">
        <v>11751485.641169</v>
      </c>
      <c r="U19" s="673">
        <v>1417650.8713219999</v>
      </c>
      <c r="V19" s="673">
        <v>0</v>
      </c>
      <c r="W19" s="673">
        <v>0</v>
      </c>
      <c r="X19" s="673">
        <v>0</v>
      </c>
      <c r="Y19" s="673">
        <v>0</v>
      </c>
      <c r="Z19" s="673">
        <v>0</v>
      </c>
      <c r="AA19" s="689">
        <v>0</v>
      </c>
    </row>
    <row r="20" spans="1:27">
      <c r="A20" s="419" t="s">
        <v>559</v>
      </c>
      <c r="B20" s="420" t="s">
        <v>560</v>
      </c>
      <c r="C20" s="697">
        <v>739247820.15082049</v>
      </c>
      <c r="D20" s="673">
        <v>568050792.12191856</v>
      </c>
      <c r="E20" s="673">
        <v>5411789.9580379017</v>
      </c>
      <c r="F20" s="673">
        <v>0</v>
      </c>
      <c r="G20" s="673">
        <v>0</v>
      </c>
      <c r="H20" s="673">
        <v>33129058.645685941</v>
      </c>
      <c r="I20" s="673">
        <v>4302711.5010260418</v>
      </c>
      <c r="J20" s="673">
        <v>974487.33961098676</v>
      </c>
      <c r="K20" s="673">
        <v>0</v>
      </c>
      <c r="L20" s="673">
        <v>126316483.74204732</v>
      </c>
      <c r="M20" s="673">
        <v>3779483.7675863849</v>
      </c>
      <c r="N20" s="673">
        <v>5697241.91884002</v>
      </c>
      <c r="O20" s="673">
        <v>3038162.7381606689</v>
      </c>
      <c r="P20" s="673">
        <v>73523040.071956038</v>
      </c>
      <c r="Q20" s="673">
        <v>2313871.1015780531</v>
      </c>
      <c r="R20" s="673">
        <v>6043451.8494771663</v>
      </c>
      <c r="S20" s="673">
        <v>10284423.38867975</v>
      </c>
      <c r="T20" s="673">
        <v>11751485.641169</v>
      </c>
      <c r="U20" s="673">
        <v>1417650.8713219999</v>
      </c>
      <c r="V20" s="673">
        <v>0</v>
      </c>
      <c r="W20" s="673">
        <v>0</v>
      </c>
      <c r="X20" s="673">
        <v>0</v>
      </c>
      <c r="Y20" s="673">
        <v>0</v>
      </c>
      <c r="Z20" s="673">
        <v>0</v>
      </c>
      <c r="AA20" s="689">
        <v>0</v>
      </c>
    </row>
    <row r="21" spans="1:27">
      <c r="A21" s="418">
        <v>1.4</v>
      </c>
      <c r="B21" s="417" t="s">
        <v>649</v>
      </c>
      <c r="C21" s="699">
        <v>4832491.1800000006</v>
      </c>
      <c r="D21" s="673">
        <v>2381050.15</v>
      </c>
      <c r="E21" s="673">
        <v>0</v>
      </c>
      <c r="F21" s="673">
        <v>0</v>
      </c>
      <c r="G21" s="673">
        <v>0</v>
      </c>
      <c r="H21" s="673">
        <v>2137598.88</v>
      </c>
      <c r="I21" s="673">
        <v>0</v>
      </c>
      <c r="J21" s="673">
        <v>0</v>
      </c>
      <c r="K21" s="673">
        <v>0</v>
      </c>
      <c r="L21" s="673">
        <v>313842.15000000002</v>
      </c>
      <c r="M21" s="673">
        <v>0</v>
      </c>
      <c r="N21" s="673">
        <v>0</v>
      </c>
      <c r="O21" s="673">
        <v>0</v>
      </c>
      <c r="P21" s="673">
        <v>0</v>
      </c>
      <c r="Q21" s="673">
        <v>0</v>
      </c>
      <c r="R21" s="673">
        <v>313842.15000000002</v>
      </c>
      <c r="S21" s="673">
        <v>0</v>
      </c>
      <c r="T21" s="673">
        <v>0</v>
      </c>
      <c r="U21" s="673">
        <v>0</v>
      </c>
      <c r="V21" s="673">
        <v>0</v>
      </c>
      <c r="W21" s="673">
        <v>0</v>
      </c>
      <c r="X21" s="673">
        <v>0</v>
      </c>
      <c r="Y21" s="673">
        <v>0</v>
      </c>
      <c r="Z21" s="673">
        <v>0</v>
      </c>
      <c r="AA21" s="689">
        <v>0</v>
      </c>
    </row>
    <row r="22" spans="1:27" ht="13.5" thickBot="1">
      <c r="A22" s="416">
        <v>1.5</v>
      </c>
      <c r="B22" s="415" t="s">
        <v>650</v>
      </c>
      <c r="C22" s="700">
        <v>0</v>
      </c>
      <c r="D22" s="701">
        <v>0</v>
      </c>
      <c r="E22" s="701">
        <v>0</v>
      </c>
      <c r="F22" s="701">
        <v>0</v>
      </c>
      <c r="G22" s="701">
        <v>0</v>
      </c>
      <c r="H22" s="701">
        <v>0</v>
      </c>
      <c r="I22" s="701">
        <v>0</v>
      </c>
      <c r="J22" s="701">
        <v>0</v>
      </c>
      <c r="K22" s="701">
        <v>0</v>
      </c>
      <c r="L22" s="701">
        <v>0</v>
      </c>
      <c r="M22" s="701">
        <v>0</v>
      </c>
      <c r="N22" s="701">
        <v>0</v>
      </c>
      <c r="O22" s="701">
        <v>0</v>
      </c>
      <c r="P22" s="701">
        <v>0</v>
      </c>
      <c r="Q22" s="701">
        <v>0</v>
      </c>
      <c r="R22" s="701">
        <v>0</v>
      </c>
      <c r="S22" s="701">
        <v>0</v>
      </c>
      <c r="T22" s="701">
        <v>0</v>
      </c>
      <c r="U22" s="701">
        <v>0</v>
      </c>
      <c r="V22" s="701">
        <v>0</v>
      </c>
      <c r="W22" s="701">
        <v>0</v>
      </c>
      <c r="X22" s="701">
        <v>0</v>
      </c>
      <c r="Y22" s="701">
        <v>0</v>
      </c>
      <c r="Z22" s="701">
        <v>0</v>
      </c>
      <c r="AA22" s="702">
        <v>0</v>
      </c>
    </row>
    <row r="26" spans="1:27">
      <c r="C26" s="688"/>
      <c r="D26" s="688"/>
      <c r="E26" s="688"/>
      <c r="F26" s="688"/>
      <c r="G26" s="688"/>
      <c r="H26" s="688"/>
      <c r="I26" s="688"/>
      <c r="J26" s="688"/>
      <c r="K26" s="688"/>
      <c r="L26" s="688"/>
      <c r="M26" s="688"/>
      <c r="N26" s="688"/>
      <c r="O26" s="688"/>
      <c r="P26" s="688"/>
      <c r="Q26" s="688"/>
      <c r="R26" s="688"/>
      <c r="S26" s="688"/>
      <c r="T26" s="688"/>
      <c r="U26" s="688"/>
      <c r="V26" s="688"/>
      <c r="W26" s="688"/>
      <c r="X26" s="688"/>
      <c r="Y26" s="688"/>
      <c r="Z26" s="688"/>
      <c r="AA26" s="688"/>
    </row>
    <row r="27" spans="1:27">
      <c r="C27" s="688"/>
      <c r="D27" s="688"/>
      <c r="E27" s="688"/>
      <c r="F27" s="688"/>
      <c r="G27" s="688"/>
      <c r="H27" s="688"/>
      <c r="I27" s="688"/>
      <c r="J27" s="688"/>
      <c r="K27" s="688"/>
      <c r="L27" s="688"/>
      <c r="M27" s="688"/>
      <c r="N27" s="688"/>
      <c r="O27" s="688"/>
      <c r="P27" s="688"/>
      <c r="Q27" s="688"/>
      <c r="R27" s="688"/>
      <c r="S27" s="688"/>
      <c r="T27" s="688"/>
      <c r="U27" s="688"/>
      <c r="V27" s="688"/>
      <c r="W27" s="688"/>
      <c r="X27" s="688"/>
      <c r="Y27" s="688"/>
      <c r="Z27" s="688"/>
      <c r="AA27" s="688"/>
    </row>
    <row r="28" spans="1:27">
      <c r="C28" s="688"/>
      <c r="D28" s="688"/>
      <c r="E28" s="688"/>
      <c r="F28" s="688"/>
      <c r="G28" s="688"/>
      <c r="H28" s="688"/>
      <c r="I28" s="688"/>
      <c r="J28" s="688"/>
      <c r="K28" s="688"/>
      <c r="L28" s="688"/>
      <c r="M28" s="688"/>
      <c r="N28" s="688"/>
      <c r="O28" s="688"/>
      <c r="P28" s="688"/>
      <c r="Q28" s="688"/>
      <c r="R28" s="688"/>
      <c r="S28" s="688"/>
      <c r="T28" s="688"/>
      <c r="U28" s="688"/>
      <c r="V28" s="688"/>
      <c r="W28" s="688"/>
      <c r="X28" s="688"/>
      <c r="Y28" s="688"/>
      <c r="Z28" s="688"/>
      <c r="AA28" s="688"/>
    </row>
    <row r="29" spans="1:27">
      <c r="C29" s="688"/>
      <c r="D29" s="688"/>
      <c r="E29" s="688"/>
      <c r="F29" s="688"/>
      <c r="G29" s="688"/>
      <c r="H29" s="688"/>
      <c r="I29" s="688"/>
      <c r="J29" s="688"/>
      <c r="K29" s="688"/>
      <c r="L29" s="688"/>
      <c r="M29" s="688"/>
      <c r="N29" s="688"/>
      <c r="O29" s="688"/>
      <c r="P29" s="688"/>
      <c r="Q29" s="688"/>
      <c r="R29" s="688"/>
      <c r="S29" s="688"/>
      <c r="T29" s="688"/>
      <c r="U29" s="688"/>
      <c r="V29" s="688"/>
      <c r="W29" s="688"/>
      <c r="X29" s="688"/>
      <c r="Y29" s="688"/>
      <c r="Z29" s="688"/>
      <c r="AA29" s="688"/>
    </row>
    <row r="30" spans="1:27">
      <c r="C30" s="688"/>
      <c r="D30" s="688"/>
      <c r="E30" s="688"/>
      <c r="F30" s="688"/>
      <c r="G30" s="688"/>
      <c r="H30" s="688"/>
      <c r="I30" s="688"/>
      <c r="J30" s="688"/>
      <c r="K30" s="688"/>
      <c r="L30" s="688"/>
      <c r="M30" s="688"/>
      <c r="N30" s="688"/>
      <c r="O30" s="688"/>
      <c r="P30" s="688"/>
      <c r="Q30" s="688"/>
      <c r="R30" s="688"/>
      <c r="S30" s="688"/>
      <c r="T30" s="688"/>
      <c r="U30" s="688"/>
      <c r="V30" s="688"/>
      <c r="W30" s="688"/>
      <c r="X30" s="688"/>
      <c r="Y30" s="688"/>
      <c r="Z30" s="688"/>
      <c r="AA30" s="688"/>
    </row>
    <row r="31" spans="1:27">
      <c r="C31" s="688"/>
      <c r="D31" s="688"/>
      <c r="E31" s="688"/>
      <c r="F31" s="688"/>
      <c r="G31" s="688"/>
      <c r="H31" s="688"/>
      <c r="I31" s="688"/>
      <c r="J31" s="688"/>
      <c r="K31" s="688"/>
      <c r="L31" s="688"/>
      <c r="M31" s="688"/>
      <c r="N31" s="688"/>
      <c r="O31" s="688"/>
      <c r="P31" s="688"/>
      <c r="Q31" s="688"/>
      <c r="R31" s="688"/>
      <c r="S31" s="688"/>
      <c r="T31" s="688"/>
      <c r="U31" s="688"/>
      <c r="V31" s="688"/>
      <c r="W31" s="688"/>
      <c r="X31" s="688"/>
      <c r="Y31" s="688"/>
      <c r="Z31" s="688"/>
      <c r="AA31" s="688"/>
    </row>
    <row r="32" spans="1:27">
      <c r="C32" s="688"/>
      <c r="D32" s="688"/>
      <c r="E32" s="688"/>
      <c r="F32" s="688"/>
      <c r="G32" s="688"/>
      <c r="H32" s="688"/>
      <c r="I32" s="688"/>
      <c r="J32" s="688"/>
      <c r="K32" s="688"/>
      <c r="L32" s="688"/>
      <c r="M32" s="688"/>
      <c r="N32" s="688"/>
      <c r="O32" s="688"/>
      <c r="P32" s="688"/>
      <c r="Q32" s="688"/>
      <c r="R32" s="688"/>
      <c r="S32" s="688"/>
      <c r="T32" s="688"/>
      <c r="U32" s="688"/>
      <c r="V32" s="688"/>
      <c r="W32" s="688"/>
      <c r="X32" s="688"/>
      <c r="Y32" s="688"/>
      <c r="Z32" s="688"/>
      <c r="AA32" s="688"/>
    </row>
    <row r="33" spans="3:27">
      <c r="C33" s="688"/>
      <c r="D33" s="688"/>
      <c r="E33" s="688"/>
      <c r="F33" s="688"/>
      <c r="G33" s="688"/>
      <c r="H33" s="688"/>
      <c r="I33" s="688"/>
      <c r="J33" s="688"/>
      <c r="K33" s="688"/>
      <c r="L33" s="688"/>
      <c r="M33" s="688"/>
      <c r="N33" s="688"/>
      <c r="O33" s="688"/>
      <c r="P33" s="688"/>
      <c r="Q33" s="688"/>
      <c r="R33" s="688"/>
      <c r="S33" s="688"/>
      <c r="T33" s="688"/>
      <c r="U33" s="688"/>
      <c r="V33" s="688"/>
      <c r="W33" s="688"/>
      <c r="X33" s="688"/>
      <c r="Y33" s="688"/>
      <c r="Z33" s="688"/>
      <c r="AA33" s="688"/>
    </row>
    <row r="34" spans="3:27">
      <c r="C34" s="688"/>
      <c r="D34" s="688"/>
      <c r="E34" s="688"/>
      <c r="F34" s="688"/>
      <c r="G34" s="688"/>
      <c r="H34" s="688"/>
      <c r="I34" s="688"/>
      <c r="J34" s="688"/>
      <c r="K34" s="688"/>
      <c r="L34" s="688"/>
      <c r="M34" s="688"/>
      <c r="N34" s="688"/>
      <c r="O34" s="688"/>
      <c r="P34" s="688"/>
      <c r="Q34" s="688"/>
      <c r="R34" s="688"/>
      <c r="S34" s="688"/>
      <c r="T34" s="688"/>
      <c r="U34" s="688"/>
      <c r="V34" s="688"/>
      <c r="W34" s="688"/>
      <c r="X34" s="688"/>
      <c r="Y34" s="688"/>
      <c r="Z34" s="688"/>
      <c r="AA34" s="688"/>
    </row>
    <row r="35" spans="3:27">
      <c r="C35" s="688"/>
      <c r="D35" s="688"/>
      <c r="E35" s="688"/>
      <c r="F35" s="688"/>
      <c r="G35" s="688"/>
      <c r="H35" s="688"/>
      <c r="I35" s="688"/>
      <c r="J35" s="688"/>
      <c r="K35" s="688"/>
      <c r="L35" s="688"/>
      <c r="M35" s="688"/>
      <c r="N35" s="688"/>
      <c r="O35" s="688"/>
      <c r="P35" s="688"/>
      <c r="Q35" s="688"/>
      <c r="R35" s="688"/>
      <c r="S35" s="688"/>
      <c r="T35" s="688"/>
      <c r="U35" s="688"/>
      <c r="V35" s="688"/>
      <c r="W35" s="688"/>
      <c r="X35" s="688"/>
      <c r="Y35" s="688"/>
      <c r="Z35" s="688"/>
      <c r="AA35" s="688"/>
    </row>
    <row r="36" spans="3:27">
      <c r="C36" s="688"/>
      <c r="D36" s="688"/>
      <c r="E36" s="688"/>
      <c r="F36" s="688"/>
      <c r="G36" s="688"/>
      <c r="H36" s="688"/>
      <c r="I36" s="688"/>
      <c r="J36" s="688"/>
      <c r="K36" s="688"/>
      <c r="L36" s="688"/>
      <c r="M36" s="688"/>
      <c r="N36" s="688"/>
      <c r="O36" s="688"/>
      <c r="P36" s="688"/>
      <c r="Q36" s="688"/>
      <c r="R36" s="688"/>
      <c r="S36" s="688"/>
      <c r="T36" s="688"/>
      <c r="U36" s="688"/>
      <c r="V36" s="688"/>
      <c r="W36" s="688"/>
      <c r="X36" s="688"/>
      <c r="Y36" s="688"/>
      <c r="Z36" s="688"/>
      <c r="AA36" s="688"/>
    </row>
    <row r="37" spans="3:27">
      <c r="C37" s="688"/>
      <c r="D37" s="688"/>
      <c r="E37" s="688"/>
      <c r="F37" s="688"/>
      <c r="G37" s="688"/>
      <c r="H37" s="688"/>
      <c r="I37" s="688"/>
      <c r="J37" s="688"/>
      <c r="K37" s="688"/>
      <c r="L37" s="688"/>
      <c r="M37" s="688"/>
      <c r="N37" s="688"/>
      <c r="O37" s="688"/>
      <c r="P37" s="688"/>
      <c r="Q37" s="688"/>
      <c r="R37" s="688"/>
      <c r="S37" s="688"/>
      <c r="T37" s="688"/>
      <c r="U37" s="688"/>
      <c r="V37" s="688"/>
      <c r="W37" s="688"/>
      <c r="X37" s="688"/>
      <c r="Y37" s="688"/>
      <c r="Z37" s="688"/>
      <c r="AA37" s="688"/>
    </row>
    <row r="38" spans="3:27">
      <c r="C38" s="688"/>
      <c r="D38" s="688"/>
      <c r="E38" s="688"/>
      <c r="F38" s="688"/>
      <c r="G38" s="688"/>
      <c r="H38" s="688"/>
      <c r="I38" s="688"/>
      <c r="J38" s="688"/>
      <c r="K38" s="688"/>
      <c r="L38" s="688"/>
      <c r="M38" s="688"/>
      <c r="N38" s="688"/>
      <c r="O38" s="688"/>
      <c r="P38" s="688"/>
      <c r="Q38" s="688"/>
      <c r="R38" s="688"/>
      <c r="S38" s="688"/>
      <c r="T38" s="688"/>
      <c r="U38" s="688"/>
      <c r="V38" s="688"/>
      <c r="W38" s="688"/>
      <c r="X38" s="688"/>
      <c r="Y38" s="688"/>
      <c r="Z38" s="688"/>
      <c r="AA38" s="688"/>
    </row>
    <row r="39" spans="3:27">
      <c r="C39" s="688"/>
      <c r="D39" s="688"/>
      <c r="E39" s="688"/>
      <c r="F39" s="688"/>
      <c r="G39" s="688"/>
      <c r="H39" s="688"/>
      <c r="I39" s="688"/>
      <c r="J39" s="688"/>
      <c r="K39" s="688"/>
      <c r="L39" s="688"/>
      <c r="M39" s="688"/>
      <c r="N39" s="688"/>
      <c r="O39" s="688"/>
      <c r="P39" s="688"/>
      <c r="Q39" s="688"/>
      <c r="R39" s="688"/>
      <c r="S39" s="688"/>
      <c r="T39" s="688"/>
      <c r="U39" s="688"/>
      <c r="V39" s="688"/>
      <c r="W39" s="688"/>
      <c r="X39" s="688"/>
      <c r="Y39" s="688"/>
      <c r="Z39" s="688"/>
      <c r="AA39" s="688"/>
    </row>
    <row r="40" spans="3:27">
      <c r="C40" s="688"/>
      <c r="D40" s="688"/>
      <c r="E40" s="688"/>
      <c r="F40" s="688"/>
      <c r="G40" s="688"/>
      <c r="H40" s="688"/>
      <c r="I40" s="688"/>
      <c r="J40" s="688"/>
      <c r="K40" s="688"/>
      <c r="L40" s="688"/>
      <c r="M40" s="688"/>
      <c r="N40" s="688"/>
      <c r="O40" s="688"/>
      <c r="P40" s="688"/>
      <c r="Q40" s="688"/>
      <c r="R40" s="688"/>
      <c r="S40" s="688"/>
      <c r="T40" s="688"/>
      <c r="U40" s="688"/>
      <c r="V40" s="688"/>
      <c r="W40" s="688"/>
      <c r="X40" s="688"/>
      <c r="Y40" s="688"/>
      <c r="Z40" s="688"/>
      <c r="AA40" s="688"/>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Q70"/>
  <sheetViews>
    <sheetView showGridLines="0" zoomScale="80" zoomScaleNormal="80" workbookViewId="0"/>
  </sheetViews>
  <sheetFormatPr defaultRowHeight="15"/>
  <cols>
    <col min="1" max="1" width="8.85546875" style="360"/>
    <col min="2" max="2" width="69.140625" style="339" customWidth="1"/>
    <col min="3" max="8" width="15.140625" style="593" bestFit="1" customWidth="1"/>
    <col min="12" max="12" width="15.140625" bestFit="1" customWidth="1"/>
  </cols>
  <sheetData>
    <row r="1" spans="1:17" ht="15.75">
      <c r="A1" s="13" t="s">
        <v>97</v>
      </c>
      <c r="B1" s="217" t="str">
        <f>Info!C2</f>
        <v>სს "ბანკი ქართუ"</v>
      </c>
      <c r="C1" s="591"/>
      <c r="D1" s="592"/>
      <c r="E1" s="592"/>
      <c r="F1" s="592"/>
      <c r="G1" s="592"/>
    </row>
    <row r="2" spans="1:17" ht="15.75">
      <c r="A2" s="13" t="s">
        <v>98</v>
      </c>
      <c r="B2" s="585">
        <f>'1. key ratios'!B2</f>
        <v>45747</v>
      </c>
      <c r="C2" s="591"/>
      <c r="D2" s="592"/>
      <c r="E2" s="592"/>
      <c r="F2" s="592"/>
      <c r="G2" s="592"/>
    </row>
    <row r="3" spans="1:17" ht="15.75">
      <c r="A3" s="13"/>
      <c r="B3" s="12"/>
      <c r="C3" s="591"/>
      <c r="D3" s="592"/>
      <c r="E3" s="592"/>
      <c r="F3" s="592"/>
      <c r="G3" s="592"/>
    </row>
    <row r="4" spans="1:17" ht="21" customHeight="1">
      <c r="A4" s="752" t="s">
        <v>25</v>
      </c>
      <c r="B4" s="753" t="s">
        <v>697</v>
      </c>
      <c r="C4" s="755" t="s">
        <v>103</v>
      </c>
      <c r="D4" s="755"/>
      <c r="E4" s="755"/>
      <c r="F4" s="755" t="s">
        <v>104</v>
      </c>
      <c r="G4" s="755"/>
      <c r="H4" s="756"/>
    </row>
    <row r="5" spans="1:17" ht="21" customHeight="1">
      <c r="A5" s="752"/>
      <c r="B5" s="754"/>
      <c r="C5" s="594" t="s">
        <v>26</v>
      </c>
      <c r="D5" s="594" t="s">
        <v>77</v>
      </c>
      <c r="E5" s="594" t="s">
        <v>66</v>
      </c>
      <c r="F5" s="594" t="s">
        <v>26</v>
      </c>
      <c r="G5" s="594" t="s">
        <v>77</v>
      </c>
      <c r="H5" s="594" t="s">
        <v>66</v>
      </c>
    </row>
    <row r="6" spans="1:17" ht="26.45" customHeight="1">
      <c r="A6" s="752"/>
      <c r="B6" s="314" t="s">
        <v>84</v>
      </c>
      <c r="C6" s="746"/>
      <c r="D6" s="747"/>
      <c r="E6" s="747"/>
      <c r="F6" s="747"/>
      <c r="G6" s="747"/>
      <c r="H6" s="748"/>
    </row>
    <row r="7" spans="1:17" ht="23.1" customHeight="1">
      <c r="A7" s="352">
        <v>1</v>
      </c>
      <c r="B7" s="315" t="s">
        <v>811</v>
      </c>
      <c r="C7" s="595">
        <f>SUM(C8:C10)</f>
        <v>51863463.016558528</v>
      </c>
      <c r="D7" s="595">
        <f>SUM(D8:D10)</f>
        <v>563022059.79377699</v>
      </c>
      <c r="E7" s="596">
        <f>C7+D7</f>
        <v>614885522.81033552</v>
      </c>
      <c r="F7" s="595">
        <f>SUM(F8:F10)</f>
        <v>125148960.30480847</v>
      </c>
      <c r="G7" s="595">
        <f>SUM(G8:G10)</f>
        <v>762610149.3558563</v>
      </c>
      <c r="H7" s="596">
        <f>F7+G7</f>
        <v>887759109.6606648</v>
      </c>
      <c r="L7" s="590"/>
      <c r="M7" s="590"/>
      <c r="N7" s="590"/>
      <c r="O7" s="590"/>
      <c r="P7" s="590"/>
      <c r="Q7" s="590"/>
    </row>
    <row r="8" spans="1:17">
      <c r="A8" s="352">
        <v>1.1000000000000001</v>
      </c>
      <c r="B8" s="316" t="s">
        <v>85</v>
      </c>
      <c r="C8" s="595">
        <v>9187744.8000000007</v>
      </c>
      <c r="D8" s="595">
        <v>37109287.526199996</v>
      </c>
      <c r="E8" s="596">
        <f t="shared" ref="E8:E36" si="0">C8+D8</f>
        <v>46297032.326199993</v>
      </c>
      <c r="F8" s="595">
        <v>10257713.35</v>
      </c>
      <c r="G8" s="595">
        <v>24516078.344999999</v>
      </c>
      <c r="H8" s="596">
        <f t="shared" ref="H8:H36" si="1">F8+G8</f>
        <v>34773791.695</v>
      </c>
      <c r="L8" s="590"/>
      <c r="M8" s="590"/>
      <c r="N8" s="590"/>
      <c r="O8" s="590"/>
      <c r="P8" s="590"/>
      <c r="Q8" s="590"/>
    </row>
    <row r="9" spans="1:17">
      <c r="A9" s="352">
        <v>1.2</v>
      </c>
      <c r="B9" s="316" t="s">
        <v>86</v>
      </c>
      <c r="C9" s="595">
        <v>14712469.630000001</v>
      </c>
      <c r="D9" s="595">
        <v>270092167.60051972</v>
      </c>
      <c r="E9" s="596">
        <f t="shared" si="0"/>
        <v>284804637.23051971</v>
      </c>
      <c r="F9" s="595">
        <v>19889277.329999998</v>
      </c>
      <c r="G9" s="595">
        <v>239191371.07675207</v>
      </c>
      <c r="H9" s="596">
        <f t="shared" si="1"/>
        <v>259080648.40675205</v>
      </c>
      <c r="L9" s="590"/>
      <c r="M9" s="590"/>
      <c r="N9" s="590"/>
      <c r="O9" s="590"/>
      <c r="P9" s="590"/>
      <c r="Q9" s="590"/>
    </row>
    <row r="10" spans="1:17">
      <c r="A10" s="352">
        <v>1.3</v>
      </c>
      <c r="B10" s="316" t="s">
        <v>87</v>
      </c>
      <c r="C10" s="595">
        <v>27963248.586558525</v>
      </c>
      <c r="D10" s="595">
        <v>255820604.66705734</v>
      </c>
      <c r="E10" s="596">
        <f t="shared" si="0"/>
        <v>283783853.25361586</v>
      </c>
      <c r="F10" s="595">
        <v>95001969.624808475</v>
      </c>
      <c r="G10" s="595">
        <v>498902699.93410426</v>
      </c>
      <c r="H10" s="596">
        <f t="shared" si="1"/>
        <v>593904669.55891275</v>
      </c>
      <c r="L10" s="590"/>
      <c r="M10" s="590"/>
      <c r="N10" s="590"/>
      <c r="O10" s="590"/>
      <c r="P10" s="590"/>
      <c r="Q10" s="590"/>
    </row>
    <row r="11" spans="1:17">
      <c r="A11" s="352">
        <v>2</v>
      </c>
      <c r="B11" s="317" t="s">
        <v>698</v>
      </c>
      <c r="C11" s="595">
        <v>0</v>
      </c>
      <c r="D11" s="595">
        <v>0</v>
      </c>
      <c r="E11" s="596">
        <f t="shared" si="0"/>
        <v>0</v>
      </c>
      <c r="F11" s="595">
        <v>0</v>
      </c>
      <c r="G11" s="595">
        <v>0</v>
      </c>
      <c r="H11" s="596">
        <f t="shared" si="1"/>
        <v>0</v>
      </c>
      <c r="L11" s="590"/>
      <c r="M11" s="590"/>
      <c r="N11" s="590"/>
      <c r="O11" s="590"/>
      <c r="P11" s="590"/>
      <c r="Q11" s="590"/>
    </row>
    <row r="12" spans="1:17">
      <c r="A12" s="352">
        <v>2.1</v>
      </c>
      <c r="B12" s="318" t="s">
        <v>699</v>
      </c>
      <c r="C12" s="595">
        <v>0</v>
      </c>
      <c r="D12" s="595">
        <v>0</v>
      </c>
      <c r="E12" s="596">
        <f t="shared" si="0"/>
        <v>0</v>
      </c>
      <c r="F12" s="595">
        <v>0</v>
      </c>
      <c r="G12" s="595">
        <v>0</v>
      </c>
      <c r="H12" s="596">
        <f t="shared" si="1"/>
        <v>0</v>
      </c>
      <c r="L12" s="590"/>
      <c r="M12" s="590"/>
      <c r="N12" s="590"/>
      <c r="O12" s="590"/>
      <c r="P12" s="590"/>
      <c r="Q12" s="590"/>
    </row>
    <row r="13" spans="1:17" ht="26.45" customHeight="1">
      <c r="A13" s="352">
        <v>3</v>
      </c>
      <c r="B13" s="319" t="s">
        <v>700</v>
      </c>
      <c r="C13" s="595">
        <v>0</v>
      </c>
      <c r="D13" s="595">
        <v>0</v>
      </c>
      <c r="E13" s="596">
        <f t="shared" si="0"/>
        <v>0</v>
      </c>
      <c r="F13" s="595">
        <v>0</v>
      </c>
      <c r="G13" s="595">
        <v>0</v>
      </c>
      <c r="H13" s="596">
        <f t="shared" si="1"/>
        <v>0</v>
      </c>
      <c r="L13" s="590"/>
      <c r="M13" s="590"/>
      <c r="N13" s="590"/>
      <c r="O13" s="590"/>
      <c r="P13" s="590"/>
      <c r="Q13" s="590"/>
    </row>
    <row r="14" spans="1:17" ht="26.45" customHeight="1">
      <c r="A14" s="352">
        <v>4</v>
      </c>
      <c r="B14" s="320" t="s">
        <v>701</v>
      </c>
      <c r="C14" s="595">
        <v>0</v>
      </c>
      <c r="D14" s="595">
        <v>0</v>
      </c>
      <c r="E14" s="596">
        <f t="shared" si="0"/>
        <v>0</v>
      </c>
      <c r="F14" s="595">
        <v>0</v>
      </c>
      <c r="G14" s="595">
        <v>0</v>
      </c>
      <c r="H14" s="596">
        <f t="shared" si="1"/>
        <v>0</v>
      </c>
      <c r="L14" s="590"/>
      <c r="M14" s="590"/>
      <c r="N14" s="590"/>
      <c r="O14" s="590"/>
      <c r="P14" s="590"/>
      <c r="Q14" s="590"/>
    </row>
    <row r="15" spans="1:17" ht="24.6" customHeight="1">
      <c r="A15" s="352">
        <v>5</v>
      </c>
      <c r="B15" s="320" t="s">
        <v>702</v>
      </c>
      <c r="C15" s="597">
        <f>SUM(C16:C18)</f>
        <v>7408054.2999999998</v>
      </c>
      <c r="D15" s="597">
        <f>SUM(D16:D18)</f>
        <v>0</v>
      </c>
      <c r="E15" s="598">
        <f t="shared" si="0"/>
        <v>7408054.2999999998</v>
      </c>
      <c r="F15" s="597">
        <f>SUM(F16:F18)</f>
        <v>7430017.2699999996</v>
      </c>
      <c r="G15" s="597">
        <f>SUM(G16:G18)</f>
        <v>0</v>
      </c>
      <c r="H15" s="598">
        <f t="shared" si="1"/>
        <v>7430017.2699999996</v>
      </c>
      <c r="L15" s="590"/>
      <c r="M15" s="590"/>
      <c r="N15" s="590"/>
      <c r="O15" s="590"/>
      <c r="P15" s="590"/>
      <c r="Q15" s="590"/>
    </row>
    <row r="16" spans="1:17">
      <c r="A16" s="352">
        <v>5.0999999999999996</v>
      </c>
      <c r="B16" s="321" t="s">
        <v>703</v>
      </c>
      <c r="C16" s="595">
        <v>175637.53</v>
      </c>
      <c r="D16" s="595">
        <v>0</v>
      </c>
      <c r="E16" s="596">
        <f t="shared" si="0"/>
        <v>175637.53</v>
      </c>
      <c r="F16" s="595">
        <v>168050</v>
      </c>
      <c r="G16" s="595">
        <v>0</v>
      </c>
      <c r="H16" s="596">
        <f t="shared" si="1"/>
        <v>168050</v>
      </c>
      <c r="L16" s="590"/>
      <c r="M16" s="590"/>
      <c r="N16" s="590"/>
      <c r="O16" s="590"/>
      <c r="P16" s="590"/>
      <c r="Q16" s="590"/>
    </row>
    <row r="17" spans="1:17">
      <c r="A17" s="352">
        <v>5.2</v>
      </c>
      <c r="B17" s="321" t="s">
        <v>538</v>
      </c>
      <c r="C17" s="595">
        <v>7232416.7699999996</v>
      </c>
      <c r="D17" s="595">
        <v>0</v>
      </c>
      <c r="E17" s="596">
        <f t="shared" si="0"/>
        <v>7232416.7699999996</v>
      </c>
      <c r="F17" s="595">
        <v>7261967.2699999996</v>
      </c>
      <c r="G17" s="595">
        <v>0</v>
      </c>
      <c r="H17" s="596">
        <f t="shared" si="1"/>
        <v>7261967.2699999996</v>
      </c>
      <c r="L17" s="590"/>
      <c r="M17" s="590"/>
      <c r="N17" s="590"/>
      <c r="O17" s="590"/>
      <c r="P17" s="590"/>
      <c r="Q17" s="590"/>
    </row>
    <row r="18" spans="1:17">
      <c r="A18" s="352">
        <v>5.3</v>
      </c>
      <c r="B18" s="321" t="s">
        <v>704</v>
      </c>
      <c r="C18" s="595">
        <v>0</v>
      </c>
      <c r="D18" s="595">
        <v>0</v>
      </c>
      <c r="E18" s="596">
        <f t="shared" si="0"/>
        <v>0</v>
      </c>
      <c r="F18" s="595">
        <v>0</v>
      </c>
      <c r="G18" s="595">
        <v>0</v>
      </c>
      <c r="H18" s="596">
        <f t="shared" si="1"/>
        <v>0</v>
      </c>
      <c r="L18" s="590"/>
      <c r="M18" s="590"/>
      <c r="N18" s="590"/>
      <c r="O18" s="590"/>
      <c r="P18" s="590"/>
      <c r="Q18" s="590"/>
    </row>
    <row r="19" spans="1:17">
      <c r="A19" s="352">
        <v>6</v>
      </c>
      <c r="B19" s="319" t="s">
        <v>705</v>
      </c>
      <c r="C19" s="595">
        <f>SUM(C20:C21)</f>
        <v>491083040.81970608</v>
      </c>
      <c r="D19" s="595">
        <f>SUM(D20:D21)</f>
        <v>609331053.35363483</v>
      </c>
      <c r="E19" s="596">
        <f t="shared" si="0"/>
        <v>1100414094.1733408</v>
      </c>
      <c r="F19" s="595">
        <f>SUM(F20:F21)</f>
        <v>368378543.02481729</v>
      </c>
      <c r="G19" s="595">
        <f>SUM(G20:G21)</f>
        <v>495694188.52228892</v>
      </c>
      <c r="H19" s="596">
        <f t="shared" si="1"/>
        <v>864072731.54710627</v>
      </c>
      <c r="L19" s="590"/>
      <c r="M19" s="590"/>
      <c r="N19" s="590"/>
      <c r="O19" s="590"/>
      <c r="P19" s="590"/>
      <c r="Q19" s="590"/>
    </row>
    <row r="20" spans="1:17">
      <c r="A20" s="352">
        <v>6.1</v>
      </c>
      <c r="B20" s="321" t="s">
        <v>538</v>
      </c>
      <c r="C20" s="595">
        <v>60336411.374246351</v>
      </c>
      <c r="D20" s="595">
        <v>0</v>
      </c>
      <c r="E20" s="596">
        <f t="shared" si="0"/>
        <v>60336411.374246351</v>
      </c>
      <c r="F20" s="595">
        <v>55307827.515800282</v>
      </c>
      <c r="G20" s="595">
        <v>0</v>
      </c>
      <c r="H20" s="596">
        <f t="shared" si="1"/>
        <v>55307827.515800282</v>
      </c>
      <c r="L20" s="590"/>
      <c r="M20" s="590"/>
      <c r="N20" s="590"/>
      <c r="O20" s="590"/>
      <c r="P20" s="590"/>
      <c r="Q20" s="590"/>
    </row>
    <row r="21" spans="1:17">
      <c r="A21" s="352">
        <v>6.2</v>
      </c>
      <c r="B21" s="321" t="s">
        <v>704</v>
      </c>
      <c r="C21" s="595">
        <v>430746629.44545972</v>
      </c>
      <c r="D21" s="595">
        <v>609331053.35363483</v>
      </c>
      <c r="E21" s="596">
        <f t="shared" si="0"/>
        <v>1040077682.7990946</v>
      </c>
      <c r="F21" s="595">
        <v>313070715.50901699</v>
      </c>
      <c r="G21" s="595">
        <v>495694188.52228892</v>
      </c>
      <c r="H21" s="596">
        <f t="shared" si="1"/>
        <v>808764904.03130591</v>
      </c>
      <c r="L21" s="590"/>
      <c r="M21" s="590"/>
      <c r="N21" s="590"/>
      <c r="O21" s="590"/>
      <c r="P21" s="590"/>
      <c r="Q21" s="590"/>
    </row>
    <row r="22" spans="1:17">
      <c r="A22" s="352">
        <v>7</v>
      </c>
      <c r="B22" s="322" t="s">
        <v>706</v>
      </c>
      <c r="C22" s="595">
        <v>9522300</v>
      </c>
      <c r="D22" s="595">
        <v>0</v>
      </c>
      <c r="E22" s="596">
        <f t="shared" si="0"/>
        <v>9522300</v>
      </c>
      <c r="F22" s="595">
        <v>9372300</v>
      </c>
      <c r="G22" s="595">
        <v>0</v>
      </c>
      <c r="H22" s="596">
        <f t="shared" si="1"/>
        <v>9372300</v>
      </c>
      <c r="L22" s="590"/>
      <c r="M22" s="590"/>
      <c r="N22" s="590"/>
      <c r="O22" s="590"/>
      <c r="P22" s="590"/>
      <c r="Q22" s="590"/>
    </row>
    <row r="23" spans="1:17" ht="21">
      <c r="A23" s="352">
        <v>8</v>
      </c>
      <c r="B23" s="323" t="s">
        <v>707</v>
      </c>
      <c r="C23" s="595">
        <v>0</v>
      </c>
      <c r="D23" s="595">
        <v>0</v>
      </c>
      <c r="E23" s="596">
        <f t="shared" si="0"/>
        <v>0</v>
      </c>
      <c r="F23" s="595">
        <v>0</v>
      </c>
      <c r="G23" s="595">
        <v>0</v>
      </c>
      <c r="H23" s="596">
        <f t="shared" si="1"/>
        <v>0</v>
      </c>
      <c r="L23" s="590"/>
      <c r="M23" s="590"/>
      <c r="N23" s="590"/>
      <c r="O23" s="590"/>
      <c r="P23" s="590"/>
      <c r="Q23" s="590"/>
    </row>
    <row r="24" spans="1:17">
      <c r="A24" s="352">
        <v>9</v>
      </c>
      <c r="B24" s="320" t="s">
        <v>708</v>
      </c>
      <c r="C24" s="595">
        <f>SUM(C25:C26)</f>
        <v>22057337.192990594</v>
      </c>
      <c r="D24" s="595">
        <f>SUM(D25:D26)</f>
        <v>0</v>
      </c>
      <c r="E24" s="596">
        <f t="shared" si="0"/>
        <v>22057337.192990594</v>
      </c>
      <c r="F24" s="595">
        <f>SUM(F25:F26)</f>
        <v>19789476.290586315</v>
      </c>
      <c r="G24" s="595">
        <f>SUM(G25:G26)</f>
        <v>0</v>
      </c>
      <c r="H24" s="596">
        <f t="shared" si="1"/>
        <v>19789476.290586315</v>
      </c>
      <c r="L24" s="590"/>
      <c r="M24" s="590"/>
      <c r="N24" s="590"/>
      <c r="O24" s="590"/>
      <c r="P24" s="590"/>
      <c r="Q24" s="590"/>
    </row>
    <row r="25" spans="1:17">
      <c r="A25" s="352">
        <v>9.1</v>
      </c>
      <c r="B25" s="324" t="s">
        <v>709</v>
      </c>
      <c r="C25" s="595">
        <v>22057337.192990594</v>
      </c>
      <c r="D25" s="595">
        <v>0</v>
      </c>
      <c r="E25" s="596">
        <f t="shared" si="0"/>
        <v>22057337.192990594</v>
      </c>
      <c r="F25" s="595">
        <v>19789476.290586315</v>
      </c>
      <c r="G25" s="595">
        <v>0</v>
      </c>
      <c r="H25" s="596">
        <f t="shared" si="1"/>
        <v>19789476.290586315</v>
      </c>
      <c r="L25" s="590"/>
      <c r="M25" s="590"/>
      <c r="N25" s="590"/>
      <c r="O25" s="590"/>
      <c r="P25" s="590"/>
      <c r="Q25" s="590"/>
    </row>
    <row r="26" spans="1:17">
      <c r="A26" s="352">
        <v>9.1999999999999993</v>
      </c>
      <c r="B26" s="324" t="s">
        <v>710</v>
      </c>
      <c r="C26" s="595">
        <v>0</v>
      </c>
      <c r="D26" s="595">
        <v>0</v>
      </c>
      <c r="E26" s="596">
        <f t="shared" si="0"/>
        <v>0</v>
      </c>
      <c r="F26" s="595">
        <v>0</v>
      </c>
      <c r="G26" s="595">
        <v>0</v>
      </c>
      <c r="H26" s="596">
        <f t="shared" si="1"/>
        <v>0</v>
      </c>
      <c r="L26" s="590"/>
      <c r="M26" s="590"/>
      <c r="N26" s="590"/>
      <c r="O26" s="590"/>
      <c r="P26" s="590"/>
      <c r="Q26" s="590"/>
    </row>
    <row r="27" spans="1:17">
      <c r="A27" s="352">
        <v>10</v>
      </c>
      <c r="B27" s="320" t="s">
        <v>36</v>
      </c>
      <c r="C27" s="595">
        <f>SUM(C28:C29)</f>
        <v>10633827.230000002</v>
      </c>
      <c r="D27" s="595">
        <f>SUM(D28:D29)</f>
        <v>1716587.12</v>
      </c>
      <c r="E27" s="596">
        <f t="shared" si="0"/>
        <v>12350414.350000001</v>
      </c>
      <c r="F27" s="595">
        <f>SUM(F28:F29)</f>
        <v>8818655.5500000026</v>
      </c>
      <c r="G27" s="595">
        <f>SUM(G28:G29)</f>
        <v>0</v>
      </c>
      <c r="H27" s="596">
        <f t="shared" si="1"/>
        <v>8818655.5500000026</v>
      </c>
      <c r="L27" s="590"/>
      <c r="M27" s="590"/>
      <c r="N27" s="590"/>
      <c r="O27" s="590"/>
      <c r="P27" s="590"/>
      <c r="Q27" s="590"/>
    </row>
    <row r="28" spans="1:17">
      <c r="A28" s="352">
        <v>10.1</v>
      </c>
      <c r="B28" s="324" t="s">
        <v>711</v>
      </c>
      <c r="C28" s="595">
        <v>0</v>
      </c>
      <c r="D28" s="595">
        <v>0</v>
      </c>
      <c r="E28" s="596">
        <f t="shared" si="0"/>
        <v>0</v>
      </c>
      <c r="F28" s="595">
        <v>0</v>
      </c>
      <c r="G28" s="595">
        <v>0</v>
      </c>
      <c r="H28" s="596">
        <f t="shared" si="1"/>
        <v>0</v>
      </c>
      <c r="L28" s="590"/>
      <c r="M28" s="590"/>
      <c r="N28" s="590"/>
      <c r="O28" s="590"/>
      <c r="P28" s="590"/>
      <c r="Q28" s="590"/>
    </row>
    <row r="29" spans="1:17">
      <c r="A29" s="352">
        <v>10.199999999999999</v>
      </c>
      <c r="B29" s="324" t="s">
        <v>712</v>
      </c>
      <c r="C29" s="595">
        <v>10633827.230000002</v>
      </c>
      <c r="D29" s="595">
        <v>1716587.12</v>
      </c>
      <c r="E29" s="596">
        <f t="shared" si="0"/>
        <v>12350414.350000001</v>
      </c>
      <c r="F29" s="595">
        <v>8818655.5500000026</v>
      </c>
      <c r="G29" s="595">
        <v>0</v>
      </c>
      <c r="H29" s="596">
        <f t="shared" si="1"/>
        <v>8818655.5500000026</v>
      </c>
      <c r="L29" s="590"/>
      <c r="M29" s="590"/>
      <c r="N29" s="590"/>
      <c r="O29" s="590"/>
      <c r="P29" s="590"/>
      <c r="Q29" s="590"/>
    </row>
    <row r="30" spans="1:17">
      <c r="A30" s="352">
        <v>11</v>
      </c>
      <c r="B30" s="320" t="s">
        <v>713</v>
      </c>
      <c r="C30" s="595">
        <f>SUM(C31:C32)</f>
        <v>8513796.4670122191</v>
      </c>
      <c r="D30" s="595">
        <f>SUM(D31:D32)</f>
        <v>0</v>
      </c>
      <c r="E30" s="596">
        <f t="shared" si="0"/>
        <v>8513796.4670122191</v>
      </c>
      <c r="F30" s="595">
        <f>SUM(F31:F32)</f>
        <v>0</v>
      </c>
      <c r="G30" s="595">
        <f>SUM(G31:G32)</f>
        <v>0</v>
      </c>
      <c r="H30" s="596">
        <f t="shared" si="1"/>
        <v>0</v>
      </c>
      <c r="L30" s="590"/>
      <c r="M30" s="590"/>
      <c r="N30" s="590"/>
      <c r="O30" s="590"/>
      <c r="P30" s="590"/>
      <c r="Q30" s="590"/>
    </row>
    <row r="31" spans="1:17">
      <c r="A31" s="352">
        <v>11.1</v>
      </c>
      <c r="B31" s="324" t="s">
        <v>714</v>
      </c>
      <c r="C31" s="595">
        <v>8513796.4670122191</v>
      </c>
      <c r="D31" s="595">
        <v>0</v>
      </c>
      <c r="E31" s="596">
        <f t="shared" si="0"/>
        <v>8513796.4670122191</v>
      </c>
      <c r="F31" s="595">
        <v>0</v>
      </c>
      <c r="G31" s="595">
        <v>0</v>
      </c>
      <c r="H31" s="596">
        <f t="shared" si="1"/>
        <v>0</v>
      </c>
      <c r="L31" s="590"/>
      <c r="M31" s="590"/>
      <c r="N31" s="590"/>
      <c r="O31" s="590"/>
      <c r="P31" s="590"/>
      <c r="Q31" s="590"/>
    </row>
    <row r="32" spans="1:17">
      <c r="A32" s="352">
        <v>11.2</v>
      </c>
      <c r="B32" s="324" t="s">
        <v>715</v>
      </c>
      <c r="C32" s="595">
        <v>0</v>
      </c>
      <c r="D32" s="595">
        <v>0</v>
      </c>
      <c r="E32" s="596">
        <f t="shared" si="0"/>
        <v>0</v>
      </c>
      <c r="F32" s="595">
        <v>0</v>
      </c>
      <c r="G32" s="595">
        <v>0</v>
      </c>
      <c r="H32" s="596">
        <f t="shared" si="1"/>
        <v>0</v>
      </c>
      <c r="L32" s="590"/>
      <c r="M32" s="590"/>
      <c r="N32" s="590"/>
      <c r="O32" s="590"/>
      <c r="P32" s="590"/>
      <c r="Q32" s="590"/>
    </row>
    <row r="33" spans="1:17">
      <c r="A33" s="352">
        <v>13</v>
      </c>
      <c r="B33" s="320" t="s">
        <v>88</v>
      </c>
      <c r="C33" s="595">
        <v>46428749.233766109</v>
      </c>
      <c r="D33" s="595">
        <v>459858.44920000003</v>
      </c>
      <c r="E33" s="596">
        <f t="shared" si="0"/>
        <v>46888607.682966106</v>
      </c>
      <c r="F33" s="595">
        <v>94428580.76376608</v>
      </c>
      <c r="G33" s="595">
        <v>214326.59129999997</v>
      </c>
      <c r="H33" s="596">
        <f t="shared" si="1"/>
        <v>94642907.355066076</v>
      </c>
      <c r="L33" s="590"/>
      <c r="M33" s="590"/>
      <c r="N33" s="590"/>
      <c r="O33" s="590"/>
      <c r="P33" s="590"/>
      <c r="Q33" s="590"/>
    </row>
    <row r="34" spans="1:17">
      <c r="A34" s="352">
        <v>13.1</v>
      </c>
      <c r="B34" s="325" t="s">
        <v>716</v>
      </c>
      <c r="C34" s="595">
        <v>45010351.173766114</v>
      </c>
      <c r="D34" s="595">
        <v>0</v>
      </c>
      <c r="E34" s="596">
        <f t="shared" si="0"/>
        <v>45010351.173766114</v>
      </c>
      <c r="F34" s="595">
        <v>92390944.773766071</v>
      </c>
      <c r="G34" s="595">
        <v>0</v>
      </c>
      <c r="H34" s="596">
        <f t="shared" si="1"/>
        <v>92390944.773766071</v>
      </c>
      <c r="L34" s="590"/>
      <c r="M34" s="590"/>
      <c r="N34" s="590"/>
      <c r="O34" s="590"/>
      <c r="P34" s="590"/>
      <c r="Q34" s="590"/>
    </row>
    <row r="35" spans="1:17">
      <c r="A35" s="352">
        <v>13.2</v>
      </c>
      <c r="B35" s="325" t="s">
        <v>717</v>
      </c>
      <c r="C35" s="595">
        <v>0</v>
      </c>
      <c r="D35" s="595">
        <v>0</v>
      </c>
      <c r="E35" s="596">
        <f t="shared" si="0"/>
        <v>0</v>
      </c>
      <c r="F35" s="595">
        <v>0</v>
      </c>
      <c r="G35" s="595">
        <v>0</v>
      </c>
      <c r="H35" s="596">
        <f t="shared" si="1"/>
        <v>0</v>
      </c>
      <c r="L35" s="590"/>
      <c r="M35" s="590"/>
      <c r="N35" s="590"/>
      <c r="O35" s="590"/>
      <c r="P35" s="590"/>
      <c r="Q35" s="590"/>
    </row>
    <row r="36" spans="1:17">
      <c r="A36" s="352">
        <v>14</v>
      </c>
      <c r="B36" s="326" t="s">
        <v>718</v>
      </c>
      <c r="C36" s="595">
        <f>SUM(C7,C11,C13,C14,C15,C19,C22,C23,C24,C27,C30,C33)</f>
        <v>647510568.26003337</v>
      </c>
      <c r="D36" s="595">
        <f>SUM(D7,D11,D13,D14,D15,D19,D22,D23,D24,D27,D30,D33)</f>
        <v>1174529558.7166116</v>
      </c>
      <c r="E36" s="596">
        <f t="shared" si="0"/>
        <v>1822040126.976645</v>
      </c>
      <c r="F36" s="595">
        <f>SUM(F7,F11,F13,F14,F15,F19,F22,F23,F24,F27,F30,F33)</f>
        <v>633366533.20397806</v>
      </c>
      <c r="G36" s="595">
        <f>SUM(G7,G11,G13,G14,G15,G19,G22,G23,G24,G27,G30,G33)</f>
        <v>1258518664.4694452</v>
      </c>
      <c r="H36" s="596">
        <f t="shared" si="1"/>
        <v>1891885197.6734233</v>
      </c>
      <c r="L36" s="590"/>
      <c r="M36" s="590"/>
      <c r="N36" s="590"/>
      <c r="O36" s="590"/>
      <c r="P36" s="590"/>
      <c r="Q36" s="590"/>
    </row>
    <row r="37" spans="1:17" ht="22.5" customHeight="1">
      <c r="A37" s="352"/>
      <c r="B37" s="327" t="s">
        <v>93</v>
      </c>
      <c r="C37" s="746"/>
      <c r="D37" s="747"/>
      <c r="E37" s="747"/>
      <c r="F37" s="747"/>
      <c r="G37" s="747"/>
      <c r="H37" s="748"/>
      <c r="L37" s="590"/>
      <c r="M37" s="590"/>
      <c r="N37" s="590"/>
      <c r="O37" s="590"/>
      <c r="P37" s="590"/>
      <c r="Q37" s="590"/>
    </row>
    <row r="38" spans="1:17">
      <c r="A38" s="352">
        <v>15</v>
      </c>
      <c r="B38" s="328" t="s">
        <v>719</v>
      </c>
      <c r="C38" s="595">
        <v>0</v>
      </c>
      <c r="D38" s="595">
        <v>0</v>
      </c>
      <c r="E38" s="600">
        <f>C38+D38</f>
        <v>0</v>
      </c>
      <c r="F38" s="595">
        <v>0</v>
      </c>
      <c r="G38" s="595">
        <v>0</v>
      </c>
      <c r="H38" s="600">
        <f>F38+G38</f>
        <v>0</v>
      </c>
      <c r="L38" s="590"/>
      <c r="M38" s="590"/>
      <c r="N38" s="590"/>
      <c r="O38" s="590"/>
      <c r="P38" s="590"/>
      <c r="Q38" s="590"/>
    </row>
    <row r="39" spans="1:17">
      <c r="A39" s="352">
        <v>15.1</v>
      </c>
      <c r="B39" s="329" t="s">
        <v>699</v>
      </c>
      <c r="C39" s="595">
        <v>0</v>
      </c>
      <c r="D39" s="595">
        <v>0</v>
      </c>
      <c r="E39" s="600">
        <f t="shared" ref="E39:E53" si="2">C39+D39</f>
        <v>0</v>
      </c>
      <c r="F39" s="595">
        <v>0</v>
      </c>
      <c r="G39" s="595">
        <v>0</v>
      </c>
      <c r="H39" s="600">
        <f t="shared" ref="H39:H53" si="3">F39+G39</f>
        <v>0</v>
      </c>
      <c r="L39" s="590"/>
      <c r="M39" s="590"/>
      <c r="N39" s="590"/>
      <c r="O39" s="590"/>
      <c r="P39" s="590"/>
      <c r="Q39" s="590"/>
    </row>
    <row r="40" spans="1:17" ht="24" customHeight="1">
      <c r="A40" s="352">
        <v>16</v>
      </c>
      <c r="B40" s="322" t="s">
        <v>720</v>
      </c>
      <c r="C40" s="595">
        <v>0</v>
      </c>
      <c r="D40" s="595">
        <v>0</v>
      </c>
      <c r="E40" s="600">
        <f t="shared" si="2"/>
        <v>0</v>
      </c>
      <c r="F40" s="595">
        <v>0</v>
      </c>
      <c r="G40" s="595">
        <v>0</v>
      </c>
      <c r="H40" s="600">
        <f t="shared" si="3"/>
        <v>0</v>
      </c>
      <c r="L40" s="590"/>
      <c r="M40" s="590"/>
      <c r="N40" s="590"/>
      <c r="O40" s="590"/>
      <c r="P40" s="590"/>
      <c r="Q40" s="590"/>
    </row>
    <row r="41" spans="1:17" ht="21">
      <c r="A41" s="352">
        <v>17</v>
      </c>
      <c r="B41" s="322" t="s">
        <v>721</v>
      </c>
      <c r="C41" s="599">
        <f>SUM(C42:C45)</f>
        <v>226401271.06821939</v>
      </c>
      <c r="D41" s="599">
        <f>SUM(D42:D45)</f>
        <v>1052550766.2345077</v>
      </c>
      <c r="E41" s="600">
        <f t="shared" si="2"/>
        <v>1278952037.302727</v>
      </c>
      <c r="F41" s="599">
        <f>SUM(F42:F45)</f>
        <v>245679593.90346599</v>
      </c>
      <c r="G41" s="599">
        <f>SUM(G42:G45)</f>
        <v>1139192015.0387762</v>
      </c>
      <c r="H41" s="600">
        <f t="shared" si="3"/>
        <v>1384871608.9422421</v>
      </c>
      <c r="L41" s="590"/>
      <c r="M41" s="590"/>
      <c r="N41" s="590"/>
      <c r="O41" s="590"/>
      <c r="P41" s="590"/>
      <c r="Q41" s="590"/>
    </row>
    <row r="42" spans="1:17">
      <c r="A42" s="352">
        <v>17.100000000000001</v>
      </c>
      <c r="B42" s="330" t="s">
        <v>722</v>
      </c>
      <c r="C42" s="595">
        <v>219587972.82999998</v>
      </c>
      <c r="D42" s="595">
        <v>1049727396.6086001</v>
      </c>
      <c r="E42" s="600">
        <f t="shared" si="2"/>
        <v>1269315369.4386001</v>
      </c>
      <c r="F42" s="595">
        <v>238934336.76000002</v>
      </c>
      <c r="G42" s="595">
        <v>1138754770.592</v>
      </c>
      <c r="H42" s="600">
        <f t="shared" si="3"/>
        <v>1377689107.352</v>
      </c>
      <c r="L42" s="590"/>
      <c r="M42" s="590"/>
      <c r="N42" s="590"/>
      <c r="O42" s="590"/>
      <c r="P42" s="590"/>
      <c r="Q42" s="590"/>
    </row>
    <row r="43" spans="1:17">
      <c r="A43" s="352">
        <v>17.2</v>
      </c>
      <c r="B43" s="331" t="s">
        <v>89</v>
      </c>
      <c r="C43" s="595">
        <v>0</v>
      </c>
      <c r="D43" s="595">
        <v>0</v>
      </c>
      <c r="E43" s="600">
        <f t="shared" si="2"/>
        <v>0</v>
      </c>
      <c r="F43" s="595">
        <v>0</v>
      </c>
      <c r="G43" s="595">
        <v>0</v>
      </c>
      <c r="H43" s="600">
        <f t="shared" si="3"/>
        <v>0</v>
      </c>
      <c r="L43" s="590"/>
      <c r="M43" s="590"/>
      <c r="N43" s="590"/>
      <c r="O43" s="590"/>
      <c r="P43" s="590"/>
      <c r="Q43" s="590"/>
    </row>
    <row r="44" spans="1:17">
      <c r="A44" s="352">
        <v>17.3</v>
      </c>
      <c r="B44" s="330" t="s">
        <v>723</v>
      </c>
      <c r="C44" s="595">
        <v>0</v>
      </c>
      <c r="D44" s="595">
        <v>0</v>
      </c>
      <c r="E44" s="600">
        <f t="shared" si="2"/>
        <v>0</v>
      </c>
      <c r="F44" s="595">
        <v>0</v>
      </c>
      <c r="G44" s="595">
        <v>0</v>
      </c>
      <c r="H44" s="600">
        <f t="shared" si="3"/>
        <v>0</v>
      </c>
      <c r="L44" s="590"/>
      <c r="M44" s="590"/>
      <c r="N44" s="590"/>
      <c r="O44" s="590"/>
      <c r="P44" s="590"/>
      <c r="Q44" s="590"/>
    </row>
    <row r="45" spans="1:17">
      <c r="A45" s="352">
        <v>17.399999999999999</v>
      </c>
      <c r="B45" s="330" t="s">
        <v>724</v>
      </c>
      <c r="C45" s="595">
        <v>6813298.2382194204</v>
      </c>
      <c r="D45" s="595">
        <v>2823369.6259075846</v>
      </c>
      <c r="E45" s="600">
        <f t="shared" si="2"/>
        <v>9636667.8641270045</v>
      </c>
      <c r="F45" s="595">
        <v>6745257.1434659604</v>
      </c>
      <c r="G45" s="595">
        <v>437244.44677616702</v>
      </c>
      <c r="H45" s="600">
        <f t="shared" si="3"/>
        <v>7182501.590242127</v>
      </c>
      <c r="L45" s="590"/>
      <c r="M45" s="590"/>
      <c r="N45" s="590"/>
      <c r="O45" s="590"/>
      <c r="P45" s="590"/>
      <c r="Q45" s="590"/>
    </row>
    <row r="46" spans="1:17">
      <c r="A46" s="352">
        <v>18</v>
      </c>
      <c r="B46" s="320" t="s">
        <v>725</v>
      </c>
      <c r="C46" s="595">
        <v>191321.08267089719</v>
      </c>
      <c r="D46" s="595">
        <v>303482.48818640597</v>
      </c>
      <c r="E46" s="600">
        <f t="shared" si="2"/>
        <v>494803.57085730316</v>
      </c>
      <c r="F46" s="595">
        <v>227829.86695152771</v>
      </c>
      <c r="G46" s="595">
        <v>49882.527959179599</v>
      </c>
      <c r="H46" s="600">
        <f t="shared" si="3"/>
        <v>277712.39491070731</v>
      </c>
      <c r="L46" s="590"/>
      <c r="M46" s="590"/>
      <c r="N46" s="590"/>
      <c r="O46" s="590"/>
      <c r="P46" s="590"/>
      <c r="Q46" s="590"/>
    </row>
    <row r="47" spans="1:17">
      <c r="A47" s="352">
        <v>19</v>
      </c>
      <c r="B47" s="320" t="s">
        <v>726</v>
      </c>
      <c r="C47" s="599">
        <f>SUM(C48:C49)</f>
        <v>2580677.1735710576</v>
      </c>
      <c r="D47" s="599">
        <f>SUM(D48:D49)</f>
        <v>0</v>
      </c>
      <c r="E47" s="600">
        <f t="shared" si="2"/>
        <v>2580677.1735710576</v>
      </c>
      <c r="F47" s="599">
        <f>SUM(F48:F49)</f>
        <v>4458583.2376555689</v>
      </c>
      <c r="G47" s="599">
        <f>SUM(G48:G49)</f>
        <v>0</v>
      </c>
      <c r="H47" s="600">
        <f t="shared" si="3"/>
        <v>4458583.2376555689</v>
      </c>
      <c r="L47" s="590"/>
      <c r="M47" s="590"/>
      <c r="N47" s="590"/>
      <c r="O47" s="590"/>
      <c r="P47" s="590"/>
      <c r="Q47" s="590"/>
    </row>
    <row r="48" spans="1:17">
      <c r="A48" s="352">
        <v>19.100000000000001</v>
      </c>
      <c r="B48" s="332" t="s">
        <v>727</v>
      </c>
      <c r="C48" s="595">
        <v>0</v>
      </c>
      <c r="D48" s="595">
        <v>0</v>
      </c>
      <c r="E48" s="600">
        <f t="shared" si="2"/>
        <v>0</v>
      </c>
      <c r="F48" s="595">
        <v>2190320.1861640634</v>
      </c>
      <c r="G48" s="595">
        <v>0</v>
      </c>
      <c r="H48" s="600">
        <f t="shared" si="3"/>
        <v>2190320.1861640634</v>
      </c>
      <c r="L48" s="590"/>
      <c r="M48" s="590"/>
      <c r="N48" s="590"/>
      <c r="O48" s="590"/>
      <c r="P48" s="590"/>
      <c r="Q48" s="590"/>
    </row>
    <row r="49" spans="1:17">
      <c r="A49" s="352">
        <v>19.2</v>
      </c>
      <c r="B49" s="333" t="s">
        <v>728</v>
      </c>
      <c r="C49" s="595">
        <v>2580677.1735710576</v>
      </c>
      <c r="D49" s="595">
        <v>0</v>
      </c>
      <c r="E49" s="600">
        <f t="shared" si="2"/>
        <v>2580677.1735710576</v>
      </c>
      <c r="F49" s="595">
        <v>2268263.0514915055</v>
      </c>
      <c r="G49" s="595">
        <v>0</v>
      </c>
      <c r="H49" s="600">
        <f t="shared" si="3"/>
        <v>2268263.0514915055</v>
      </c>
      <c r="L49" s="590"/>
      <c r="M49" s="590"/>
      <c r="N49" s="590"/>
      <c r="O49" s="590"/>
      <c r="P49" s="590"/>
      <c r="Q49" s="590"/>
    </row>
    <row r="50" spans="1:17">
      <c r="A50" s="352">
        <v>20</v>
      </c>
      <c r="B50" s="334" t="s">
        <v>90</v>
      </c>
      <c r="C50" s="595">
        <v>0</v>
      </c>
      <c r="D50" s="595">
        <v>84096865.765199766</v>
      </c>
      <c r="E50" s="600">
        <f t="shared" si="2"/>
        <v>84096865.765199766</v>
      </c>
      <c r="F50" s="595">
        <v>0</v>
      </c>
      <c r="G50" s="595">
        <v>81288410.09379977</v>
      </c>
      <c r="H50" s="600">
        <f t="shared" si="3"/>
        <v>81288410.09379977</v>
      </c>
      <c r="L50" s="590"/>
      <c r="M50" s="590"/>
      <c r="N50" s="590"/>
      <c r="O50" s="590"/>
      <c r="P50" s="590"/>
      <c r="Q50" s="590"/>
    </row>
    <row r="51" spans="1:17">
      <c r="A51" s="352">
        <v>21</v>
      </c>
      <c r="B51" s="335" t="s">
        <v>78</v>
      </c>
      <c r="C51" s="595">
        <v>676079.59959999972</v>
      </c>
      <c r="D51" s="595">
        <v>702376.9770999999</v>
      </c>
      <c r="E51" s="600">
        <f t="shared" si="2"/>
        <v>1378456.5766999996</v>
      </c>
      <c r="F51" s="595">
        <v>349926.67000000004</v>
      </c>
      <c r="G51" s="595">
        <v>528274.17709999997</v>
      </c>
      <c r="H51" s="600">
        <f t="shared" si="3"/>
        <v>878200.84710000001</v>
      </c>
      <c r="L51" s="590"/>
      <c r="M51" s="590"/>
      <c r="N51" s="590"/>
      <c r="O51" s="590"/>
      <c r="P51" s="590"/>
      <c r="Q51" s="590"/>
    </row>
    <row r="52" spans="1:17">
      <c r="A52" s="352">
        <v>21.1</v>
      </c>
      <c r="B52" s="331" t="s">
        <v>729</v>
      </c>
      <c r="C52" s="595">
        <v>0</v>
      </c>
      <c r="D52" s="595">
        <v>0</v>
      </c>
      <c r="E52" s="600">
        <f t="shared" si="2"/>
        <v>0</v>
      </c>
      <c r="F52" s="595">
        <v>0</v>
      </c>
      <c r="G52" s="595">
        <v>0</v>
      </c>
      <c r="H52" s="600">
        <f t="shared" si="3"/>
        <v>0</v>
      </c>
      <c r="L52" s="590"/>
      <c r="M52" s="590"/>
      <c r="N52" s="590"/>
      <c r="O52" s="590"/>
      <c r="P52" s="590"/>
      <c r="Q52" s="590"/>
    </row>
    <row r="53" spans="1:17">
      <c r="A53" s="352">
        <v>22</v>
      </c>
      <c r="B53" s="334" t="s">
        <v>730</v>
      </c>
      <c r="C53" s="599">
        <f>SUM(C38,C40,C41,C46,C47,C50,C51)</f>
        <v>229849348.92406133</v>
      </c>
      <c r="D53" s="599">
        <f>SUM(D38,D40,D41,D46,D47,D50,D51)</f>
        <v>1137653491.4649937</v>
      </c>
      <c r="E53" s="600">
        <f t="shared" si="2"/>
        <v>1367502840.389055</v>
      </c>
      <c r="F53" s="599">
        <f>SUM(F38,F40,F41,F46,F47,F50,F51)</f>
        <v>250715933.67807308</v>
      </c>
      <c r="G53" s="599">
        <f>SUM(G38,G40,G41,G46,G47,G50,G51)</f>
        <v>1221058581.837635</v>
      </c>
      <c r="H53" s="600">
        <f t="shared" si="3"/>
        <v>1471774515.5157082</v>
      </c>
      <c r="L53" s="590"/>
      <c r="M53" s="590"/>
      <c r="N53" s="590"/>
      <c r="O53" s="590"/>
      <c r="P53" s="590"/>
      <c r="Q53" s="590"/>
    </row>
    <row r="54" spans="1:17" ht="24" customHeight="1">
      <c r="A54" s="352"/>
      <c r="B54" s="336" t="s">
        <v>731</v>
      </c>
      <c r="C54" s="749"/>
      <c r="D54" s="750"/>
      <c r="E54" s="750"/>
      <c r="F54" s="750"/>
      <c r="G54" s="750"/>
      <c r="H54" s="751"/>
      <c r="L54" s="590"/>
      <c r="M54" s="590"/>
      <c r="N54" s="590"/>
      <c r="O54" s="590"/>
      <c r="P54" s="590"/>
      <c r="Q54" s="590"/>
    </row>
    <row r="55" spans="1:17">
      <c r="A55" s="352">
        <v>23</v>
      </c>
      <c r="B55" s="534" t="s">
        <v>959</v>
      </c>
      <c r="C55" s="595">
        <v>114430000</v>
      </c>
      <c r="D55" s="595">
        <v>0</v>
      </c>
      <c r="E55" s="600">
        <f>C55+D55</f>
        <v>114430000</v>
      </c>
      <c r="F55" s="595">
        <v>114430000</v>
      </c>
      <c r="G55" s="595">
        <v>0</v>
      </c>
      <c r="H55" s="600">
        <f>F55+G55</f>
        <v>114430000</v>
      </c>
      <c r="L55" s="590"/>
      <c r="M55" s="590"/>
      <c r="N55" s="590"/>
      <c r="O55" s="590"/>
      <c r="P55" s="590"/>
      <c r="Q55" s="590"/>
    </row>
    <row r="56" spans="1:17">
      <c r="A56" s="352">
        <v>24</v>
      </c>
      <c r="B56" s="334" t="s">
        <v>732</v>
      </c>
      <c r="C56" s="595">
        <v>0</v>
      </c>
      <c r="D56" s="595">
        <v>0</v>
      </c>
      <c r="E56" s="600">
        <f t="shared" ref="E56:E69" si="4">C56+D56</f>
        <v>0</v>
      </c>
      <c r="F56" s="595">
        <v>0</v>
      </c>
      <c r="G56" s="595">
        <v>0</v>
      </c>
      <c r="H56" s="600">
        <f t="shared" ref="H56:H69" si="5">F56+G56</f>
        <v>0</v>
      </c>
      <c r="L56" s="590"/>
      <c r="M56" s="590"/>
      <c r="N56" s="590"/>
      <c r="O56" s="590"/>
      <c r="P56" s="590"/>
      <c r="Q56" s="590"/>
    </row>
    <row r="57" spans="1:17">
      <c r="A57" s="352">
        <v>25</v>
      </c>
      <c r="B57" s="334" t="s">
        <v>91</v>
      </c>
      <c r="C57" s="595">
        <v>0</v>
      </c>
      <c r="D57" s="595">
        <v>0</v>
      </c>
      <c r="E57" s="600">
        <f t="shared" si="4"/>
        <v>0</v>
      </c>
      <c r="F57" s="595">
        <v>0</v>
      </c>
      <c r="G57" s="595">
        <v>0</v>
      </c>
      <c r="H57" s="600">
        <f t="shared" si="5"/>
        <v>0</v>
      </c>
      <c r="L57" s="590"/>
      <c r="M57" s="590"/>
      <c r="N57" s="590"/>
      <c r="O57" s="590"/>
      <c r="P57" s="590"/>
      <c r="Q57" s="590"/>
    </row>
    <row r="58" spans="1:17">
      <c r="A58" s="352">
        <v>26</v>
      </c>
      <c r="B58" s="320" t="s">
        <v>733</v>
      </c>
      <c r="C58" s="595">
        <v>0</v>
      </c>
      <c r="D58" s="595">
        <v>0</v>
      </c>
      <c r="E58" s="600">
        <f t="shared" si="4"/>
        <v>0</v>
      </c>
      <c r="F58" s="595">
        <v>0</v>
      </c>
      <c r="G58" s="595">
        <v>0</v>
      </c>
      <c r="H58" s="600">
        <f t="shared" si="5"/>
        <v>0</v>
      </c>
      <c r="L58" s="590"/>
      <c r="M58" s="590"/>
      <c r="N58" s="590"/>
      <c r="O58" s="590"/>
      <c r="P58" s="590"/>
      <c r="Q58" s="590"/>
    </row>
    <row r="59" spans="1:17" ht="21">
      <c r="A59" s="352">
        <v>27</v>
      </c>
      <c r="B59" s="320" t="s">
        <v>734</v>
      </c>
      <c r="C59" s="599">
        <f>SUM(C60:C61)</f>
        <v>23845347.84</v>
      </c>
      <c r="D59" s="599">
        <f>SUM(D60:D61)</f>
        <v>0</v>
      </c>
      <c r="E59" s="600">
        <f t="shared" si="4"/>
        <v>23845347.84</v>
      </c>
      <c r="F59" s="595">
        <f>SUM(F60:F61)</f>
        <v>25763611.367281228</v>
      </c>
      <c r="G59" s="595">
        <f t="shared" ref="G59" si="6">SUM(G60:G61)</f>
        <v>0</v>
      </c>
      <c r="H59" s="600">
        <f t="shared" si="5"/>
        <v>25763611.367281228</v>
      </c>
      <c r="L59" s="590"/>
      <c r="M59" s="590"/>
      <c r="N59" s="590"/>
      <c r="O59" s="590"/>
      <c r="P59" s="590"/>
      <c r="Q59" s="590"/>
    </row>
    <row r="60" spans="1:17">
      <c r="A60" s="352">
        <v>27.1</v>
      </c>
      <c r="B60" s="332" t="s">
        <v>735</v>
      </c>
      <c r="C60" s="595">
        <v>23845347.84</v>
      </c>
      <c r="D60" s="595">
        <v>0</v>
      </c>
      <c r="E60" s="600">
        <f t="shared" si="4"/>
        <v>23845347.84</v>
      </c>
      <c r="F60" s="595">
        <v>25763611.367281228</v>
      </c>
      <c r="G60" s="595">
        <v>0</v>
      </c>
      <c r="H60" s="600">
        <f t="shared" si="5"/>
        <v>25763611.367281228</v>
      </c>
      <c r="L60" s="590"/>
      <c r="M60" s="590"/>
      <c r="N60" s="590"/>
      <c r="O60" s="590"/>
      <c r="P60" s="590"/>
      <c r="Q60" s="590"/>
    </row>
    <row r="61" spans="1:17">
      <c r="A61" s="352">
        <v>27.2</v>
      </c>
      <c r="B61" s="330" t="s">
        <v>736</v>
      </c>
      <c r="C61" s="595">
        <v>0</v>
      </c>
      <c r="D61" s="595">
        <v>0</v>
      </c>
      <c r="E61" s="600">
        <f t="shared" si="4"/>
        <v>0</v>
      </c>
      <c r="F61" s="595">
        <v>0</v>
      </c>
      <c r="G61" s="595">
        <v>0</v>
      </c>
      <c r="H61" s="600">
        <f t="shared" si="5"/>
        <v>0</v>
      </c>
      <c r="L61" s="590"/>
      <c r="M61" s="590"/>
      <c r="N61" s="590"/>
      <c r="O61" s="590"/>
      <c r="P61" s="590"/>
      <c r="Q61" s="590"/>
    </row>
    <row r="62" spans="1:17">
      <c r="A62" s="352">
        <v>28</v>
      </c>
      <c r="B62" s="335" t="s">
        <v>737</v>
      </c>
      <c r="C62" s="595">
        <v>0</v>
      </c>
      <c r="D62" s="595">
        <v>0</v>
      </c>
      <c r="E62" s="600">
        <f t="shared" si="4"/>
        <v>0</v>
      </c>
      <c r="F62" s="595">
        <v>0</v>
      </c>
      <c r="G62" s="595">
        <v>0</v>
      </c>
      <c r="H62" s="600">
        <f t="shared" si="5"/>
        <v>0</v>
      </c>
      <c r="L62" s="590"/>
      <c r="M62" s="590"/>
      <c r="N62" s="590"/>
      <c r="O62" s="590"/>
      <c r="P62" s="590"/>
      <c r="Q62" s="590"/>
    </row>
    <row r="63" spans="1:17">
      <c r="A63" s="352">
        <v>29</v>
      </c>
      <c r="B63" s="320" t="s">
        <v>738</v>
      </c>
      <c r="C63" s="599">
        <f>SUM(C64:C66)</f>
        <v>21959.87840556982</v>
      </c>
      <c r="D63" s="599">
        <f>SUM(D64:D66)</f>
        <v>0</v>
      </c>
      <c r="E63" s="600">
        <f t="shared" si="4"/>
        <v>21959.87840556982</v>
      </c>
      <c r="F63" s="595">
        <v>66516.79056600749</v>
      </c>
      <c r="G63" s="595">
        <v>0</v>
      </c>
      <c r="H63" s="600">
        <f t="shared" si="5"/>
        <v>66516.79056600749</v>
      </c>
      <c r="L63" s="590"/>
      <c r="M63" s="590"/>
      <c r="N63" s="590"/>
      <c r="O63" s="590"/>
      <c r="P63" s="590"/>
      <c r="Q63" s="590"/>
    </row>
    <row r="64" spans="1:17">
      <c r="A64" s="352">
        <v>29.1</v>
      </c>
      <c r="B64" s="321" t="s">
        <v>739</v>
      </c>
      <c r="C64" s="595">
        <v>0</v>
      </c>
      <c r="D64" s="595">
        <v>0</v>
      </c>
      <c r="E64" s="600">
        <f t="shared" si="4"/>
        <v>0</v>
      </c>
      <c r="F64" s="595">
        <v>0</v>
      </c>
      <c r="G64" s="595">
        <v>0</v>
      </c>
      <c r="H64" s="600">
        <f t="shared" si="5"/>
        <v>0</v>
      </c>
      <c r="L64" s="590"/>
      <c r="M64" s="590"/>
      <c r="N64" s="590"/>
      <c r="O64" s="590"/>
      <c r="P64" s="590"/>
      <c r="Q64" s="590"/>
    </row>
    <row r="65" spans="1:17" ht="24.95" customHeight="1">
      <c r="A65" s="352">
        <v>29.2</v>
      </c>
      <c r="B65" s="332" t="s">
        <v>740</v>
      </c>
      <c r="C65" s="595">
        <v>0</v>
      </c>
      <c r="D65" s="595">
        <v>0</v>
      </c>
      <c r="E65" s="600">
        <f t="shared" si="4"/>
        <v>0</v>
      </c>
      <c r="F65" s="595">
        <v>0</v>
      </c>
      <c r="G65" s="595">
        <v>0</v>
      </c>
      <c r="H65" s="600">
        <f t="shared" si="5"/>
        <v>0</v>
      </c>
      <c r="L65" s="590"/>
      <c r="M65" s="590"/>
      <c r="N65" s="590"/>
      <c r="O65" s="590"/>
      <c r="P65" s="590"/>
      <c r="Q65" s="590"/>
    </row>
    <row r="66" spans="1:17" ht="22.5" customHeight="1">
      <c r="A66" s="352">
        <v>29.3</v>
      </c>
      <c r="B66" s="324" t="s">
        <v>741</v>
      </c>
      <c r="C66" s="595">
        <v>21959.87840556982</v>
      </c>
      <c r="D66" s="595">
        <v>0</v>
      </c>
      <c r="E66" s="600">
        <f t="shared" si="4"/>
        <v>21959.87840556982</v>
      </c>
      <c r="F66" s="595">
        <v>66516.79056600749</v>
      </c>
      <c r="G66" s="595">
        <v>0</v>
      </c>
      <c r="H66" s="600">
        <f t="shared" si="5"/>
        <v>66516.79056600749</v>
      </c>
      <c r="L66" s="590"/>
      <c r="M66" s="590"/>
      <c r="N66" s="590"/>
      <c r="O66" s="590"/>
      <c r="P66" s="590"/>
      <c r="Q66" s="590"/>
    </row>
    <row r="67" spans="1:17">
      <c r="A67" s="352">
        <v>30</v>
      </c>
      <c r="B67" s="320" t="s">
        <v>92</v>
      </c>
      <c r="C67" s="595">
        <v>316239985.23888457</v>
      </c>
      <c r="D67" s="595">
        <v>0</v>
      </c>
      <c r="E67" s="600">
        <f t="shared" si="4"/>
        <v>316239985.23888457</v>
      </c>
      <c r="F67" s="595">
        <v>279850549.81046784</v>
      </c>
      <c r="G67" s="595">
        <v>0</v>
      </c>
      <c r="H67" s="600">
        <f t="shared" si="5"/>
        <v>279850549.81046784</v>
      </c>
      <c r="L67" s="590"/>
      <c r="M67" s="590"/>
      <c r="N67" s="590"/>
      <c r="O67" s="590"/>
      <c r="P67" s="590"/>
      <c r="Q67" s="590"/>
    </row>
    <row r="68" spans="1:17">
      <c r="A68" s="352">
        <v>31</v>
      </c>
      <c r="B68" s="337" t="s">
        <v>742</v>
      </c>
      <c r="C68" s="599">
        <f>SUM(C55,C56,C57,C58,C59,C62,C63,C67)</f>
        <v>454537292.95729017</v>
      </c>
      <c r="D68" s="599">
        <f>SUM(D55,D56,D57,D58,D59,D62,D63,D67)</f>
        <v>0</v>
      </c>
      <c r="E68" s="600">
        <f t="shared" si="4"/>
        <v>454537292.95729017</v>
      </c>
      <c r="F68" s="595">
        <f>SUM(F55,F56,F57,F58,F59,F62,F63,F67)</f>
        <v>420110677.96831506</v>
      </c>
      <c r="G68" s="595">
        <f>SUM(G55,G56,G57,G58,G59,G62,G63,G67)</f>
        <v>0</v>
      </c>
      <c r="H68" s="600">
        <f t="shared" si="5"/>
        <v>420110677.96831506</v>
      </c>
      <c r="L68" s="590"/>
      <c r="M68" s="590"/>
      <c r="N68" s="590"/>
      <c r="O68" s="590"/>
      <c r="P68" s="590"/>
      <c r="Q68" s="590"/>
    </row>
    <row r="69" spans="1:17">
      <c r="A69" s="352">
        <v>32</v>
      </c>
      <c r="B69" s="338" t="s">
        <v>743</v>
      </c>
      <c r="C69" s="599">
        <f>SUM(C53,C68)</f>
        <v>684386641.88135147</v>
      </c>
      <c r="D69" s="599">
        <f>SUM(D53,D68)</f>
        <v>1137653491.4649937</v>
      </c>
      <c r="E69" s="600">
        <f t="shared" si="4"/>
        <v>1822040133.3463452</v>
      </c>
      <c r="F69" s="595">
        <f>SUM(F53,F68)</f>
        <v>670826611.64638817</v>
      </c>
      <c r="G69" s="595">
        <f>SUM(G53,G68)</f>
        <v>1221058581.837635</v>
      </c>
      <c r="H69" s="600">
        <f t="shared" si="5"/>
        <v>1891885193.4840231</v>
      </c>
      <c r="L69" s="590"/>
      <c r="M69" s="590"/>
      <c r="N69" s="590"/>
      <c r="O69" s="590"/>
      <c r="P69" s="590"/>
      <c r="Q69" s="590"/>
    </row>
    <row r="70" spans="1:17">
      <c r="L70" s="590"/>
      <c r="M70" s="590"/>
      <c r="N70" s="590"/>
      <c r="O70" s="590"/>
      <c r="P70" s="590"/>
      <c r="Q70" s="590"/>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Y35"/>
  <sheetViews>
    <sheetView showGridLines="0" zoomScale="80" zoomScaleNormal="80" workbookViewId="0"/>
  </sheetViews>
  <sheetFormatPr defaultColWidth="9.140625" defaultRowHeight="12.75"/>
  <cols>
    <col min="1" max="1" width="11.85546875" style="391" bestFit="1" customWidth="1"/>
    <col min="2" max="2" width="93.42578125" style="391" customWidth="1"/>
    <col min="3" max="3" width="17.42578125" style="391" bestFit="1" customWidth="1"/>
    <col min="4" max="5" width="16.140625" style="391" customWidth="1"/>
    <col min="6" max="6" width="16.140625" style="406" customWidth="1"/>
    <col min="7" max="7" width="25.140625" style="406" customWidth="1"/>
    <col min="8" max="8" width="16.140625" style="391" customWidth="1"/>
    <col min="9" max="11" width="16.140625" style="406" customWidth="1"/>
    <col min="12" max="12" width="26.140625" style="406" customWidth="1"/>
    <col min="13" max="16384" width="9.140625" style="391"/>
  </cols>
  <sheetData>
    <row r="1" spans="1:25" ht="13.5">
      <c r="A1" s="296" t="s">
        <v>97</v>
      </c>
      <c r="B1" s="217" t="str">
        <f>Info!C2</f>
        <v>სს "ბანკი ქართუ"</v>
      </c>
      <c r="F1" s="391"/>
      <c r="G1" s="391"/>
      <c r="I1" s="391"/>
      <c r="J1" s="391"/>
      <c r="K1" s="391"/>
      <c r="L1" s="391"/>
    </row>
    <row r="2" spans="1:25">
      <c r="A2" s="296" t="s">
        <v>98</v>
      </c>
      <c r="B2" s="668">
        <f>'1. key ratios'!B2</f>
        <v>45747</v>
      </c>
      <c r="F2" s="391"/>
      <c r="G2" s="391"/>
      <c r="I2" s="391"/>
      <c r="J2" s="391"/>
      <c r="K2" s="391"/>
      <c r="L2" s="391"/>
    </row>
    <row r="3" spans="1:25">
      <c r="A3" s="298" t="s">
        <v>563</v>
      </c>
      <c r="F3" s="391"/>
      <c r="G3" s="391"/>
      <c r="I3" s="391"/>
      <c r="J3" s="391"/>
      <c r="K3" s="391"/>
      <c r="L3" s="391"/>
    </row>
    <row r="4" spans="1:25">
      <c r="F4" s="391"/>
      <c r="G4" s="391"/>
      <c r="I4" s="391"/>
      <c r="J4" s="391"/>
      <c r="K4" s="391"/>
      <c r="L4" s="391"/>
    </row>
    <row r="5" spans="1:25" ht="37.5" customHeight="1">
      <c r="A5" s="807" t="s">
        <v>564</v>
      </c>
      <c r="B5" s="808"/>
      <c r="C5" s="860" t="s">
        <v>565</v>
      </c>
      <c r="D5" s="861"/>
      <c r="E5" s="861"/>
      <c r="F5" s="861"/>
      <c r="G5" s="861"/>
      <c r="H5" s="860" t="s">
        <v>874</v>
      </c>
      <c r="I5" s="862"/>
      <c r="J5" s="862"/>
      <c r="K5" s="862"/>
      <c r="L5" s="863"/>
    </row>
    <row r="6" spans="1:25" ht="39.6" customHeight="1">
      <c r="A6" s="811"/>
      <c r="B6" s="812"/>
      <c r="C6" s="302"/>
      <c r="D6" s="389" t="s">
        <v>859</v>
      </c>
      <c r="E6" s="389" t="s">
        <v>858</v>
      </c>
      <c r="F6" s="389" t="s">
        <v>857</v>
      </c>
      <c r="G6" s="389" t="s">
        <v>856</v>
      </c>
      <c r="H6" s="407"/>
      <c r="I6" s="389" t="s">
        <v>859</v>
      </c>
      <c r="J6" s="389" t="s">
        <v>858</v>
      </c>
      <c r="K6" s="389" t="s">
        <v>857</v>
      </c>
      <c r="L6" s="389" t="s">
        <v>856</v>
      </c>
    </row>
    <row r="7" spans="1:25" ht="18">
      <c r="A7" s="381">
        <v>1</v>
      </c>
      <c r="B7" s="394" t="s">
        <v>487</v>
      </c>
      <c r="C7" s="704">
        <v>8325825.8856290299</v>
      </c>
      <c r="D7" s="673">
        <v>7570079.4081583368</v>
      </c>
      <c r="E7" s="673">
        <v>9933.1</v>
      </c>
      <c r="F7" s="673">
        <v>745813.37747069262</v>
      </c>
      <c r="G7" s="705">
        <v>0</v>
      </c>
      <c r="H7" s="673">
        <v>301598.8359181431</v>
      </c>
      <c r="I7" s="673">
        <v>196207.55472133649</v>
      </c>
      <c r="J7" s="673">
        <v>16.787332599548144</v>
      </c>
      <c r="K7" s="673">
        <v>105374.49386420711</v>
      </c>
      <c r="L7" s="673">
        <v>0</v>
      </c>
      <c r="N7" s="688"/>
      <c r="O7" s="688"/>
      <c r="P7" s="688"/>
      <c r="Q7" s="688"/>
      <c r="R7" s="688"/>
      <c r="S7" s="688"/>
      <c r="T7" s="688"/>
      <c r="U7" s="688"/>
      <c r="V7" s="688"/>
      <c r="W7" s="688"/>
      <c r="X7" s="688"/>
      <c r="Y7" s="688"/>
    </row>
    <row r="8" spans="1:25">
      <c r="A8" s="381">
        <v>2</v>
      </c>
      <c r="B8" s="394" t="s">
        <v>488</v>
      </c>
      <c r="C8" s="704">
        <v>24836975.133066617</v>
      </c>
      <c r="D8" s="673">
        <v>24663790.469752539</v>
      </c>
      <c r="E8" s="673">
        <v>8995.83</v>
      </c>
      <c r="F8" s="680">
        <v>164188.83331408165</v>
      </c>
      <c r="G8" s="680">
        <v>0</v>
      </c>
      <c r="H8" s="673">
        <v>115560.4800072676</v>
      </c>
      <c r="I8" s="680">
        <v>110371.30897734877</v>
      </c>
      <c r="J8" s="680">
        <v>899.58300000000008</v>
      </c>
      <c r="K8" s="680">
        <v>4289.5880299188248</v>
      </c>
      <c r="L8" s="680">
        <v>0</v>
      </c>
      <c r="N8" s="688"/>
      <c r="O8" s="688"/>
      <c r="P8" s="688"/>
      <c r="Q8" s="688"/>
      <c r="R8" s="688"/>
      <c r="S8" s="688"/>
      <c r="T8" s="688"/>
      <c r="U8" s="688"/>
      <c r="V8" s="688"/>
      <c r="W8" s="688"/>
    </row>
    <row r="9" spans="1:25">
      <c r="A9" s="381">
        <v>3</v>
      </c>
      <c r="B9" s="394" t="s">
        <v>835</v>
      </c>
      <c r="C9" s="704">
        <v>0</v>
      </c>
      <c r="D9" s="673">
        <v>0</v>
      </c>
      <c r="E9" s="673">
        <v>0</v>
      </c>
      <c r="F9" s="678">
        <v>0</v>
      </c>
      <c r="G9" s="678">
        <v>0</v>
      </c>
      <c r="H9" s="673">
        <v>0</v>
      </c>
      <c r="I9" s="678">
        <v>0</v>
      </c>
      <c r="J9" s="678">
        <v>0</v>
      </c>
      <c r="K9" s="678">
        <v>0</v>
      </c>
      <c r="L9" s="678">
        <v>0</v>
      </c>
      <c r="N9" s="688"/>
      <c r="O9" s="688"/>
      <c r="P9" s="688"/>
      <c r="Q9" s="688"/>
      <c r="R9" s="688"/>
      <c r="S9" s="688"/>
      <c r="T9" s="688"/>
      <c r="U9" s="688"/>
      <c r="V9" s="688"/>
      <c r="W9" s="688"/>
    </row>
    <row r="10" spans="1:25">
      <c r="A10" s="381">
        <v>4</v>
      </c>
      <c r="B10" s="394" t="s">
        <v>489</v>
      </c>
      <c r="C10" s="704">
        <v>105707429.83745752</v>
      </c>
      <c r="D10" s="673">
        <v>74709210.187525108</v>
      </c>
      <c r="E10" s="673">
        <v>6439693.4903102536</v>
      </c>
      <c r="F10" s="678">
        <v>24558526.159622185</v>
      </c>
      <c r="G10" s="678">
        <v>0</v>
      </c>
      <c r="H10" s="673">
        <v>503167.78347747482</v>
      </c>
      <c r="I10" s="678">
        <v>350608.93008839973</v>
      </c>
      <c r="J10" s="678">
        <v>29766.222579999998</v>
      </c>
      <c r="K10" s="678">
        <v>122792.63080907495</v>
      </c>
      <c r="L10" s="678">
        <v>0</v>
      </c>
      <c r="N10" s="688"/>
      <c r="O10" s="688"/>
      <c r="P10" s="688"/>
      <c r="Q10" s="688"/>
      <c r="R10" s="688"/>
      <c r="S10" s="688"/>
      <c r="T10" s="688"/>
      <c r="U10" s="688"/>
      <c r="V10" s="688"/>
      <c r="W10" s="688"/>
    </row>
    <row r="11" spans="1:25">
      <c r="A11" s="381">
        <v>5</v>
      </c>
      <c r="B11" s="394" t="s">
        <v>490</v>
      </c>
      <c r="C11" s="704">
        <v>110090668.02479447</v>
      </c>
      <c r="D11" s="673">
        <v>99712423.752858251</v>
      </c>
      <c r="E11" s="673">
        <v>7448160.1063532317</v>
      </c>
      <c r="F11" s="678">
        <v>2930084.1655830001</v>
      </c>
      <c r="G11" s="678">
        <v>0</v>
      </c>
      <c r="H11" s="673">
        <v>1132924.482715474</v>
      </c>
      <c r="I11" s="678">
        <v>93931.19993401703</v>
      </c>
      <c r="J11" s="678">
        <v>859624.36942</v>
      </c>
      <c r="K11" s="678">
        <v>179368.91336145703</v>
      </c>
      <c r="L11" s="678">
        <v>0</v>
      </c>
      <c r="N11" s="688"/>
      <c r="O11" s="688"/>
      <c r="P11" s="688"/>
      <c r="Q11" s="688"/>
      <c r="R11" s="688"/>
      <c r="S11" s="688"/>
      <c r="T11" s="688"/>
      <c r="U11" s="688"/>
      <c r="V11" s="688"/>
      <c r="W11" s="688"/>
    </row>
    <row r="12" spans="1:25">
      <c r="A12" s="381">
        <v>6</v>
      </c>
      <c r="B12" s="394" t="s">
        <v>491</v>
      </c>
      <c r="C12" s="704">
        <v>21869937.315159705</v>
      </c>
      <c r="D12" s="673">
        <v>20646104.12997606</v>
      </c>
      <c r="E12" s="673">
        <v>1222965.5551836453</v>
      </c>
      <c r="F12" s="678">
        <v>867.63</v>
      </c>
      <c r="G12" s="678">
        <v>0</v>
      </c>
      <c r="H12" s="673">
        <v>29358.836453223663</v>
      </c>
      <c r="I12" s="678">
        <v>22376.378673223666</v>
      </c>
      <c r="J12" s="678">
        <v>6114.8277799999996</v>
      </c>
      <c r="K12" s="678">
        <v>867.63</v>
      </c>
      <c r="L12" s="678">
        <v>0</v>
      </c>
      <c r="N12" s="688"/>
      <c r="O12" s="688"/>
      <c r="P12" s="688"/>
      <c r="Q12" s="688"/>
      <c r="R12" s="688"/>
      <c r="S12" s="688"/>
      <c r="T12" s="688"/>
      <c r="U12" s="688"/>
      <c r="V12" s="688"/>
      <c r="W12" s="688"/>
    </row>
    <row r="13" spans="1:25">
      <c r="A13" s="381">
        <v>7</v>
      </c>
      <c r="B13" s="394" t="s">
        <v>492</v>
      </c>
      <c r="C13" s="704">
        <v>20089828.948575649</v>
      </c>
      <c r="D13" s="673">
        <v>8309513.6044106567</v>
      </c>
      <c r="E13" s="673">
        <v>5818059.750008001</v>
      </c>
      <c r="F13" s="678">
        <v>5962255.5941569954</v>
      </c>
      <c r="G13" s="678">
        <v>0</v>
      </c>
      <c r="H13" s="673">
        <v>89929.403753157647</v>
      </c>
      <c r="I13" s="678">
        <v>2651.3134586599567</v>
      </c>
      <c r="J13" s="678">
        <v>57466.812318890195</v>
      </c>
      <c r="K13" s="678">
        <v>29811.277975607496</v>
      </c>
      <c r="L13" s="678">
        <v>0</v>
      </c>
      <c r="N13" s="688"/>
      <c r="O13" s="688"/>
      <c r="P13" s="688"/>
      <c r="Q13" s="688"/>
      <c r="R13" s="688"/>
      <c r="S13" s="688"/>
      <c r="T13" s="688"/>
      <c r="U13" s="688"/>
      <c r="V13" s="688"/>
      <c r="W13" s="688"/>
    </row>
    <row r="14" spans="1:25">
      <c r="A14" s="381">
        <v>8</v>
      </c>
      <c r="B14" s="394" t="s">
        <v>493</v>
      </c>
      <c r="C14" s="704">
        <v>5829447.2774253925</v>
      </c>
      <c r="D14" s="673">
        <v>4267867.6077841735</v>
      </c>
      <c r="E14" s="673">
        <v>1293922.5148215548</v>
      </c>
      <c r="F14" s="678">
        <v>267657.15481966588</v>
      </c>
      <c r="G14" s="678">
        <v>0</v>
      </c>
      <c r="H14" s="673">
        <v>131417.67381634036</v>
      </c>
      <c r="I14" s="678">
        <v>2709.7707976066954</v>
      </c>
      <c r="J14" s="678">
        <v>2563.3690538182254</v>
      </c>
      <c r="K14" s="678">
        <v>126144.53396491546</v>
      </c>
      <c r="L14" s="678">
        <v>0</v>
      </c>
      <c r="N14" s="688"/>
      <c r="O14" s="688"/>
      <c r="P14" s="688"/>
      <c r="Q14" s="688"/>
      <c r="R14" s="688"/>
      <c r="S14" s="688"/>
      <c r="T14" s="688"/>
      <c r="U14" s="688"/>
      <c r="V14" s="688"/>
      <c r="W14" s="688"/>
    </row>
    <row r="15" spans="1:25">
      <c r="A15" s="381">
        <v>9</v>
      </c>
      <c r="B15" s="394" t="s">
        <v>494</v>
      </c>
      <c r="C15" s="704">
        <v>188392881.73083457</v>
      </c>
      <c r="D15" s="673">
        <v>182512406.69188413</v>
      </c>
      <c r="E15" s="673">
        <v>2229470.1426048796</v>
      </c>
      <c r="F15" s="678">
        <v>3651004.8963455758</v>
      </c>
      <c r="G15" s="678">
        <v>0</v>
      </c>
      <c r="H15" s="673">
        <v>2710021.0947242058</v>
      </c>
      <c r="I15" s="678">
        <v>1546835.781569941</v>
      </c>
      <c r="J15" s="678">
        <v>14327.113428985289</v>
      </c>
      <c r="K15" s="678">
        <v>1148858.1997252796</v>
      </c>
      <c r="L15" s="678">
        <v>0</v>
      </c>
      <c r="N15" s="688"/>
      <c r="O15" s="688"/>
      <c r="P15" s="688"/>
      <c r="Q15" s="688"/>
      <c r="R15" s="688"/>
      <c r="S15" s="688"/>
      <c r="T15" s="688"/>
      <c r="U15" s="688"/>
      <c r="V15" s="688"/>
      <c r="W15" s="688"/>
    </row>
    <row r="16" spans="1:25">
      <c r="A16" s="381">
        <v>10</v>
      </c>
      <c r="B16" s="394" t="s">
        <v>495</v>
      </c>
      <c r="C16" s="704">
        <v>5464043.1119266488</v>
      </c>
      <c r="D16" s="673">
        <v>5453281.1719266484</v>
      </c>
      <c r="E16" s="673">
        <v>10761.94</v>
      </c>
      <c r="F16" s="678">
        <v>0</v>
      </c>
      <c r="G16" s="678">
        <v>0</v>
      </c>
      <c r="H16" s="673">
        <v>1232.0164819051765</v>
      </c>
      <c r="I16" s="678">
        <v>1212.5269156388151</v>
      </c>
      <c r="J16" s="678">
        <v>19.489566266361326</v>
      </c>
      <c r="K16" s="678">
        <v>0</v>
      </c>
      <c r="L16" s="678">
        <v>0</v>
      </c>
      <c r="N16" s="688"/>
      <c r="O16" s="688"/>
      <c r="P16" s="688"/>
      <c r="Q16" s="688"/>
      <c r="R16" s="688"/>
      <c r="S16" s="688"/>
      <c r="T16" s="688"/>
      <c r="U16" s="688"/>
      <c r="V16" s="688"/>
      <c r="W16" s="688"/>
    </row>
    <row r="17" spans="1:23">
      <c r="A17" s="381">
        <v>11</v>
      </c>
      <c r="B17" s="394" t="s">
        <v>496</v>
      </c>
      <c r="C17" s="704">
        <v>327769.47886000003</v>
      </c>
      <c r="D17" s="673">
        <v>327769.47886000003</v>
      </c>
      <c r="E17" s="673">
        <v>0</v>
      </c>
      <c r="F17" s="678">
        <v>0</v>
      </c>
      <c r="G17" s="678">
        <v>0</v>
      </c>
      <c r="H17" s="673">
        <v>85.082729881587483</v>
      </c>
      <c r="I17" s="678">
        <v>85.082729881587483</v>
      </c>
      <c r="J17" s="678">
        <v>0</v>
      </c>
      <c r="K17" s="678">
        <v>0</v>
      </c>
      <c r="L17" s="678">
        <v>0</v>
      </c>
      <c r="N17" s="688"/>
      <c r="O17" s="688"/>
      <c r="P17" s="688"/>
      <c r="Q17" s="688"/>
      <c r="R17" s="688"/>
      <c r="S17" s="688"/>
      <c r="T17" s="688"/>
      <c r="U17" s="688"/>
      <c r="V17" s="688"/>
      <c r="W17" s="688"/>
    </row>
    <row r="18" spans="1:23">
      <c r="A18" s="381">
        <v>12</v>
      </c>
      <c r="B18" s="394" t="s">
        <v>497</v>
      </c>
      <c r="C18" s="704">
        <v>48905252.790667333</v>
      </c>
      <c r="D18" s="673">
        <v>7985250.9919081051</v>
      </c>
      <c r="E18" s="673">
        <v>15108207.042035</v>
      </c>
      <c r="F18" s="678">
        <v>25811794.756724223</v>
      </c>
      <c r="G18" s="678">
        <v>0</v>
      </c>
      <c r="H18" s="673">
        <v>12190956.817550022</v>
      </c>
      <c r="I18" s="678">
        <v>11164.382396487053</v>
      </c>
      <c r="J18" s="678">
        <v>1957925.7504200533</v>
      </c>
      <c r="K18" s="678">
        <v>10221866.684733482</v>
      </c>
      <c r="L18" s="678">
        <v>0</v>
      </c>
      <c r="N18" s="688"/>
      <c r="O18" s="688"/>
      <c r="P18" s="688"/>
      <c r="Q18" s="688"/>
      <c r="R18" s="688"/>
      <c r="S18" s="688"/>
      <c r="T18" s="688"/>
      <c r="U18" s="688"/>
      <c r="V18" s="688"/>
      <c r="W18" s="688"/>
    </row>
    <row r="19" spans="1:23">
      <c r="A19" s="381">
        <v>13</v>
      </c>
      <c r="B19" s="394" t="s">
        <v>498</v>
      </c>
      <c r="C19" s="704">
        <v>18549632.33026265</v>
      </c>
      <c r="D19" s="673">
        <v>15410687.961959219</v>
      </c>
      <c r="E19" s="673">
        <v>150216.54</v>
      </c>
      <c r="F19" s="678">
        <v>2988727.8283034316</v>
      </c>
      <c r="G19" s="678">
        <v>0</v>
      </c>
      <c r="H19" s="673">
        <v>1154212.713696481</v>
      </c>
      <c r="I19" s="678">
        <v>142469.12165856324</v>
      </c>
      <c r="J19" s="678">
        <v>3111.692557917987</v>
      </c>
      <c r="K19" s="678">
        <v>1008631.8994799998</v>
      </c>
      <c r="L19" s="678">
        <v>0</v>
      </c>
      <c r="N19" s="688"/>
      <c r="O19" s="688"/>
      <c r="P19" s="688"/>
      <c r="Q19" s="688"/>
      <c r="R19" s="688"/>
      <c r="S19" s="688"/>
      <c r="T19" s="688"/>
      <c r="U19" s="688"/>
      <c r="V19" s="688"/>
      <c r="W19" s="688"/>
    </row>
    <row r="20" spans="1:23">
      <c r="A20" s="381">
        <v>14</v>
      </c>
      <c r="B20" s="394" t="s">
        <v>499</v>
      </c>
      <c r="C20" s="704">
        <v>45925892.021847032</v>
      </c>
      <c r="D20" s="673">
        <v>23267973.531257216</v>
      </c>
      <c r="E20" s="673">
        <v>2843907.641218842</v>
      </c>
      <c r="F20" s="678">
        <v>19266878.720693003</v>
      </c>
      <c r="G20" s="678">
        <v>547132.12867800007</v>
      </c>
      <c r="H20" s="673">
        <v>1028596.6643798586</v>
      </c>
      <c r="I20" s="678">
        <v>31881.334938389689</v>
      </c>
      <c r="J20" s="678">
        <v>15894.243704509825</v>
      </c>
      <c r="K20" s="678">
        <v>978085.42509356921</v>
      </c>
      <c r="L20" s="678">
        <v>2735.6606433900006</v>
      </c>
      <c r="N20" s="688"/>
      <c r="O20" s="688"/>
      <c r="P20" s="688"/>
      <c r="Q20" s="688"/>
      <c r="R20" s="688"/>
      <c r="S20" s="688"/>
      <c r="T20" s="688"/>
      <c r="U20" s="688"/>
      <c r="V20" s="688"/>
      <c r="W20" s="688"/>
    </row>
    <row r="21" spans="1:23">
      <c r="A21" s="381">
        <v>15</v>
      </c>
      <c r="B21" s="394" t="s">
        <v>500</v>
      </c>
      <c r="C21" s="704">
        <v>2121700.5141730001</v>
      </c>
      <c r="D21" s="673">
        <v>1674306.4500000002</v>
      </c>
      <c r="E21" s="673">
        <v>0</v>
      </c>
      <c r="F21" s="678">
        <v>447394.06417299999</v>
      </c>
      <c r="G21" s="678">
        <v>0</v>
      </c>
      <c r="H21" s="673">
        <v>88962.258468005632</v>
      </c>
      <c r="I21" s="678">
        <v>258.78130687219965</v>
      </c>
      <c r="J21" s="678">
        <v>0</v>
      </c>
      <c r="K21" s="678">
        <v>88703.477161133429</v>
      </c>
      <c r="L21" s="678">
        <v>0</v>
      </c>
      <c r="N21" s="688"/>
      <c r="O21" s="688"/>
      <c r="P21" s="688"/>
      <c r="Q21" s="688"/>
      <c r="R21" s="688"/>
      <c r="S21" s="688"/>
      <c r="T21" s="688"/>
      <c r="U21" s="688"/>
      <c r="V21" s="688"/>
      <c r="W21" s="688"/>
    </row>
    <row r="22" spans="1:23">
      <c r="A22" s="381">
        <v>16</v>
      </c>
      <c r="B22" s="394" t="s">
        <v>501</v>
      </c>
      <c r="C22" s="704">
        <v>82266206.095714688</v>
      </c>
      <c r="D22" s="673">
        <v>0</v>
      </c>
      <c r="E22" s="673">
        <v>82266206.095714688</v>
      </c>
      <c r="F22" s="678">
        <v>0</v>
      </c>
      <c r="G22" s="678">
        <v>0</v>
      </c>
      <c r="H22" s="673">
        <v>10783343.43572</v>
      </c>
      <c r="I22" s="678">
        <v>0</v>
      </c>
      <c r="J22" s="678">
        <v>10783343.43572</v>
      </c>
      <c r="K22" s="678">
        <v>0</v>
      </c>
      <c r="L22" s="678">
        <v>0</v>
      </c>
      <c r="N22" s="688"/>
      <c r="O22" s="688"/>
      <c r="P22" s="688"/>
      <c r="Q22" s="688"/>
      <c r="R22" s="688"/>
      <c r="S22" s="688"/>
      <c r="T22" s="688"/>
      <c r="U22" s="688"/>
      <c r="V22" s="688"/>
      <c r="W22" s="688"/>
    </row>
    <row r="23" spans="1:23">
      <c r="A23" s="381">
        <v>17</v>
      </c>
      <c r="B23" s="394" t="s">
        <v>502</v>
      </c>
      <c r="C23" s="704">
        <v>87111839.251115158</v>
      </c>
      <c r="D23" s="673">
        <v>87111839.251115158</v>
      </c>
      <c r="E23" s="673">
        <v>0</v>
      </c>
      <c r="F23" s="678">
        <v>0</v>
      </c>
      <c r="G23" s="678">
        <v>0</v>
      </c>
      <c r="H23" s="673">
        <v>984951.55786569428</v>
      </c>
      <c r="I23" s="678">
        <v>984951.55786569428</v>
      </c>
      <c r="J23" s="678">
        <v>0</v>
      </c>
      <c r="K23" s="678">
        <v>0</v>
      </c>
      <c r="L23" s="678">
        <v>0</v>
      </c>
      <c r="N23" s="688"/>
      <c r="O23" s="688"/>
      <c r="P23" s="688"/>
      <c r="Q23" s="688"/>
      <c r="R23" s="688"/>
      <c r="S23" s="688"/>
      <c r="T23" s="688"/>
      <c r="U23" s="688"/>
      <c r="V23" s="688"/>
      <c r="W23" s="688"/>
    </row>
    <row r="24" spans="1:23">
      <c r="A24" s="381">
        <v>18</v>
      </c>
      <c r="B24" s="394" t="s">
        <v>503</v>
      </c>
      <c r="C24" s="704">
        <v>89773.610122813945</v>
      </c>
      <c r="D24" s="673">
        <v>89773.610122813945</v>
      </c>
      <c r="E24" s="673">
        <v>0</v>
      </c>
      <c r="F24" s="678">
        <v>0</v>
      </c>
      <c r="G24" s="678">
        <v>0</v>
      </c>
      <c r="H24" s="673">
        <v>14.813405767647419</v>
      </c>
      <c r="I24" s="678">
        <v>14.813405767647419</v>
      </c>
      <c r="J24" s="678">
        <v>0</v>
      </c>
      <c r="K24" s="678">
        <v>0</v>
      </c>
      <c r="L24" s="678">
        <v>0</v>
      </c>
      <c r="N24" s="688"/>
      <c r="O24" s="688"/>
      <c r="P24" s="688"/>
      <c r="Q24" s="688"/>
      <c r="R24" s="688"/>
      <c r="S24" s="688"/>
      <c r="T24" s="688"/>
      <c r="U24" s="688"/>
      <c r="V24" s="688"/>
      <c r="W24" s="688"/>
    </row>
    <row r="25" spans="1:23">
      <c r="A25" s="381">
        <v>19</v>
      </c>
      <c r="B25" s="394" t="s">
        <v>504</v>
      </c>
      <c r="C25" s="704">
        <v>17431946.416191306</v>
      </c>
      <c r="D25" s="673">
        <v>17431946.416191306</v>
      </c>
      <c r="E25" s="673">
        <v>0</v>
      </c>
      <c r="F25" s="678">
        <v>0</v>
      </c>
      <c r="G25" s="678">
        <v>0</v>
      </c>
      <c r="H25" s="673">
        <v>247332.22986601331</v>
      </c>
      <c r="I25" s="678">
        <v>247332.22986601331</v>
      </c>
      <c r="J25" s="678">
        <v>0</v>
      </c>
      <c r="K25" s="678">
        <v>0</v>
      </c>
      <c r="L25" s="678">
        <v>0</v>
      </c>
      <c r="N25" s="688"/>
      <c r="O25" s="688"/>
      <c r="P25" s="688"/>
      <c r="Q25" s="688"/>
      <c r="R25" s="688"/>
      <c r="S25" s="688"/>
      <c r="T25" s="688"/>
      <c r="U25" s="688"/>
      <c r="V25" s="688"/>
      <c r="W25" s="688"/>
    </row>
    <row r="26" spans="1:23">
      <c r="A26" s="381">
        <v>20</v>
      </c>
      <c r="B26" s="394" t="s">
        <v>505</v>
      </c>
      <c r="C26" s="704">
        <v>47830467.058650702</v>
      </c>
      <c r="D26" s="673">
        <v>36580294.533070378</v>
      </c>
      <c r="E26" s="673">
        <v>11250172.525580311</v>
      </c>
      <c r="F26" s="678">
        <v>0</v>
      </c>
      <c r="G26" s="678">
        <v>0</v>
      </c>
      <c r="H26" s="673">
        <v>2250190.4160638065</v>
      </c>
      <c r="I26" s="678">
        <v>175451.77792726137</v>
      </c>
      <c r="J26" s="678">
        <v>2074738.6381365438</v>
      </c>
      <c r="K26" s="678">
        <v>0</v>
      </c>
      <c r="L26" s="678">
        <v>0</v>
      </c>
      <c r="N26" s="688"/>
      <c r="O26" s="688"/>
      <c r="P26" s="688"/>
      <c r="Q26" s="688"/>
      <c r="R26" s="688"/>
      <c r="S26" s="688"/>
      <c r="T26" s="688"/>
      <c r="U26" s="688"/>
      <c r="V26" s="688"/>
      <c r="W26" s="688"/>
    </row>
    <row r="27" spans="1:23">
      <c r="A27" s="381">
        <v>21</v>
      </c>
      <c r="B27" s="394" t="s">
        <v>506</v>
      </c>
      <c r="C27" s="704">
        <v>5057460.3705869513</v>
      </c>
      <c r="D27" s="673">
        <v>5057457.3887869511</v>
      </c>
      <c r="E27" s="673">
        <v>0</v>
      </c>
      <c r="F27" s="678">
        <v>2.9817999999999998</v>
      </c>
      <c r="G27" s="678">
        <v>0</v>
      </c>
      <c r="H27" s="673">
        <v>5078.6188134400309</v>
      </c>
      <c r="I27" s="678">
        <v>5075.6370134400313</v>
      </c>
      <c r="J27" s="678">
        <v>0</v>
      </c>
      <c r="K27" s="678">
        <v>2.9817999999999998</v>
      </c>
      <c r="L27" s="678">
        <v>0</v>
      </c>
      <c r="N27" s="688"/>
      <c r="O27" s="688"/>
      <c r="P27" s="688"/>
      <c r="Q27" s="688"/>
      <c r="R27" s="688"/>
      <c r="S27" s="688"/>
      <c r="T27" s="688"/>
      <c r="U27" s="688"/>
      <c r="V27" s="688"/>
      <c r="W27" s="688"/>
    </row>
    <row r="28" spans="1:23">
      <c r="A28" s="381">
        <v>22</v>
      </c>
      <c r="B28" s="394" t="s">
        <v>507</v>
      </c>
      <c r="C28" s="704">
        <v>54605554.622972645</v>
      </c>
      <c r="D28" s="673">
        <v>32989762.517123628</v>
      </c>
      <c r="E28" s="673">
        <v>0</v>
      </c>
      <c r="F28" s="678">
        <v>21615792.105849005</v>
      </c>
      <c r="G28" s="678">
        <v>0</v>
      </c>
      <c r="H28" s="673">
        <v>18162348.683629569</v>
      </c>
      <c r="I28" s="678">
        <v>533.01045000058207</v>
      </c>
      <c r="J28" s="678">
        <v>0</v>
      </c>
      <c r="K28" s="678">
        <v>18161815.673179567</v>
      </c>
      <c r="L28" s="678">
        <v>0</v>
      </c>
      <c r="N28" s="688"/>
      <c r="O28" s="688"/>
      <c r="P28" s="688"/>
      <c r="Q28" s="688"/>
      <c r="R28" s="688"/>
      <c r="S28" s="688"/>
      <c r="T28" s="688"/>
      <c r="U28" s="688"/>
      <c r="V28" s="688"/>
      <c r="W28" s="688"/>
    </row>
    <row r="29" spans="1:23">
      <c r="A29" s="381">
        <v>23</v>
      </c>
      <c r="B29" s="394" t="s">
        <v>508</v>
      </c>
      <c r="C29" s="704">
        <v>83502339.805937171</v>
      </c>
      <c r="D29" s="673">
        <v>75601682.805549785</v>
      </c>
      <c r="E29" s="673">
        <v>1626415.1605894249</v>
      </c>
      <c r="F29" s="678">
        <v>6274241.8397979615</v>
      </c>
      <c r="G29" s="678">
        <v>0</v>
      </c>
      <c r="H29" s="673">
        <v>638964.8798592597</v>
      </c>
      <c r="I29" s="678">
        <v>390950.85422686627</v>
      </c>
      <c r="J29" s="678">
        <v>5253.0755539707143</v>
      </c>
      <c r="K29" s="678">
        <v>242760.95007842217</v>
      </c>
      <c r="L29" s="678">
        <v>0</v>
      </c>
      <c r="N29" s="688"/>
      <c r="O29" s="688"/>
      <c r="P29" s="688"/>
      <c r="Q29" s="688"/>
      <c r="R29" s="688"/>
      <c r="S29" s="688"/>
      <c r="T29" s="688"/>
      <c r="U29" s="688"/>
      <c r="V29" s="688"/>
      <c r="W29" s="688"/>
    </row>
    <row r="30" spans="1:23">
      <c r="A30" s="381">
        <v>24</v>
      </c>
      <c r="B30" s="394" t="s">
        <v>509</v>
      </c>
      <c r="C30" s="704">
        <v>45219039.695552893</v>
      </c>
      <c r="D30" s="673">
        <v>30228572.450405039</v>
      </c>
      <c r="E30" s="673">
        <v>11288823.262802865</v>
      </c>
      <c r="F30" s="678">
        <v>3701643.9823449999</v>
      </c>
      <c r="G30" s="678">
        <v>0</v>
      </c>
      <c r="H30" s="673">
        <v>1134025.2349528538</v>
      </c>
      <c r="I30" s="678">
        <v>35961.941394809961</v>
      </c>
      <c r="J30" s="678">
        <v>32536.514551908236</v>
      </c>
      <c r="K30" s="678">
        <v>1065526.7790061356</v>
      </c>
      <c r="L30" s="678">
        <v>0</v>
      </c>
      <c r="N30" s="688"/>
      <c r="O30" s="688"/>
      <c r="P30" s="688"/>
      <c r="Q30" s="688"/>
      <c r="R30" s="688"/>
      <c r="S30" s="688"/>
      <c r="T30" s="688"/>
      <c r="U30" s="688"/>
      <c r="V30" s="688"/>
      <c r="W30" s="688"/>
    </row>
    <row r="31" spans="1:23">
      <c r="A31" s="381">
        <v>25</v>
      </c>
      <c r="B31" s="394" t="s">
        <v>510</v>
      </c>
      <c r="C31" s="704">
        <v>66324431.886251293</v>
      </c>
      <c r="D31" s="673">
        <v>58496209.948104069</v>
      </c>
      <c r="E31" s="673">
        <v>1306330.8920942198</v>
      </c>
      <c r="F31" s="678">
        <v>5861242.9159000069</v>
      </c>
      <c r="G31" s="678">
        <v>660648.13015300001</v>
      </c>
      <c r="H31" s="673">
        <v>2989102.5869622794</v>
      </c>
      <c r="I31" s="678">
        <v>1004810.7206156243</v>
      </c>
      <c r="J31" s="678">
        <v>2874.8880507659096</v>
      </c>
      <c r="K31" s="678">
        <v>1979909.5958501447</v>
      </c>
      <c r="L31" s="678">
        <v>1507.3824457442615</v>
      </c>
      <c r="N31" s="688"/>
      <c r="O31" s="688"/>
      <c r="P31" s="688"/>
      <c r="Q31" s="688"/>
      <c r="R31" s="688"/>
      <c r="S31" s="688"/>
      <c r="T31" s="688"/>
      <c r="U31" s="688"/>
      <c r="V31" s="688"/>
      <c r="W31" s="688"/>
    </row>
    <row r="32" spans="1:23">
      <c r="A32" s="381">
        <v>26</v>
      </c>
      <c r="B32" s="394" t="s">
        <v>566</v>
      </c>
      <c r="C32" s="704">
        <v>350739.18297399959</v>
      </c>
      <c r="D32" s="673">
        <v>227795.02367400005</v>
      </c>
      <c r="E32" s="673">
        <v>8465.84</v>
      </c>
      <c r="F32" s="678">
        <v>114478.31929999993</v>
      </c>
      <c r="G32" s="678">
        <v>0</v>
      </c>
      <c r="H32" s="673">
        <v>119880.80377347993</v>
      </c>
      <c r="I32" s="678">
        <v>4555.9004734800001</v>
      </c>
      <c r="J32" s="678">
        <v>846.58400000000006</v>
      </c>
      <c r="K32" s="678">
        <v>114478.31929999993</v>
      </c>
      <c r="L32" s="678">
        <v>0</v>
      </c>
      <c r="N32" s="688"/>
      <c r="O32" s="688"/>
      <c r="P32" s="688"/>
      <c r="Q32" s="688"/>
      <c r="R32" s="688"/>
      <c r="S32" s="688"/>
      <c r="T32" s="688"/>
      <c r="U32" s="688"/>
      <c r="V32" s="688"/>
      <c r="W32" s="688"/>
    </row>
    <row r="33" spans="1:23" ht="15">
      <c r="A33" s="381">
        <v>27</v>
      </c>
      <c r="B33" s="435" t="s">
        <v>66</v>
      </c>
      <c r="C33" s="703">
        <f>SUM(C7:C32)</f>
        <v>1096227082.3967495</v>
      </c>
      <c r="D33" s="703">
        <f t="shared" ref="D33:L33" si="0">SUM(D7:D32)</f>
        <v>820325999.38240349</v>
      </c>
      <c r="E33" s="703">
        <f t="shared" si="0"/>
        <v>150330707.42931694</v>
      </c>
      <c r="F33" s="703">
        <f t="shared" si="0"/>
        <v>124362595.32619782</v>
      </c>
      <c r="G33" s="703">
        <f t="shared" si="0"/>
        <v>1207780.258831</v>
      </c>
      <c r="H33" s="703">
        <f t="shared" si="0"/>
        <v>56793257.405083604</v>
      </c>
      <c r="I33" s="703">
        <f t="shared" si="0"/>
        <v>5362401.9114053231</v>
      </c>
      <c r="J33" s="703">
        <f t="shared" si="0"/>
        <v>15847323.39717623</v>
      </c>
      <c r="K33" s="703">
        <f t="shared" si="0"/>
        <v>35579289.053412914</v>
      </c>
      <c r="L33" s="703">
        <f t="shared" si="0"/>
        <v>4243.0430891342621</v>
      </c>
      <c r="N33" s="688"/>
      <c r="O33" s="688"/>
      <c r="P33" s="688"/>
      <c r="Q33" s="688"/>
      <c r="R33" s="688"/>
      <c r="S33" s="688"/>
      <c r="T33" s="688"/>
      <c r="U33" s="688"/>
      <c r="V33" s="688"/>
      <c r="W33" s="688"/>
    </row>
    <row r="35" spans="1:23">
      <c r="B35" s="434"/>
      <c r="C35" s="434"/>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20"/>
  <sheetViews>
    <sheetView showGridLines="0" zoomScale="80" zoomScaleNormal="80" workbookViewId="0"/>
  </sheetViews>
  <sheetFormatPr defaultColWidth="8.85546875" defaultRowHeight="12"/>
  <cols>
    <col min="1" max="1" width="11.85546875" style="303" bestFit="1" customWidth="1"/>
    <col min="2" max="2" width="165.140625" style="303" customWidth="1"/>
    <col min="3" max="11" width="28.140625" style="303" customWidth="1"/>
    <col min="12" max="16384" width="8.85546875" style="303"/>
  </cols>
  <sheetData>
    <row r="1" spans="1:11" s="297" customFormat="1" ht="13.5">
      <c r="A1" s="296" t="s">
        <v>97</v>
      </c>
      <c r="B1" s="217" t="str">
        <f>Info!C2</f>
        <v>სს "ბანკი ქართუ"</v>
      </c>
      <c r="C1" s="391"/>
      <c r="D1" s="391"/>
      <c r="E1" s="391"/>
      <c r="F1" s="391"/>
      <c r="G1" s="391"/>
      <c r="H1" s="391"/>
      <c r="I1" s="391"/>
      <c r="J1" s="391"/>
      <c r="K1" s="391"/>
    </row>
    <row r="2" spans="1:11" s="297" customFormat="1" ht="12.75">
      <c r="A2" s="296" t="s">
        <v>98</v>
      </c>
      <c r="B2" s="668">
        <f>'1. key ratios'!B2</f>
        <v>45747</v>
      </c>
      <c r="C2" s="391"/>
      <c r="D2" s="391"/>
      <c r="E2" s="391"/>
      <c r="F2" s="391"/>
      <c r="G2" s="391"/>
      <c r="H2" s="391"/>
      <c r="I2" s="391"/>
      <c r="J2" s="391"/>
      <c r="K2" s="391"/>
    </row>
    <row r="3" spans="1:11" s="297" customFormat="1" ht="12.75">
      <c r="A3" s="298" t="s">
        <v>567</v>
      </c>
      <c r="B3" s="391"/>
      <c r="C3" s="391"/>
      <c r="D3" s="391"/>
      <c r="E3" s="391"/>
      <c r="F3" s="391"/>
      <c r="G3" s="391"/>
      <c r="H3" s="391"/>
      <c r="I3" s="391"/>
      <c r="J3" s="391"/>
      <c r="K3" s="391"/>
    </row>
    <row r="4" spans="1:11">
      <c r="A4" s="439"/>
      <c r="B4" s="439"/>
      <c r="C4" s="438" t="s">
        <v>471</v>
      </c>
      <c r="D4" s="438" t="s">
        <v>472</v>
      </c>
      <c r="E4" s="438" t="s">
        <v>473</v>
      </c>
      <c r="F4" s="438" t="s">
        <v>474</v>
      </c>
      <c r="G4" s="438" t="s">
        <v>475</v>
      </c>
      <c r="H4" s="438" t="s">
        <v>476</v>
      </c>
      <c r="I4" s="438" t="s">
        <v>477</v>
      </c>
      <c r="J4" s="438" t="s">
        <v>478</v>
      </c>
      <c r="K4" s="438" t="s">
        <v>479</v>
      </c>
    </row>
    <row r="5" spans="1:11" ht="104.1" customHeight="1">
      <c r="A5" s="864" t="s">
        <v>873</v>
      </c>
      <c r="B5" s="865"/>
      <c r="C5" s="437" t="s">
        <v>568</v>
      </c>
      <c r="D5" s="437" t="s">
        <v>561</v>
      </c>
      <c r="E5" s="437" t="s">
        <v>562</v>
      </c>
      <c r="F5" s="437" t="s">
        <v>872</v>
      </c>
      <c r="G5" s="437" t="s">
        <v>569</v>
      </c>
      <c r="H5" s="437" t="s">
        <v>570</v>
      </c>
      <c r="I5" s="437" t="s">
        <v>571</v>
      </c>
      <c r="J5" s="437" t="s">
        <v>572</v>
      </c>
      <c r="K5" s="437" t="s">
        <v>573</v>
      </c>
    </row>
    <row r="6" spans="1:11" ht="12.75">
      <c r="A6" s="381">
        <v>1</v>
      </c>
      <c r="B6" s="381" t="s">
        <v>574</v>
      </c>
      <c r="C6" s="673">
        <v>63531644.436276622</v>
      </c>
      <c r="D6" s="673">
        <v>4832491.1800000006</v>
      </c>
      <c r="E6" s="673">
        <v>0</v>
      </c>
      <c r="F6" s="673">
        <v>0</v>
      </c>
      <c r="G6" s="673">
        <v>821230213.59130907</v>
      </c>
      <c r="H6" s="673">
        <v>4518265.3355072392</v>
      </c>
      <c r="I6" s="673">
        <v>112935116.34159304</v>
      </c>
      <c r="J6" s="673">
        <v>12064747.610327259</v>
      </c>
      <c r="K6" s="673">
        <v>77114603.901738226</v>
      </c>
    </row>
    <row r="7" spans="1:11" ht="12.75">
      <c r="A7" s="381">
        <v>2</v>
      </c>
      <c r="B7" s="381" t="s">
        <v>575</v>
      </c>
      <c r="C7" s="673">
        <v>0</v>
      </c>
      <c r="D7" s="673">
        <v>0</v>
      </c>
      <c r="E7" s="673">
        <v>0</v>
      </c>
      <c r="F7" s="673">
        <v>0</v>
      </c>
      <c r="G7" s="673">
        <v>5000000</v>
      </c>
      <c r="H7" s="673">
        <v>152473.13999999966</v>
      </c>
      <c r="I7" s="673">
        <v>21063927.239999998</v>
      </c>
      <c r="J7" s="673">
        <v>0</v>
      </c>
      <c r="K7" s="673">
        <v>13173711.789999999</v>
      </c>
    </row>
    <row r="8" spans="1:11" ht="12.75">
      <c r="A8" s="381">
        <v>3</v>
      </c>
      <c r="B8" s="381" t="s">
        <v>539</v>
      </c>
      <c r="C8" s="673">
        <v>12541355.224499149</v>
      </c>
      <c r="D8" s="673">
        <v>0</v>
      </c>
      <c r="E8" s="673">
        <v>0</v>
      </c>
      <c r="F8" s="673">
        <v>0</v>
      </c>
      <c r="G8" s="673">
        <v>155715988.85254708</v>
      </c>
      <c r="H8" s="673">
        <v>105578.11107576624</v>
      </c>
      <c r="I8" s="673">
        <v>12538269.47936506</v>
      </c>
      <c r="J8" s="673">
        <v>14473762.708581351</v>
      </c>
      <c r="K8" s="673">
        <v>8210340.5384316379</v>
      </c>
    </row>
    <row r="9" spans="1:11" ht="12.75">
      <c r="A9" s="381">
        <v>4</v>
      </c>
      <c r="B9" s="398" t="s">
        <v>871</v>
      </c>
      <c r="C9" s="673">
        <v>13697089.333456906</v>
      </c>
      <c r="D9" s="673">
        <v>313842.15000000002</v>
      </c>
      <c r="E9" s="673">
        <v>0</v>
      </c>
      <c r="F9" s="673">
        <v>0</v>
      </c>
      <c r="G9" s="673">
        <v>85052703.553139284</v>
      </c>
      <c r="H9" s="673">
        <v>3123843.4465830056</v>
      </c>
      <c r="I9" s="673">
        <v>2622883.8628952857</v>
      </c>
      <c r="J9" s="673">
        <v>4159092.2667350885</v>
      </c>
      <c r="K9" s="673">
        <v>16600920.972219268</v>
      </c>
    </row>
    <row r="10" spans="1:11" ht="12.75">
      <c r="A10" s="381">
        <v>5</v>
      </c>
      <c r="B10" s="398" t="s">
        <v>870</v>
      </c>
      <c r="C10" s="673">
        <v>0</v>
      </c>
      <c r="D10" s="673">
        <v>0</v>
      </c>
      <c r="E10" s="673">
        <v>0</v>
      </c>
      <c r="F10" s="673">
        <v>0</v>
      </c>
      <c r="G10" s="673">
        <v>0</v>
      </c>
      <c r="H10" s="673">
        <v>0</v>
      </c>
      <c r="I10" s="673">
        <v>0</v>
      </c>
      <c r="J10" s="673">
        <v>0</v>
      </c>
      <c r="K10" s="673">
        <v>0</v>
      </c>
    </row>
    <row r="11" spans="1:11" ht="12.75">
      <c r="A11" s="381">
        <v>6</v>
      </c>
      <c r="B11" s="398" t="s">
        <v>869</v>
      </c>
      <c r="C11" s="673">
        <v>0</v>
      </c>
      <c r="D11" s="673">
        <v>0</v>
      </c>
      <c r="E11" s="673">
        <v>0</v>
      </c>
      <c r="F11" s="673">
        <v>0</v>
      </c>
      <c r="G11" s="673">
        <v>2861727.98</v>
      </c>
      <c r="H11" s="673">
        <v>0</v>
      </c>
      <c r="I11" s="673">
        <v>0</v>
      </c>
      <c r="J11" s="673">
        <v>0</v>
      </c>
      <c r="K11" s="673">
        <v>502.15</v>
      </c>
    </row>
    <row r="13" spans="1:11" ht="15">
      <c r="B13" s="436"/>
    </row>
    <row r="15" spans="1:11">
      <c r="C15" s="706"/>
      <c r="D15" s="706"/>
      <c r="E15" s="706"/>
      <c r="F15" s="706"/>
      <c r="G15" s="706"/>
      <c r="H15" s="706"/>
      <c r="I15" s="706"/>
      <c r="J15" s="706"/>
      <c r="K15" s="706"/>
    </row>
    <row r="16" spans="1:11">
      <c r="C16" s="706"/>
      <c r="D16" s="706"/>
      <c r="E16" s="706"/>
      <c r="F16" s="706"/>
      <c r="G16" s="706"/>
      <c r="H16" s="706"/>
      <c r="I16" s="706"/>
      <c r="J16" s="706"/>
      <c r="K16" s="706"/>
    </row>
    <row r="17" spans="3:11">
      <c r="C17" s="706"/>
      <c r="D17" s="706"/>
      <c r="E17" s="706"/>
      <c r="F17" s="706"/>
      <c r="G17" s="706"/>
      <c r="H17" s="706"/>
      <c r="I17" s="706"/>
      <c r="J17" s="706"/>
      <c r="K17" s="706"/>
    </row>
    <row r="18" spans="3:11">
      <c r="C18" s="706"/>
      <c r="D18" s="706"/>
      <c r="E18" s="706"/>
      <c r="F18" s="706"/>
      <c r="G18" s="706"/>
      <c r="H18" s="706"/>
      <c r="I18" s="706"/>
      <c r="J18" s="706"/>
      <c r="K18" s="706"/>
    </row>
    <row r="19" spans="3:11">
      <c r="C19" s="706"/>
      <c r="D19" s="706"/>
      <c r="E19" s="706"/>
      <c r="F19" s="706"/>
      <c r="G19" s="706"/>
      <c r="H19" s="706"/>
      <c r="I19" s="706"/>
      <c r="J19" s="706"/>
      <c r="K19" s="706"/>
    </row>
    <row r="20" spans="3:11">
      <c r="C20" s="706"/>
      <c r="D20" s="706"/>
      <c r="E20" s="706"/>
      <c r="F20" s="706"/>
      <c r="G20" s="706"/>
      <c r="H20" s="706"/>
      <c r="I20" s="706"/>
      <c r="J20" s="706"/>
      <c r="K20" s="706"/>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35"/>
  <sheetViews>
    <sheetView showGridLines="0" zoomScale="80" zoomScaleNormal="80" workbookViewId="0"/>
  </sheetViews>
  <sheetFormatPr defaultColWidth="8.85546875" defaultRowHeight="15"/>
  <cols>
    <col min="1" max="1" width="10" style="440" bestFit="1" customWidth="1"/>
    <col min="2" max="2" width="71.85546875" style="440" customWidth="1"/>
    <col min="3" max="3" width="16" style="440" bestFit="1" customWidth="1"/>
    <col min="4" max="5" width="15.28515625" style="440" bestFit="1" customWidth="1"/>
    <col min="6" max="6" width="20.140625" style="440" bestFit="1" customWidth="1"/>
    <col min="7" max="7" width="37.7109375" style="440" bestFit="1" customWidth="1"/>
    <col min="8" max="8" width="14.85546875" style="440" bestFit="1" customWidth="1"/>
    <col min="9" max="10" width="15.28515625" style="440" bestFit="1" customWidth="1"/>
    <col min="11" max="11" width="20.140625" style="440" bestFit="1" customWidth="1"/>
    <col min="12" max="12" width="37.7109375" style="440" bestFit="1" customWidth="1"/>
    <col min="13" max="13" width="13.140625" style="440" bestFit="1" customWidth="1"/>
    <col min="14" max="15" width="15.28515625" style="440" bestFit="1" customWidth="1"/>
    <col min="16" max="16" width="20.140625" style="440" bestFit="1" customWidth="1"/>
    <col min="17" max="17" width="37.7109375" style="440" bestFit="1" customWidth="1"/>
    <col min="18" max="18" width="18.140625" style="440" bestFit="1" customWidth="1"/>
    <col min="19" max="19" width="48.140625" style="440" bestFit="1" customWidth="1"/>
    <col min="20" max="20" width="46" style="440" bestFit="1" customWidth="1"/>
    <col min="21" max="21" width="48.140625" style="440" bestFit="1" customWidth="1"/>
    <col min="22" max="22" width="44.5703125" style="440" bestFit="1" customWidth="1"/>
    <col min="23" max="16384" width="8.85546875" style="440"/>
  </cols>
  <sheetData>
    <row r="1" spans="1:22">
      <c r="A1" s="296" t="s">
        <v>97</v>
      </c>
      <c r="B1" s="217" t="str">
        <f>Info!C2</f>
        <v>სს "ბანკი ქართუ"</v>
      </c>
    </row>
    <row r="2" spans="1:22">
      <c r="A2" s="296" t="s">
        <v>98</v>
      </c>
      <c r="B2" s="668">
        <f>'1. key ratios'!B2</f>
        <v>45747</v>
      </c>
    </row>
    <row r="3" spans="1:22">
      <c r="A3" s="298" t="s">
        <v>657</v>
      </c>
      <c r="B3" s="391"/>
    </row>
    <row r="4" spans="1:22">
      <c r="A4" s="298"/>
      <c r="B4" s="391"/>
    </row>
    <row r="5" spans="1:22" ht="24" customHeight="1">
      <c r="A5" s="866" t="s">
        <v>684</v>
      </c>
      <c r="B5" s="866"/>
      <c r="C5" s="868" t="s">
        <v>875</v>
      </c>
      <c r="D5" s="868"/>
      <c r="E5" s="868"/>
      <c r="F5" s="868"/>
      <c r="G5" s="868"/>
      <c r="H5" s="868" t="s">
        <v>565</v>
      </c>
      <c r="I5" s="868"/>
      <c r="J5" s="868"/>
      <c r="K5" s="868"/>
      <c r="L5" s="868"/>
      <c r="M5" s="868" t="s">
        <v>874</v>
      </c>
      <c r="N5" s="868"/>
      <c r="O5" s="868"/>
      <c r="P5" s="868"/>
      <c r="Q5" s="868"/>
      <c r="R5" s="867" t="s">
        <v>683</v>
      </c>
      <c r="S5" s="867" t="s">
        <v>687</v>
      </c>
      <c r="T5" s="867" t="s">
        <v>686</v>
      </c>
      <c r="U5" s="867" t="s">
        <v>914</v>
      </c>
      <c r="V5" s="867" t="s">
        <v>915</v>
      </c>
    </row>
    <row r="6" spans="1:22" ht="36" customHeight="1">
      <c r="A6" s="866"/>
      <c r="B6" s="866"/>
      <c r="C6" s="449"/>
      <c r="D6" s="389" t="s">
        <v>859</v>
      </c>
      <c r="E6" s="389" t="s">
        <v>858</v>
      </c>
      <c r="F6" s="389" t="s">
        <v>857</v>
      </c>
      <c r="G6" s="389" t="s">
        <v>856</v>
      </c>
      <c r="H6" s="449"/>
      <c r="I6" s="389" t="s">
        <v>859</v>
      </c>
      <c r="J6" s="389" t="s">
        <v>858</v>
      </c>
      <c r="K6" s="389" t="s">
        <v>857</v>
      </c>
      <c r="L6" s="389" t="s">
        <v>856</v>
      </c>
      <c r="M6" s="449"/>
      <c r="N6" s="389" t="s">
        <v>859</v>
      </c>
      <c r="O6" s="389" t="s">
        <v>858</v>
      </c>
      <c r="P6" s="389" t="s">
        <v>857</v>
      </c>
      <c r="Q6" s="389" t="s">
        <v>856</v>
      </c>
      <c r="R6" s="867"/>
      <c r="S6" s="867"/>
      <c r="T6" s="867"/>
      <c r="U6" s="867"/>
      <c r="V6" s="867"/>
    </row>
    <row r="7" spans="1:22">
      <c r="A7" s="444">
        <v>1</v>
      </c>
      <c r="B7" s="448" t="s">
        <v>658</v>
      </c>
      <c r="C7" s="708">
        <v>215343.44</v>
      </c>
      <c r="D7" s="708">
        <v>206506.28</v>
      </c>
      <c r="E7" s="708">
        <v>756.16</v>
      </c>
      <c r="F7" s="708">
        <v>8081</v>
      </c>
      <c r="G7" s="708">
        <v>0</v>
      </c>
      <c r="H7" s="708">
        <v>217245.78280706709</v>
      </c>
      <c r="I7" s="708">
        <v>208273.28829437451</v>
      </c>
      <c r="J7" s="708">
        <v>762.9</v>
      </c>
      <c r="K7" s="708">
        <v>8209.5945126925853</v>
      </c>
      <c r="L7" s="708">
        <v>0</v>
      </c>
      <c r="M7" s="708">
        <v>144.36235259038631</v>
      </c>
      <c r="N7" s="708">
        <v>102.0250487969755</v>
      </c>
      <c r="O7" s="708">
        <v>1.2893312299478792</v>
      </c>
      <c r="P7" s="708">
        <v>41.047972563462928</v>
      </c>
      <c r="Q7" s="708">
        <v>0</v>
      </c>
      <c r="R7" s="708">
        <v>6</v>
      </c>
      <c r="S7" s="710">
        <v>0</v>
      </c>
      <c r="T7" s="710">
        <v>0</v>
      </c>
      <c r="U7" s="712">
        <v>0.11995803923258587</v>
      </c>
      <c r="V7" s="708">
        <v>28.495514473728413</v>
      </c>
    </row>
    <row r="8" spans="1:22">
      <c r="A8" s="444">
        <v>2</v>
      </c>
      <c r="B8" s="447" t="s">
        <v>659</v>
      </c>
      <c r="C8" s="708">
        <v>11246042.430000005</v>
      </c>
      <c r="D8" s="708">
        <v>8867893.0200000051</v>
      </c>
      <c r="E8" s="708">
        <v>532958.98</v>
      </c>
      <c r="F8" s="708">
        <v>1845190.43</v>
      </c>
      <c r="G8" s="708">
        <v>0</v>
      </c>
      <c r="H8" s="708">
        <v>11397168.648341384</v>
      </c>
      <c r="I8" s="708">
        <v>9003920.5053055175</v>
      </c>
      <c r="J8" s="708">
        <v>535490.77407340333</v>
      </c>
      <c r="K8" s="708">
        <v>1857757.3689624688</v>
      </c>
      <c r="L8" s="708">
        <v>0</v>
      </c>
      <c r="M8" s="708">
        <v>313279.06667764124</v>
      </c>
      <c r="N8" s="708">
        <v>96588.821984568582</v>
      </c>
      <c r="O8" s="708">
        <v>1158.0010622492746</v>
      </c>
      <c r="P8" s="708">
        <v>215532.24363082324</v>
      </c>
      <c r="Q8" s="708">
        <v>0</v>
      </c>
      <c r="R8" s="708">
        <v>88</v>
      </c>
      <c r="S8" s="710">
        <v>6.2675013122807419E-2</v>
      </c>
      <c r="T8" s="710">
        <v>6.504048917975927E-2</v>
      </c>
      <c r="U8" s="712">
        <v>7.7617401343354153E-2</v>
      </c>
      <c r="V8" s="708">
        <v>31.132654596379997</v>
      </c>
    </row>
    <row r="9" spans="1:22">
      <c r="A9" s="444">
        <v>3</v>
      </c>
      <c r="B9" s="447" t="s">
        <v>660</v>
      </c>
      <c r="C9" s="708">
        <v>0</v>
      </c>
      <c r="D9" s="708">
        <v>0</v>
      </c>
      <c r="E9" s="708">
        <v>0</v>
      </c>
      <c r="F9" s="708">
        <v>0</v>
      </c>
      <c r="G9" s="708">
        <v>0</v>
      </c>
      <c r="H9" s="708">
        <v>0</v>
      </c>
      <c r="I9" s="708">
        <v>0</v>
      </c>
      <c r="J9" s="708">
        <v>0</v>
      </c>
      <c r="K9" s="708">
        <v>0</v>
      </c>
      <c r="L9" s="708">
        <v>0</v>
      </c>
      <c r="M9" s="708">
        <v>0</v>
      </c>
      <c r="N9" s="708">
        <v>0</v>
      </c>
      <c r="O9" s="708">
        <v>0</v>
      </c>
      <c r="P9" s="708">
        <v>0</v>
      </c>
      <c r="Q9" s="708">
        <v>0</v>
      </c>
      <c r="R9" s="708">
        <v>0</v>
      </c>
      <c r="S9" s="710">
        <v>0</v>
      </c>
      <c r="T9" s="710">
        <v>0</v>
      </c>
      <c r="U9" s="712">
        <v>0</v>
      </c>
      <c r="V9" s="708">
        <v>0</v>
      </c>
    </row>
    <row r="10" spans="1:22">
      <c r="A10" s="444">
        <v>4</v>
      </c>
      <c r="B10" s="447" t="s">
        <v>661</v>
      </c>
      <c r="C10" s="708">
        <v>0</v>
      </c>
      <c r="D10" s="708">
        <v>0</v>
      </c>
      <c r="E10" s="708">
        <v>0</v>
      </c>
      <c r="F10" s="708">
        <v>0</v>
      </c>
      <c r="G10" s="708">
        <v>0</v>
      </c>
      <c r="H10" s="708">
        <v>0</v>
      </c>
      <c r="I10" s="708">
        <v>0</v>
      </c>
      <c r="J10" s="708">
        <v>0</v>
      </c>
      <c r="K10" s="708">
        <v>0</v>
      </c>
      <c r="L10" s="708">
        <v>0</v>
      </c>
      <c r="M10" s="708">
        <v>0</v>
      </c>
      <c r="N10" s="708">
        <v>0</v>
      </c>
      <c r="O10" s="708">
        <v>0</v>
      </c>
      <c r="P10" s="708">
        <v>0</v>
      </c>
      <c r="Q10" s="708">
        <v>0</v>
      </c>
      <c r="R10" s="708">
        <v>0</v>
      </c>
      <c r="S10" s="710">
        <v>0</v>
      </c>
      <c r="T10" s="710">
        <v>0</v>
      </c>
      <c r="U10" s="712">
        <v>0</v>
      </c>
      <c r="V10" s="708">
        <v>0</v>
      </c>
    </row>
    <row r="11" spans="1:22">
      <c r="A11" s="444">
        <v>5</v>
      </c>
      <c r="B11" s="447" t="s">
        <v>662</v>
      </c>
      <c r="C11" s="708">
        <v>644771.56529999967</v>
      </c>
      <c r="D11" s="708">
        <v>617848.99529999983</v>
      </c>
      <c r="E11" s="708">
        <v>17129.670000000002</v>
      </c>
      <c r="F11" s="708">
        <v>9792.9</v>
      </c>
      <c r="G11" s="708">
        <v>0</v>
      </c>
      <c r="H11" s="708">
        <v>710137.8248309996</v>
      </c>
      <c r="I11" s="708">
        <v>641000.98483099951</v>
      </c>
      <c r="J11" s="708">
        <v>17461.670000000002</v>
      </c>
      <c r="K11" s="708">
        <v>51675.17</v>
      </c>
      <c r="L11" s="708">
        <v>0</v>
      </c>
      <c r="M11" s="708">
        <v>41870.129523745098</v>
      </c>
      <c r="N11" s="708">
        <v>12833.467523745061</v>
      </c>
      <c r="O11" s="708">
        <v>1746.1670000000001</v>
      </c>
      <c r="P11" s="708">
        <v>27290.495000000003</v>
      </c>
      <c r="Q11" s="708">
        <v>0</v>
      </c>
      <c r="R11" s="708">
        <v>160</v>
      </c>
      <c r="S11" s="710">
        <v>0.11991641176313014</v>
      </c>
      <c r="T11" s="710">
        <v>0.12674869407583711</v>
      </c>
      <c r="U11" s="712">
        <v>0.11516502914245369</v>
      </c>
      <c r="V11" s="708">
        <v>8.7581440513600075</v>
      </c>
    </row>
    <row r="12" spans="1:22">
      <c r="A12" s="444">
        <v>6</v>
      </c>
      <c r="B12" s="447" t="s">
        <v>663</v>
      </c>
      <c r="C12" s="708">
        <v>274067.18299999979</v>
      </c>
      <c r="D12" s="708">
        <v>173681.48209999999</v>
      </c>
      <c r="E12" s="708">
        <v>0</v>
      </c>
      <c r="F12" s="708">
        <v>100385.70089999995</v>
      </c>
      <c r="G12" s="708">
        <v>0</v>
      </c>
      <c r="H12" s="708">
        <v>280511.9300689997</v>
      </c>
      <c r="I12" s="708">
        <v>180126.229169</v>
      </c>
      <c r="J12" s="708">
        <v>0</v>
      </c>
      <c r="K12" s="708">
        <v>100385.70089999995</v>
      </c>
      <c r="L12" s="708">
        <v>0</v>
      </c>
      <c r="M12" s="708">
        <v>103988.22548337994</v>
      </c>
      <c r="N12" s="708">
        <v>3602.5245833800004</v>
      </c>
      <c r="O12" s="708">
        <v>0</v>
      </c>
      <c r="P12" s="708">
        <v>100385.70089999995</v>
      </c>
      <c r="Q12" s="708">
        <v>0</v>
      </c>
      <c r="R12" s="708">
        <v>1521</v>
      </c>
      <c r="S12" s="710">
        <v>0.121596839931503</v>
      </c>
      <c r="T12" s="710">
        <v>0.12862729952863811</v>
      </c>
      <c r="U12" s="712">
        <v>0.11682886103146629</v>
      </c>
      <c r="V12" s="708">
        <v>10.151573752053501</v>
      </c>
    </row>
    <row r="13" spans="1:22">
      <c r="A13" s="444">
        <v>7</v>
      </c>
      <c r="B13" s="447" t="s">
        <v>664</v>
      </c>
      <c r="C13" s="708">
        <v>28770990.102000002</v>
      </c>
      <c r="D13" s="708">
        <v>26424280.539999995</v>
      </c>
      <c r="E13" s="708">
        <v>1644115.9619999998</v>
      </c>
      <c r="F13" s="708">
        <v>702593.6</v>
      </c>
      <c r="G13" s="708">
        <v>0</v>
      </c>
      <c r="H13" s="708">
        <v>28926274.365903072</v>
      </c>
      <c r="I13" s="708">
        <v>26514545.87866275</v>
      </c>
      <c r="J13" s="708">
        <v>1647317.7169083213</v>
      </c>
      <c r="K13" s="708">
        <v>764410.77033199987</v>
      </c>
      <c r="L13" s="708">
        <v>0</v>
      </c>
      <c r="M13" s="708">
        <v>895517.9781557325</v>
      </c>
      <c r="N13" s="708">
        <v>841424.16516437125</v>
      </c>
      <c r="O13" s="708">
        <v>11390.736404451054</v>
      </c>
      <c r="P13" s="708">
        <v>42703.076586910145</v>
      </c>
      <c r="Q13" s="708">
        <v>0</v>
      </c>
      <c r="R13" s="708">
        <v>124</v>
      </c>
      <c r="S13" s="710">
        <v>6.5429976619364838E-2</v>
      </c>
      <c r="T13" s="710">
        <v>6.761671988716271E-2</v>
      </c>
      <c r="U13" s="712">
        <v>8.4165471572167805E-2</v>
      </c>
      <c r="V13" s="708">
        <v>103.66902141701497</v>
      </c>
    </row>
    <row r="14" spans="1:22">
      <c r="A14" s="442">
        <v>7.1</v>
      </c>
      <c r="B14" s="441" t="s">
        <v>665</v>
      </c>
      <c r="C14" s="708">
        <v>26020218.102000002</v>
      </c>
      <c r="D14" s="708">
        <v>23920149.449999999</v>
      </c>
      <c r="E14" s="708">
        <v>1482763.4319999996</v>
      </c>
      <c r="F14" s="708">
        <v>617305.22</v>
      </c>
      <c r="G14" s="708">
        <v>0</v>
      </c>
      <c r="H14" s="708">
        <v>26161476.450085178</v>
      </c>
      <c r="I14" s="708">
        <v>23997174.466924686</v>
      </c>
      <c r="J14" s="708">
        <v>1485781.2315214905</v>
      </c>
      <c r="K14" s="708">
        <v>678520.75163900002</v>
      </c>
      <c r="L14" s="708">
        <v>0</v>
      </c>
      <c r="M14" s="708">
        <v>892192.01060971187</v>
      </c>
      <c r="N14" s="708">
        <v>841039.22923439997</v>
      </c>
      <c r="O14" s="708">
        <v>11076.642346715014</v>
      </c>
      <c r="P14" s="708">
        <v>40076.139028596735</v>
      </c>
      <c r="Q14" s="708">
        <v>0</v>
      </c>
      <c r="R14" s="708">
        <v>79</v>
      </c>
      <c r="S14" s="710">
        <v>6.3287713731060666E-2</v>
      </c>
      <c r="T14" s="710">
        <v>6.5304873566662439E-2</v>
      </c>
      <c r="U14" s="712">
        <v>8.2763372190199788E-2</v>
      </c>
      <c r="V14" s="708">
        <v>105.65329488542216</v>
      </c>
    </row>
    <row r="15" spans="1:22" ht="25.5">
      <c r="A15" s="442">
        <v>7.2</v>
      </c>
      <c r="B15" s="441" t="s">
        <v>666</v>
      </c>
      <c r="C15" s="708">
        <v>2171947.2799999998</v>
      </c>
      <c r="D15" s="708">
        <v>1944236.73</v>
      </c>
      <c r="E15" s="708">
        <v>142422.17000000001</v>
      </c>
      <c r="F15" s="708">
        <v>85288.38</v>
      </c>
      <c r="G15" s="708">
        <v>0</v>
      </c>
      <c r="H15" s="708">
        <v>2183042.128461061</v>
      </c>
      <c r="I15" s="708">
        <v>1954588.9544750673</v>
      </c>
      <c r="J15" s="708">
        <v>142563.15529299423</v>
      </c>
      <c r="K15" s="708">
        <v>85890.018693000005</v>
      </c>
      <c r="L15" s="708">
        <v>0</v>
      </c>
      <c r="M15" s="708">
        <v>3120.7420140860459</v>
      </c>
      <c r="N15" s="708">
        <v>213.82956931952577</v>
      </c>
      <c r="O15" s="708">
        <v>279.97488645310511</v>
      </c>
      <c r="P15" s="708">
        <v>2626.9375583134156</v>
      </c>
      <c r="Q15" s="708">
        <v>0</v>
      </c>
      <c r="R15" s="708">
        <v>24</v>
      </c>
      <c r="S15" s="710">
        <v>7.4700000000000003E-2</v>
      </c>
      <c r="T15" s="710">
        <v>7.7311360985646838E-2</v>
      </c>
      <c r="U15" s="712">
        <v>9.3374360857874983E-2</v>
      </c>
      <c r="V15" s="708">
        <v>84.33316738251888</v>
      </c>
    </row>
    <row r="16" spans="1:22">
      <c r="A16" s="442">
        <v>7.3</v>
      </c>
      <c r="B16" s="441" t="s">
        <v>667</v>
      </c>
      <c r="C16" s="708">
        <v>578824.72</v>
      </c>
      <c r="D16" s="708">
        <v>559894.36</v>
      </c>
      <c r="E16" s="708">
        <v>18930.36</v>
      </c>
      <c r="F16" s="708">
        <v>0</v>
      </c>
      <c r="G16" s="708">
        <v>0</v>
      </c>
      <c r="H16" s="708">
        <v>581755.78735682764</v>
      </c>
      <c r="I16" s="708">
        <v>562782.45726299111</v>
      </c>
      <c r="J16" s="708">
        <v>18973.330093836525</v>
      </c>
      <c r="K16" s="708">
        <v>0</v>
      </c>
      <c r="L16" s="708">
        <v>0</v>
      </c>
      <c r="M16" s="708">
        <v>205.22553193434885</v>
      </c>
      <c r="N16" s="708">
        <v>171.10636065141338</v>
      </c>
      <c r="O16" s="708">
        <v>34.119171282935461</v>
      </c>
      <c r="P16" s="708">
        <v>0</v>
      </c>
      <c r="Q16" s="708">
        <v>0</v>
      </c>
      <c r="R16" s="708">
        <v>21</v>
      </c>
      <c r="S16" s="710">
        <v>0.11982597037180384</v>
      </c>
      <c r="T16" s="710">
        <v>0.1266313107222381</v>
      </c>
      <c r="U16" s="712">
        <v>0.11263991143985697</v>
      </c>
      <c r="V16" s="708">
        <v>87.111832761383312</v>
      </c>
    </row>
    <row r="17" spans="1:22">
      <c r="A17" s="444">
        <v>8</v>
      </c>
      <c r="B17" s="447" t="s">
        <v>668</v>
      </c>
      <c r="C17" s="708">
        <v>0</v>
      </c>
      <c r="D17" s="708">
        <v>0</v>
      </c>
      <c r="E17" s="708">
        <v>0</v>
      </c>
      <c r="F17" s="708">
        <v>0</v>
      </c>
      <c r="G17" s="708">
        <v>0</v>
      </c>
      <c r="H17" s="708">
        <v>0</v>
      </c>
      <c r="I17" s="708">
        <v>0</v>
      </c>
      <c r="J17" s="708">
        <v>0</v>
      </c>
      <c r="K17" s="708">
        <v>0</v>
      </c>
      <c r="L17" s="708">
        <v>0</v>
      </c>
      <c r="M17" s="708">
        <v>0</v>
      </c>
      <c r="N17" s="708">
        <v>0</v>
      </c>
      <c r="O17" s="708">
        <v>0</v>
      </c>
      <c r="P17" s="708">
        <v>0</v>
      </c>
      <c r="Q17" s="708">
        <v>0</v>
      </c>
      <c r="R17" s="708">
        <v>0</v>
      </c>
      <c r="S17" s="710">
        <v>0</v>
      </c>
      <c r="T17" s="710">
        <v>0</v>
      </c>
      <c r="U17" s="712">
        <v>0</v>
      </c>
      <c r="V17" s="708">
        <v>0</v>
      </c>
    </row>
    <row r="18" spans="1:22">
      <c r="A18" s="446">
        <v>9</v>
      </c>
      <c r="B18" s="445" t="s">
        <v>669</v>
      </c>
      <c r="C18" s="709">
        <v>0</v>
      </c>
      <c r="D18" s="709">
        <v>0</v>
      </c>
      <c r="E18" s="709">
        <v>0</v>
      </c>
      <c r="F18" s="709">
        <v>0</v>
      </c>
      <c r="G18" s="709">
        <v>0</v>
      </c>
      <c r="H18" s="709">
        <v>0</v>
      </c>
      <c r="I18" s="709">
        <v>0</v>
      </c>
      <c r="J18" s="709">
        <v>0</v>
      </c>
      <c r="K18" s="709">
        <v>0</v>
      </c>
      <c r="L18" s="709">
        <v>0</v>
      </c>
      <c r="M18" s="709">
        <v>0</v>
      </c>
      <c r="N18" s="709">
        <v>0</v>
      </c>
      <c r="O18" s="709">
        <v>0</v>
      </c>
      <c r="P18" s="709">
        <v>0</v>
      </c>
      <c r="Q18" s="709">
        <v>0</v>
      </c>
      <c r="R18" s="709">
        <v>0</v>
      </c>
      <c r="S18" s="711">
        <v>0</v>
      </c>
      <c r="T18" s="711">
        <v>0</v>
      </c>
      <c r="U18" s="713">
        <v>0</v>
      </c>
      <c r="V18" s="709">
        <v>0</v>
      </c>
    </row>
    <row r="19" spans="1:22">
      <c r="A19" s="444">
        <v>10</v>
      </c>
      <c r="B19" s="443" t="s">
        <v>685</v>
      </c>
      <c r="C19" s="708">
        <v>41151214.720300004</v>
      </c>
      <c r="D19" s="708">
        <v>36290210.317400001</v>
      </c>
      <c r="E19" s="708">
        <v>2194960.7719999999</v>
      </c>
      <c r="F19" s="708">
        <v>2666043.6308999998</v>
      </c>
      <c r="G19" s="708">
        <v>0</v>
      </c>
      <c r="H19" s="708">
        <v>41531338.55195152</v>
      </c>
      <c r="I19" s="708">
        <v>36547866.88626264</v>
      </c>
      <c r="J19" s="708">
        <v>2201033.0609817244</v>
      </c>
      <c r="K19" s="708">
        <v>2782438.6047071614</v>
      </c>
      <c r="L19" s="708">
        <v>0</v>
      </c>
      <c r="M19" s="708">
        <v>1354799.7621930891</v>
      </c>
      <c r="N19" s="708">
        <v>954551.00430486188</v>
      </c>
      <c r="O19" s="708">
        <v>14296.193797930277</v>
      </c>
      <c r="P19" s="708">
        <v>385952.56409029674</v>
      </c>
      <c r="Q19" s="708">
        <v>0</v>
      </c>
      <c r="R19" s="708">
        <v>1899</v>
      </c>
      <c r="S19" s="710">
        <v>6.5579961619557481E-2</v>
      </c>
      <c r="T19" s="710">
        <v>6.7982190595238842E-2</v>
      </c>
      <c r="U19" s="712">
        <v>8.3184455529532214E-2</v>
      </c>
      <c r="V19" s="708">
        <v>81.536133272198384</v>
      </c>
    </row>
    <row r="20" spans="1:22" ht="25.5">
      <c r="A20" s="442">
        <v>10.1</v>
      </c>
      <c r="B20" s="441" t="s">
        <v>688</v>
      </c>
      <c r="C20" s="708"/>
      <c r="D20" s="708"/>
      <c r="E20" s="708"/>
      <c r="F20" s="708"/>
      <c r="G20" s="708"/>
      <c r="H20" s="708"/>
      <c r="I20" s="708"/>
      <c r="J20" s="708"/>
      <c r="K20" s="708"/>
      <c r="L20" s="708"/>
      <c r="M20" s="708"/>
      <c r="N20" s="708"/>
      <c r="O20" s="708"/>
      <c r="P20" s="708"/>
      <c r="Q20" s="708"/>
      <c r="R20" s="708"/>
      <c r="S20" s="710"/>
      <c r="T20" s="710"/>
      <c r="U20" s="712"/>
      <c r="V20" s="708"/>
    </row>
    <row r="22" spans="1:22">
      <c r="C22" s="707"/>
      <c r="D22" s="707"/>
      <c r="E22" s="707"/>
      <c r="F22" s="707"/>
      <c r="G22" s="707"/>
      <c r="H22" s="707"/>
      <c r="I22" s="707"/>
      <c r="J22" s="707"/>
      <c r="K22" s="707"/>
      <c r="L22" s="707"/>
      <c r="M22" s="707"/>
      <c r="N22" s="707"/>
      <c r="O22" s="707"/>
      <c r="P22" s="707"/>
      <c r="Q22" s="707"/>
      <c r="R22" s="707"/>
      <c r="S22" s="707"/>
      <c r="T22" s="707"/>
      <c r="U22" s="707"/>
      <c r="V22" s="707"/>
    </row>
    <row r="23" spans="1:22">
      <c r="C23" s="707"/>
      <c r="D23" s="707"/>
      <c r="E23" s="707"/>
      <c r="F23" s="707"/>
      <c r="G23" s="707"/>
      <c r="H23" s="707"/>
      <c r="I23" s="707"/>
      <c r="J23" s="707"/>
      <c r="K23" s="707"/>
      <c r="L23" s="707"/>
      <c r="M23" s="707"/>
      <c r="N23" s="707"/>
      <c r="O23" s="707"/>
      <c r="P23" s="707"/>
      <c r="Q23" s="707"/>
      <c r="R23" s="707"/>
      <c r="S23" s="707"/>
      <c r="T23" s="707"/>
      <c r="U23" s="707"/>
      <c r="V23" s="707"/>
    </row>
    <row r="24" spans="1:22">
      <c r="C24" s="707"/>
      <c r="D24" s="707"/>
      <c r="E24" s="707"/>
      <c r="F24" s="707"/>
      <c r="G24" s="707"/>
      <c r="H24" s="707"/>
      <c r="I24" s="707"/>
      <c r="J24" s="707"/>
      <c r="K24" s="707"/>
      <c r="L24" s="707"/>
      <c r="M24" s="707"/>
      <c r="N24" s="707"/>
      <c r="O24" s="707"/>
      <c r="P24" s="707"/>
      <c r="Q24" s="707"/>
      <c r="R24" s="707"/>
      <c r="S24" s="707"/>
      <c r="T24" s="707"/>
      <c r="U24" s="707"/>
      <c r="V24" s="707"/>
    </row>
    <row r="25" spans="1:22">
      <c r="C25" s="707"/>
      <c r="D25" s="707"/>
      <c r="E25" s="707"/>
      <c r="F25" s="707"/>
      <c r="G25" s="707"/>
      <c r="H25" s="707"/>
      <c r="I25" s="707"/>
      <c r="J25" s="707"/>
      <c r="K25" s="707"/>
      <c r="L25" s="707"/>
      <c r="M25" s="707"/>
      <c r="N25" s="707"/>
      <c r="O25" s="707"/>
      <c r="P25" s="707"/>
      <c r="Q25" s="707"/>
      <c r="R25" s="707"/>
      <c r="S25" s="707"/>
      <c r="T25" s="707"/>
      <c r="U25" s="707"/>
      <c r="V25" s="707"/>
    </row>
    <row r="26" spans="1:22">
      <c r="C26" s="707"/>
      <c r="D26" s="707"/>
      <c r="E26" s="707"/>
      <c r="F26" s="707"/>
      <c r="G26" s="707"/>
      <c r="H26" s="707"/>
      <c r="I26" s="707"/>
      <c r="J26" s="707"/>
      <c r="K26" s="707"/>
      <c r="L26" s="707"/>
      <c r="M26" s="707"/>
      <c r="N26" s="707"/>
      <c r="O26" s="707"/>
      <c r="P26" s="707"/>
      <c r="Q26" s="707"/>
      <c r="R26" s="707"/>
      <c r="S26" s="707"/>
      <c r="T26" s="707"/>
      <c r="U26" s="707"/>
      <c r="V26" s="707"/>
    </row>
    <row r="27" spans="1:22">
      <c r="C27" s="707"/>
      <c r="D27" s="707"/>
      <c r="E27" s="707"/>
      <c r="F27" s="707"/>
      <c r="G27" s="707"/>
      <c r="H27" s="707"/>
      <c r="I27" s="707"/>
      <c r="J27" s="707"/>
      <c r="K27" s="707"/>
      <c r="L27" s="707"/>
      <c r="M27" s="707"/>
      <c r="N27" s="707"/>
      <c r="O27" s="707"/>
      <c r="P27" s="707"/>
      <c r="Q27" s="707"/>
      <c r="R27" s="707"/>
      <c r="S27" s="707"/>
      <c r="T27" s="707"/>
      <c r="U27" s="707"/>
      <c r="V27" s="707"/>
    </row>
    <row r="28" spans="1:22">
      <c r="C28" s="707"/>
      <c r="D28" s="707"/>
      <c r="E28" s="707"/>
      <c r="F28" s="707"/>
      <c r="G28" s="707"/>
      <c r="H28" s="707"/>
      <c r="I28" s="707"/>
      <c r="J28" s="707"/>
      <c r="K28" s="707"/>
      <c r="L28" s="707"/>
      <c r="M28" s="707"/>
      <c r="N28" s="707"/>
      <c r="O28" s="707"/>
      <c r="P28" s="707"/>
      <c r="Q28" s="707"/>
      <c r="R28" s="707"/>
      <c r="S28" s="707"/>
      <c r="T28" s="707"/>
      <c r="U28" s="707"/>
      <c r="V28" s="707"/>
    </row>
    <row r="29" spans="1:22">
      <c r="C29" s="707"/>
      <c r="D29" s="707"/>
      <c r="E29" s="707"/>
      <c r="F29" s="707"/>
      <c r="G29" s="707"/>
      <c r="H29" s="707"/>
      <c r="I29" s="707"/>
      <c r="J29" s="707"/>
      <c r="K29" s="707"/>
      <c r="L29" s="707"/>
      <c r="M29" s="707"/>
      <c r="N29" s="707"/>
      <c r="O29" s="707"/>
      <c r="P29" s="707"/>
      <c r="Q29" s="707"/>
      <c r="R29" s="707"/>
      <c r="S29" s="707"/>
      <c r="T29" s="707"/>
      <c r="U29" s="707"/>
      <c r="V29" s="707"/>
    </row>
    <row r="30" spans="1:22">
      <c r="C30" s="707"/>
      <c r="D30" s="707"/>
      <c r="E30" s="707"/>
      <c r="F30" s="707"/>
      <c r="G30" s="707"/>
      <c r="H30" s="707"/>
      <c r="I30" s="707"/>
      <c r="J30" s="707"/>
      <c r="K30" s="707"/>
      <c r="L30" s="707"/>
      <c r="M30" s="707"/>
      <c r="N30" s="707"/>
      <c r="O30" s="707"/>
      <c r="P30" s="707"/>
      <c r="Q30" s="707"/>
      <c r="R30" s="707"/>
      <c r="S30" s="707"/>
      <c r="T30" s="707"/>
      <c r="U30" s="707"/>
      <c r="V30" s="707"/>
    </row>
    <row r="31" spans="1:22">
      <c r="C31" s="707"/>
      <c r="D31" s="707"/>
      <c r="E31" s="707"/>
      <c r="F31" s="707"/>
      <c r="G31" s="707"/>
      <c r="H31" s="707"/>
      <c r="I31" s="707"/>
      <c r="J31" s="707"/>
      <c r="K31" s="707"/>
      <c r="L31" s="707"/>
      <c r="M31" s="707"/>
      <c r="N31" s="707"/>
      <c r="O31" s="707"/>
      <c r="P31" s="707"/>
      <c r="Q31" s="707"/>
      <c r="R31" s="707"/>
      <c r="S31" s="707"/>
      <c r="T31" s="707"/>
      <c r="U31" s="707"/>
      <c r="V31" s="707"/>
    </row>
    <row r="32" spans="1:22">
      <c r="C32" s="707"/>
      <c r="D32" s="707"/>
      <c r="E32" s="707"/>
      <c r="F32" s="707"/>
      <c r="G32" s="707"/>
      <c r="H32" s="707"/>
      <c r="I32" s="707"/>
      <c r="J32" s="707"/>
      <c r="K32" s="707"/>
      <c r="L32" s="707"/>
      <c r="M32" s="707"/>
      <c r="N32" s="707"/>
      <c r="O32" s="707"/>
      <c r="P32" s="707"/>
      <c r="Q32" s="707"/>
      <c r="R32" s="707"/>
      <c r="S32" s="707"/>
      <c r="T32" s="707"/>
      <c r="U32" s="707"/>
      <c r="V32" s="707"/>
    </row>
    <row r="33" spans="3:22">
      <c r="C33" s="707"/>
      <c r="D33" s="707"/>
      <c r="E33" s="707"/>
      <c r="F33" s="707"/>
      <c r="G33" s="707"/>
      <c r="H33" s="707"/>
      <c r="I33" s="707"/>
      <c r="J33" s="707"/>
      <c r="K33" s="707"/>
      <c r="L33" s="707"/>
      <c r="M33" s="707"/>
      <c r="N33" s="707"/>
      <c r="O33" s="707"/>
      <c r="P33" s="707"/>
      <c r="Q33" s="707"/>
      <c r="R33" s="707"/>
      <c r="S33" s="707"/>
      <c r="T33" s="707"/>
      <c r="U33" s="707"/>
      <c r="V33" s="707"/>
    </row>
    <row r="34" spans="3:22">
      <c r="C34" s="707"/>
      <c r="D34" s="707"/>
      <c r="E34" s="707"/>
      <c r="F34" s="707"/>
      <c r="G34" s="707"/>
      <c r="H34" s="707"/>
      <c r="I34" s="707"/>
      <c r="J34" s="707"/>
      <c r="K34" s="707"/>
      <c r="L34" s="707"/>
      <c r="M34" s="707"/>
      <c r="N34" s="707"/>
      <c r="O34" s="707"/>
      <c r="P34" s="707"/>
      <c r="Q34" s="707"/>
      <c r="R34" s="707"/>
      <c r="S34" s="707"/>
      <c r="T34" s="707"/>
      <c r="U34" s="707"/>
      <c r="V34" s="707"/>
    </row>
    <row r="35" spans="3:22">
      <c r="C35" s="707"/>
      <c r="D35" s="707"/>
      <c r="E35" s="707"/>
      <c r="F35" s="707"/>
      <c r="G35" s="707"/>
      <c r="H35" s="707"/>
      <c r="I35" s="707"/>
      <c r="J35" s="707"/>
      <c r="K35" s="707"/>
      <c r="L35" s="707"/>
      <c r="M35" s="707"/>
      <c r="N35" s="707"/>
      <c r="O35" s="707"/>
      <c r="P35" s="707"/>
      <c r="Q35" s="707"/>
      <c r="R35" s="707"/>
      <c r="S35" s="707"/>
      <c r="T35" s="707"/>
      <c r="U35" s="707"/>
      <c r="V35" s="707"/>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zoomScale="110" zoomScaleNormal="110" workbookViewId="0">
      <selection activeCell="B13" sqref="B13:C13"/>
    </sheetView>
  </sheetViews>
  <sheetFormatPr defaultColWidth="43.5703125" defaultRowHeight="11.25"/>
  <cols>
    <col min="1" max="1" width="8" style="122" customWidth="1"/>
    <col min="2" max="2" width="66.140625" style="123" customWidth="1"/>
    <col min="3" max="3" width="131.42578125" style="124" customWidth="1"/>
    <col min="4" max="5" width="10.140625" style="115" customWidth="1"/>
    <col min="6" max="6" width="67.5703125" style="115" customWidth="1"/>
    <col min="7" max="16384" width="43.5703125" style="115"/>
  </cols>
  <sheetData>
    <row r="1" spans="1:3" ht="12.75" thickTop="1" thickBot="1">
      <c r="A1" s="920" t="s">
        <v>176</v>
      </c>
      <c r="B1" s="921"/>
      <c r="C1" s="922"/>
    </row>
    <row r="2" spans="1:3" ht="26.25" customHeight="1">
      <c r="A2" s="304"/>
      <c r="B2" s="923" t="s">
        <v>177</v>
      </c>
      <c r="C2" s="923"/>
    </row>
    <row r="3" spans="1:3" s="120" customFormat="1" ht="11.25" customHeight="1">
      <c r="A3" s="119"/>
      <c r="B3" s="923" t="s">
        <v>251</v>
      </c>
      <c r="C3" s="923"/>
    </row>
    <row r="4" spans="1:3" ht="12" customHeight="1" thickBot="1">
      <c r="A4" s="902" t="s">
        <v>255</v>
      </c>
      <c r="B4" s="903"/>
      <c r="C4" s="904"/>
    </row>
    <row r="5" spans="1:3" ht="12" thickTop="1">
      <c r="A5" s="116"/>
      <c r="B5" s="905" t="s">
        <v>178</v>
      </c>
      <c r="C5" s="906"/>
    </row>
    <row r="6" spans="1:3">
      <c r="A6" s="304"/>
      <c r="B6" s="884" t="s">
        <v>252</v>
      </c>
      <c r="C6" s="885"/>
    </row>
    <row r="7" spans="1:3">
      <c r="A7" s="304"/>
      <c r="B7" s="884" t="s">
        <v>179</v>
      </c>
      <c r="C7" s="885"/>
    </row>
    <row r="8" spans="1:3">
      <c r="A8" s="304"/>
      <c r="B8" s="884" t="s">
        <v>253</v>
      </c>
      <c r="C8" s="885"/>
    </row>
    <row r="9" spans="1:3">
      <c r="A9" s="304"/>
      <c r="B9" s="926" t="s">
        <v>254</v>
      </c>
      <c r="C9" s="927"/>
    </row>
    <row r="10" spans="1:3">
      <c r="A10" s="304"/>
      <c r="B10" s="918" t="s">
        <v>180</v>
      </c>
      <c r="C10" s="919" t="s">
        <v>180</v>
      </c>
    </row>
    <row r="11" spans="1:3">
      <c r="A11" s="304"/>
      <c r="B11" s="918" t="s">
        <v>181</v>
      </c>
      <c r="C11" s="919" t="s">
        <v>181</v>
      </c>
    </row>
    <row r="12" spans="1:3">
      <c r="A12" s="304"/>
      <c r="B12" s="918" t="s">
        <v>182</v>
      </c>
      <c r="C12" s="919" t="s">
        <v>182</v>
      </c>
    </row>
    <row r="13" spans="1:3">
      <c r="A13" s="304"/>
      <c r="B13" s="918" t="s">
        <v>183</v>
      </c>
      <c r="C13" s="919" t="s">
        <v>183</v>
      </c>
    </row>
    <row r="14" spans="1:3">
      <c r="A14" s="304"/>
      <c r="B14" s="918" t="s">
        <v>184</v>
      </c>
      <c r="C14" s="919" t="s">
        <v>184</v>
      </c>
    </row>
    <row r="15" spans="1:3" ht="21.75" customHeight="1">
      <c r="A15" s="304"/>
      <c r="B15" s="918" t="s">
        <v>185</v>
      </c>
      <c r="C15" s="919" t="s">
        <v>185</v>
      </c>
    </row>
    <row r="16" spans="1:3">
      <c r="A16" s="304"/>
      <c r="B16" s="918" t="s">
        <v>186</v>
      </c>
      <c r="C16" s="919" t="s">
        <v>187</v>
      </c>
    </row>
    <row r="17" spans="1:6">
      <c r="A17" s="304"/>
      <c r="B17" s="918" t="s">
        <v>188</v>
      </c>
      <c r="C17" s="919" t="s">
        <v>189</v>
      </c>
    </row>
    <row r="18" spans="1:6">
      <c r="A18" s="304"/>
      <c r="B18" s="918" t="s">
        <v>190</v>
      </c>
      <c r="C18" s="919" t="s">
        <v>191</v>
      </c>
    </row>
    <row r="19" spans="1:6">
      <c r="A19" s="530"/>
      <c r="B19" s="924" t="s">
        <v>192</v>
      </c>
      <c r="C19" s="925" t="s">
        <v>192</v>
      </c>
    </row>
    <row r="20" spans="1:6">
      <c r="A20" s="530"/>
      <c r="B20" s="924" t="s">
        <v>917</v>
      </c>
      <c r="C20" s="925" t="s">
        <v>193</v>
      </c>
    </row>
    <row r="21" spans="1:6">
      <c r="A21" s="304"/>
      <c r="B21" s="924" t="s">
        <v>960</v>
      </c>
      <c r="C21" s="925" t="s">
        <v>194</v>
      </c>
    </row>
    <row r="22" spans="1:6" ht="23.25" customHeight="1">
      <c r="A22" s="304"/>
      <c r="B22" s="918" t="s">
        <v>195</v>
      </c>
      <c r="C22" s="919" t="s">
        <v>196</v>
      </c>
      <c r="F22" s="494"/>
    </row>
    <row r="23" spans="1:6">
      <c r="A23" s="304"/>
      <c r="B23" s="918" t="s">
        <v>197</v>
      </c>
      <c r="C23" s="919" t="s">
        <v>197</v>
      </c>
    </row>
    <row r="24" spans="1:6">
      <c r="A24" s="304"/>
      <c r="B24" s="918" t="s">
        <v>198</v>
      </c>
      <c r="C24" s="919" t="s">
        <v>199</v>
      </c>
    </row>
    <row r="25" spans="1:6" ht="12" thickBot="1">
      <c r="A25" s="117"/>
      <c r="B25" s="912" t="s">
        <v>200</v>
      </c>
      <c r="C25" s="913"/>
    </row>
    <row r="26" spans="1:6" ht="12.75" thickTop="1" thickBot="1">
      <c r="A26" s="902" t="s">
        <v>812</v>
      </c>
      <c r="B26" s="903"/>
      <c r="C26" s="904"/>
    </row>
    <row r="27" spans="1:6" ht="12.75" thickTop="1" thickBot="1">
      <c r="A27" s="118"/>
      <c r="B27" s="914" t="s">
        <v>813</v>
      </c>
      <c r="C27" s="915"/>
    </row>
    <row r="28" spans="1:6" ht="12.75" thickTop="1" thickBot="1">
      <c r="A28" s="902" t="s">
        <v>256</v>
      </c>
      <c r="B28" s="903"/>
      <c r="C28" s="904"/>
    </row>
    <row r="29" spans="1:6" ht="12" thickTop="1">
      <c r="A29" s="116"/>
      <c r="B29" s="916" t="s">
        <v>816</v>
      </c>
      <c r="C29" s="917" t="s">
        <v>201</v>
      </c>
    </row>
    <row r="30" spans="1:6">
      <c r="A30" s="304"/>
      <c r="B30" s="893" t="s">
        <v>205</v>
      </c>
      <c r="C30" s="894" t="s">
        <v>202</v>
      </c>
    </row>
    <row r="31" spans="1:6">
      <c r="A31" s="304"/>
      <c r="B31" s="893" t="s">
        <v>814</v>
      </c>
      <c r="C31" s="894" t="s">
        <v>203</v>
      </c>
    </row>
    <row r="32" spans="1:6">
      <c r="A32" s="304"/>
      <c r="B32" s="893" t="s">
        <v>815</v>
      </c>
      <c r="C32" s="894" t="s">
        <v>204</v>
      </c>
    </row>
    <row r="33" spans="1:3">
      <c r="A33" s="304"/>
      <c r="B33" s="893" t="s">
        <v>208</v>
      </c>
      <c r="C33" s="894" t="s">
        <v>209</v>
      </c>
    </row>
    <row r="34" spans="1:3">
      <c r="A34" s="304"/>
      <c r="B34" s="893" t="s">
        <v>817</v>
      </c>
      <c r="C34" s="894" t="s">
        <v>206</v>
      </c>
    </row>
    <row r="35" spans="1:3">
      <c r="A35" s="304"/>
      <c r="B35" s="893" t="s">
        <v>818</v>
      </c>
      <c r="C35" s="894" t="s">
        <v>207</v>
      </c>
    </row>
    <row r="36" spans="1:3">
      <c r="A36" s="304"/>
      <c r="B36" s="909" t="s">
        <v>819</v>
      </c>
      <c r="C36" s="910"/>
    </row>
    <row r="37" spans="1:3" ht="24.75" customHeight="1">
      <c r="A37" s="304"/>
      <c r="B37" s="893" t="s">
        <v>820</v>
      </c>
      <c r="C37" s="894" t="s">
        <v>210</v>
      </c>
    </row>
    <row r="38" spans="1:3" ht="23.25" customHeight="1">
      <c r="A38" s="304"/>
      <c r="B38" s="893" t="s">
        <v>821</v>
      </c>
      <c r="C38" s="894" t="s">
        <v>211</v>
      </c>
    </row>
    <row r="39" spans="1:3" ht="23.25" customHeight="1">
      <c r="A39" s="361"/>
      <c r="B39" s="909" t="s">
        <v>822</v>
      </c>
      <c r="C39" s="911"/>
    </row>
    <row r="40" spans="1:3" ht="12" customHeight="1">
      <c r="A40" s="304"/>
      <c r="B40" s="893" t="s">
        <v>823</v>
      </c>
      <c r="C40" s="894"/>
    </row>
    <row r="41" spans="1:3" ht="12" thickBot="1">
      <c r="A41" s="902" t="s">
        <v>257</v>
      </c>
      <c r="B41" s="903"/>
      <c r="C41" s="904"/>
    </row>
    <row r="42" spans="1:3" ht="12" thickTop="1">
      <c r="A42" s="116"/>
      <c r="B42" s="905" t="s">
        <v>287</v>
      </c>
      <c r="C42" s="906" t="s">
        <v>212</v>
      </c>
    </row>
    <row r="43" spans="1:3">
      <c r="A43" s="304"/>
      <c r="B43" s="884" t="s">
        <v>286</v>
      </c>
      <c r="C43" s="885"/>
    </row>
    <row r="44" spans="1:3" ht="23.25" customHeight="1" thickBot="1">
      <c r="A44" s="117"/>
      <c r="B44" s="900" t="s">
        <v>213</v>
      </c>
      <c r="C44" s="901" t="s">
        <v>214</v>
      </c>
    </row>
    <row r="45" spans="1:3" ht="11.25" customHeight="1" thickTop="1" thickBot="1">
      <c r="A45" s="902" t="s">
        <v>258</v>
      </c>
      <c r="B45" s="903"/>
      <c r="C45" s="904"/>
    </row>
    <row r="46" spans="1:3" ht="26.25" customHeight="1" thickTop="1">
      <c r="A46" s="304"/>
      <c r="B46" s="884" t="s">
        <v>259</v>
      </c>
      <c r="C46" s="885"/>
    </row>
    <row r="47" spans="1:3" ht="12" thickBot="1">
      <c r="A47" s="902" t="s">
        <v>260</v>
      </c>
      <c r="B47" s="903"/>
      <c r="C47" s="904"/>
    </row>
    <row r="48" spans="1:3" ht="12" thickTop="1">
      <c r="A48" s="116"/>
      <c r="B48" s="905" t="s">
        <v>215</v>
      </c>
      <c r="C48" s="906" t="s">
        <v>215</v>
      </c>
    </row>
    <row r="49" spans="1:3" ht="11.25" customHeight="1">
      <c r="A49" s="304"/>
      <c r="B49" s="884" t="s">
        <v>216</v>
      </c>
      <c r="C49" s="885" t="s">
        <v>216</v>
      </c>
    </row>
    <row r="50" spans="1:3">
      <c r="A50" s="304"/>
      <c r="B50" s="884" t="s">
        <v>217</v>
      </c>
      <c r="C50" s="885" t="s">
        <v>217</v>
      </c>
    </row>
    <row r="51" spans="1:3" ht="11.25" customHeight="1">
      <c r="A51" s="304"/>
      <c r="B51" s="884" t="s">
        <v>825</v>
      </c>
      <c r="C51" s="885" t="s">
        <v>218</v>
      </c>
    </row>
    <row r="52" spans="1:3" ht="33.6" customHeight="1">
      <c r="A52" s="304"/>
      <c r="B52" s="884" t="s">
        <v>219</v>
      </c>
      <c r="C52" s="885" t="s">
        <v>219</v>
      </c>
    </row>
    <row r="53" spans="1:3" ht="11.25" customHeight="1">
      <c r="A53" s="304"/>
      <c r="B53" s="884" t="s">
        <v>307</v>
      </c>
      <c r="C53" s="885" t="s">
        <v>220</v>
      </c>
    </row>
    <row r="54" spans="1:3" ht="11.25" customHeight="1" thickBot="1">
      <c r="A54" s="902" t="s">
        <v>261</v>
      </c>
      <c r="B54" s="903"/>
      <c r="C54" s="904"/>
    </row>
    <row r="55" spans="1:3" ht="12" thickTop="1">
      <c r="A55" s="116"/>
      <c r="B55" s="905" t="s">
        <v>215</v>
      </c>
      <c r="C55" s="906" t="s">
        <v>215</v>
      </c>
    </row>
    <row r="56" spans="1:3">
      <c r="A56" s="304"/>
      <c r="B56" s="884" t="s">
        <v>221</v>
      </c>
      <c r="C56" s="885" t="s">
        <v>221</v>
      </c>
    </row>
    <row r="57" spans="1:3">
      <c r="A57" s="304"/>
      <c r="B57" s="884" t="s">
        <v>264</v>
      </c>
      <c r="C57" s="885" t="s">
        <v>222</v>
      </c>
    </row>
    <row r="58" spans="1:3">
      <c r="A58" s="304"/>
      <c r="B58" s="884" t="s">
        <v>223</v>
      </c>
      <c r="C58" s="885" t="s">
        <v>223</v>
      </c>
    </row>
    <row r="59" spans="1:3">
      <c r="A59" s="304"/>
      <c r="B59" s="884" t="s">
        <v>224</v>
      </c>
      <c r="C59" s="885" t="s">
        <v>224</v>
      </c>
    </row>
    <row r="60" spans="1:3">
      <c r="A60" s="304"/>
      <c r="B60" s="884" t="s">
        <v>225</v>
      </c>
      <c r="C60" s="885" t="s">
        <v>225</v>
      </c>
    </row>
    <row r="61" spans="1:3">
      <c r="A61" s="304"/>
      <c r="B61" s="884" t="s">
        <v>265</v>
      </c>
      <c r="C61" s="885" t="s">
        <v>226</v>
      </c>
    </row>
    <row r="62" spans="1:3" ht="12" customHeight="1">
      <c r="A62" s="304"/>
      <c r="B62" s="871" t="s">
        <v>997</v>
      </c>
      <c r="C62" s="872" t="s">
        <v>227</v>
      </c>
    </row>
    <row r="63" spans="1:3" ht="22.5" customHeight="1" thickBot="1">
      <c r="A63" s="117"/>
      <c r="B63" s="900" t="s">
        <v>228</v>
      </c>
      <c r="C63" s="901" t="s">
        <v>228</v>
      </c>
    </row>
    <row r="64" spans="1:3" ht="11.25" customHeight="1" thickTop="1">
      <c r="A64" s="890" t="s">
        <v>262</v>
      </c>
      <c r="B64" s="891"/>
      <c r="C64" s="892"/>
    </row>
    <row r="65" spans="1:3" ht="12" thickBot="1">
      <c r="A65" s="117"/>
      <c r="B65" s="900" t="s">
        <v>229</v>
      </c>
      <c r="C65" s="901" t="s">
        <v>229</v>
      </c>
    </row>
    <row r="66" spans="1:3" ht="11.25" customHeight="1" thickTop="1">
      <c r="A66" s="890" t="s">
        <v>950</v>
      </c>
      <c r="B66" s="891"/>
      <c r="C66" s="892"/>
    </row>
    <row r="67" spans="1:3" ht="12" thickBot="1">
      <c r="A67" s="117"/>
      <c r="B67" s="900" t="s">
        <v>949</v>
      </c>
      <c r="C67" s="901"/>
    </row>
    <row r="68" spans="1:3" ht="11.25" customHeight="1" thickTop="1" thickBot="1">
      <c r="A68" s="902" t="s">
        <v>263</v>
      </c>
      <c r="B68" s="903"/>
      <c r="C68" s="904"/>
    </row>
    <row r="69" spans="1:3" ht="12" thickTop="1">
      <c r="A69" s="116"/>
      <c r="B69" s="905" t="s">
        <v>230</v>
      </c>
      <c r="C69" s="906" t="s">
        <v>230</v>
      </c>
    </row>
    <row r="70" spans="1:3">
      <c r="A70" s="304"/>
      <c r="B70" s="884" t="s">
        <v>827</v>
      </c>
      <c r="C70" s="885" t="s">
        <v>231</v>
      </c>
    </row>
    <row r="71" spans="1:3">
      <c r="A71" s="304"/>
      <c r="B71" s="884" t="s">
        <v>232</v>
      </c>
      <c r="C71" s="885" t="s">
        <v>232</v>
      </c>
    </row>
    <row r="72" spans="1:3" ht="54.95" customHeight="1">
      <c r="A72" s="304"/>
      <c r="B72" s="907" t="s">
        <v>961</v>
      </c>
      <c r="C72" s="908" t="s">
        <v>233</v>
      </c>
    </row>
    <row r="73" spans="1:3" ht="33.75" customHeight="1">
      <c r="A73" s="304"/>
      <c r="B73" s="898" t="s">
        <v>266</v>
      </c>
      <c r="C73" s="899" t="s">
        <v>234</v>
      </c>
    </row>
    <row r="74" spans="1:3" ht="15.75" customHeight="1">
      <c r="A74" s="304"/>
      <c r="B74" s="898" t="s">
        <v>828</v>
      </c>
      <c r="C74" s="899" t="s">
        <v>235</v>
      </c>
    </row>
    <row r="75" spans="1:3">
      <c r="A75" s="304"/>
      <c r="B75" s="884" t="s">
        <v>236</v>
      </c>
      <c r="C75" s="885" t="s">
        <v>236</v>
      </c>
    </row>
    <row r="76" spans="1:3" ht="12" thickBot="1">
      <c r="A76" s="117"/>
      <c r="B76" s="900" t="s">
        <v>237</v>
      </c>
      <c r="C76" s="901" t="s">
        <v>237</v>
      </c>
    </row>
    <row r="77" spans="1:3" ht="12" thickTop="1">
      <c r="A77" s="890" t="s">
        <v>290</v>
      </c>
      <c r="B77" s="891"/>
      <c r="C77" s="892"/>
    </row>
    <row r="78" spans="1:3">
      <c r="A78" s="304"/>
      <c r="B78" s="884" t="s">
        <v>229</v>
      </c>
      <c r="C78" s="885"/>
    </row>
    <row r="79" spans="1:3">
      <c r="A79" s="304"/>
      <c r="B79" s="884" t="s">
        <v>288</v>
      </c>
      <c r="C79" s="885"/>
    </row>
    <row r="80" spans="1:3">
      <c r="A80" s="304"/>
      <c r="B80" s="884" t="s">
        <v>289</v>
      </c>
      <c r="C80" s="885"/>
    </row>
    <row r="81" spans="1:3">
      <c r="A81" s="890" t="s">
        <v>291</v>
      </c>
      <c r="B81" s="891"/>
      <c r="C81" s="892"/>
    </row>
    <row r="82" spans="1:3">
      <c r="A82" s="304"/>
      <c r="B82" s="884" t="s">
        <v>229</v>
      </c>
      <c r="C82" s="885"/>
    </row>
    <row r="83" spans="1:3">
      <c r="A83" s="304"/>
      <c r="B83" s="884" t="s">
        <v>292</v>
      </c>
      <c r="C83" s="885"/>
    </row>
    <row r="84" spans="1:3" ht="79.5" customHeight="1">
      <c r="A84" s="304"/>
      <c r="B84" s="884" t="s">
        <v>306</v>
      </c>
      <c r="C84" s="885"/>
    </row>
    <row r="85" spans="1:3" ht="53.25" customHeight="1">
      <c r="A85" s="304"/>
      <c r="B85" s="884" t="s">
        <v>305</v>
      </c>
      <c r="C85" s="885"/>
    </row>
    <row r="86" spans="1:3">
      <c r="A86" s="304"/>
      <c r="B86" s="884" t="s">
        <v>293</v>
      </c>
      <c r="C86" s="885"/>
    </row>
    <row r="87" spans="1:3">
      <c r="A87" s="304"/>
      <c r="B87" s="884" t="s">
        <v>294</v>
      </c>
      <c r="C87" s="885"/>
    </row>
    <row r="88" spans="1:3">
      <c r="A88" s="304"/>
      <c r="B88" s="884" t="s">
        <v>295</v>
      </c>
      <c r="C88" s="885"/>
    </row>
    <row r="89" spans="1:3">
      <c r="A89" s="890" t="s">
        <v>296</v>
      </c>
      <c r="B89" s="891"/>
      <c r="C89" s="892"/>
    </row>
    <row r="90" spans="1:3">
      <c r="A90" s="304"/>
      <c r="B90" s="884" t="s">
        <v>229</v>
      </c>
      <c r="C90" s="885"/>
    </row>
    <row r="91" spans="1:3">
      <c r="A91" s="304"/>
      <c r="B91" s="884" t="s">
        <v>298</v>
      </c>
      <c r="C91" s="885"/>
    </row>
    <row r="92" spans="1:3" ht="12" customHeight="1">
      <c r="A92" s="304"/>
      <c r="B92" s="884" t="s">
        <v>299</v>
      </c>
      <c r="C92" s="885"/>
    </row>
    <row r="93" spans="1:3">
      <c r="A93" s="304"/>
      <c r="B93" s="884" t="s">
        <v>300</v>
      </c>
      <c r="C93" s="885"/>
    </row>
    <row r="94" spans="1:3" ht="24.75" customHeight="1">
      <c r="A94" s="304"/>
      <c r="B94" s="893" t="s">
        <v>336</v>
      </c>
      <c r="C94" s="894"/>
    </row>
    <row r="95" spans="1:3" ht="24" customHeight="1">
      <c r="A95" s="304"/>
      <c r="B95" s="893" t="s">
        <v>337</v>
      </c>
      <c r="C95" s="894"/>
    </row>
    <row r="96" spans="1:3" ht="13.5" customHeight="1">
      <c r="A96" s="304"/>
      <c r="B96" s="893" t="s">
        <v>301</v>
      </c>
      <c r="C96" s="894"/>
    </row>
    <row r="97" spans="1:3" ht="11.25" customHeight="1" thickBot="1">
      <c r="A97" s="895" t="s">
        <v>332</v>
      </c>
      <c r="B97" s="896"/>
      <c r="C97" s="897"/>
    </row>
    <row r="98" spans="1:3" ht="12.75" thickTop="1" thickBot="1">
      <c r="A98" s="889" t="s">
        <v>238</v>
      </c>
      <c r="B98" s="889"/>
      <c r="C98" s="889"/>
    </row>
    <row r="99" spans="1:3">
      <c r="A99" s="170">
        <v>2</v>
      </c>
      <c r="B99" s="293" t="s">
        <v>312</v>
      </c>
      <c r="C99" s="293" t="s">
        <v>333</v>
      </c>
    </row>
    <row r="100" spans="1:3">
      <c r="A100" s="121">
        <v>3</v>
      </c>
      <c r="B100" s="294" t="s">
        <v>313</v>
      </c>
      <c r="C100" s="295" t="s">
        <v>334</v>
      </c>
    </row>
    <row r="101" spans="1:3">
      <c r="A101" s="121">
        <v>4</v>
      </c>
      <c r="B101" s="294" t="s">
        <v>314</v>
      </c>
      <c r="C101" s="295" t="s">
        <v>338</v>
      </c>
    </row>
    <row r="102" spans="1:3" ht="11.25" customHeight="1">
      <c r="A102" s="121">
        <v>5</v>
      </c>
      <c r="B102" s="294" t="s">
        <v>315</v>
      </c>
      <c r="C102" s="295" t="s">
        <v>335</v>
      </c>
    </row>
    <row r="103" spans="1:3" ht="12" customHeight="1">
      <c r="A103" s="121">
        <v>6</v>
      </c>
      <c r="B103" s="294" t="s">
        <v>330</v>
      </c>
      <c r="C103" s="295" t="s">
        <v>316</v>
      </c>
    </row>
    <row r="104" spans="1:3" ht="12" customHeight="1">
      <c r="A104" s="121">
        <v>7</v>
      </c>
      <c r="B104" s="294" t="s">
        <v>317</v>
      </c>
      <c r="C104" s="295" t="s">
        <v>331</v>
      </c>
    </row>
    <row r="105" spans="1:3">
      <c r="A105" s="121">
        <v>8</v>
      </c>
      <c r="B105" s="294" t="s">
        <v>322</v>
      </c>
      <c r="C105" s="295" t="s">
        <v>342</v>
      </c>
    </row>
    <row r="106" spans="1:3" ht="11.25" customHeight="1">
      <c r="A106" s="890" t="s">
        <v>302</v>
      </c>
      <c r="B106" s="891"/>
      <c r="C106" s="892"/>
    </row>
    <row r="107" spans="1:3" ht="12" customHeight="1">
      <c r="A107" s="304"/>
      <c r="B107" s="871" t="s">
        <v>998</v>
      </c>
      <c r="C107" s="872"/>
    </row>
    <row r="108" spans="1:3">
      <c r="A108" s="890" t="s">
        <v>458</v>
      </c>
      <c r="B108" s="891"/>
      <c r="C108" s="892"/>
    </row>
    <row r="109" spans="1:3" ht="12" customHeight="1">
      <c r="A109" s="304"/>
      <c r="B109" s="884" t="s">
        <v>460</v>
      </c>
      <c r="C109" s="885"/>
    </row>
    <row r="110" spans="1:3">
      <c r="A110" s="304"/>
      <c r="B110" s="884" t="s">
        <v>461</v>
      </c>
      <c r="C110" s="885"/>
    </row>
    <row r="111" spans="1:3">
      <c r="A111" s="304"/>
      <c r="B111" s="884" t="s">
        <v>459</v>
      </c>
      <c r="C111" s="885"/>
    </row>
    <row r="112" spans="1:3">
      <c r="A112" s="882" t="s">
        <v>692</v>
      </c>
      <c r="B112" s="882"/>
      <c r="C112" s="882"/>
    </row>
    <row r="113" spans="1:3">
      <c r="A113" s="886" t="s">
        <v>176</v>
      </c>
      <c r="B113" s="886"/>
      <c r="C113" s="886"/>
    </row>
    <row r="114" spans="1:3">
      <c r="A114" s="477">
        <v>1</v>
      </c>
      <c r="B114" s="873" t="s">
        <v>576</v>
      </c>
      <c r="C114" s="874"/>
    </row>
    <row r="115" spans="1:3">
      <c r="A115" s="477">
        <v>2</v>
      </c>
      <c r="B115" s="887" t="s">
        <v>577</v>
      </c>
      <c r="C115" s="888"/>
    </row>
    <row r="116" spans="1:3">
      <c r="A116" s="477">
        <v>3</v>
      </c>
      <c r="B116" s="873" t="s">
        <v>901</v>
      </c>
      <c r="C116" s="874"/>
    </row>
    <row r="117" spans="1:3">
      <c r="A117" s="477">
        <v>4</v>
      </c>
      <c r="B117" s="873" t="s">
        <v>900</v>
      </c>
      <c r="C117" s="874"/>
    </row>
    <row r="118" spans="1:3">
      <c r="A118" s="477">
        <v>5</v>
      </c>
      <c r="B118" s="481" t="s">
        <v>899</v>
      </c>
      <c r="C118" s="480"/>
    </row>
    <row r="119" spans="1:3">
      <c r="A119" s="477">
        <v>6</v>
      </c>
      <c r="B119" s="875" t="s">
        <v>967</v>
      </c>
      <c r="C119" s="876"/>
    </row>
    <row r="120" spans="1:3" ht="48.6" customHeight="1">
      <c r="A120" s="477">
        <v>7</v>
      </c>
      <c r="B120" s="875" t="s">
        <v>968</v>
      </c>
      <c r="C120" s="876"/>
    </row>
    <row r="121" spans="1:3">
      <c r="A121" s="455">
        <v>8</v>
      </c>
      <c r="B121" s="450" t="s">
        <v>603</v>
      </c>
      <c r="C121" s="474" t="s">
        <v>898</v>
      </c>
    </row>
    <row r="122" spans="1:3" ht="22.5">
      <c r="A122" s="477">
        <v>9.01</v>
      </c>
      <c r="B122" s="450" t="s">
        <v>487</v>
      </c>
      <c r="C122" s="451" t="s">
        <v>652</v>
      </c>
    </row>
    <row r="123" spans="1:3" ht="33.75">
      <c r="A123" s="477">
        <v>9.02</v>
      </c>
      <c r="B123" s="450" t="s">
        <v>488</v>
      </c>
      <c r="C123" s="451" t="s">
        <v>655</v>
      </c>
    </row>
    <row r="124" spans="1:3">
      <c r="A124" s="477">
        <v>9.0299999999999994</v>
      </c>
      <c r="B124" s="451" t="s">
        <v>835</v>
      </c>
      <c r="C124" s="451" t="s">
        <v>578</v>
      </c>
    </row>
    <row r="125" spans="1:3">
      <c r="A125" s="477">
        <v>9.0399999999999991</v>
      </c>
      <c r="B125" s="450" t="s">
        <v>489</v>
      </c>
      <c r="C125" s="451" t="s">
        <v>579</v>
      </c>
    </row>
    <row r="126" spans="1:3">
      <c r="A126" s="477">
        <v>9.0500000000000007</v>
      </c>
      <c r="B126" s="450" t="s">
        <v>490</v>
      </c>
      <c r="C126" s="451" t="s">
        <v>580</v>
      </c>
    </row>
    <row r="127" spans="1:3" ht="22.5">
      <c r="A127" s="477">
        <v>9.06</v>
      </c>
      <c r="B127" s="450" t="s">
        <v>491</v>
      </c>
      <c r="C127" s="451" t="s">
        <v>581</v>
      </c>
    </row>
    <row r="128" spans="1:3">
      <c r="A128" s="477">
        <v>9.07</v>
      </c>
      <c r="B128" s="479" t="s">
        <v>492</v>
      </c>
      <c r="C128" s="451" t="s">
        <v>582</v>
      </c>
    </row>
    <row r="129" spans="1:3" ht="22.5">
      <c r="A129" s="477">
        <v>9.08</v>
      </c>
      <c r="B129" s="450" t="s">
        <v>493</v>
      </c>
      <c r="C129" s="451" t="s">
        <v>583</v>
      </c>
    </row>
    <row r="130" spans="1:3" ht="22.5">
      <c r="A130" s="477">
        <v>9.09</v>
      </c>
      <c r="B130" s="450" t="s">
        <v>494</v>
      </c>
      <c r="C130" s="451" t="s">
        <v>584</v>
      </c>
    </row>
    <row r="131" spans="1:3">
      <c r="A131" s="478">
        <v>9.1</v>
      </c>
      <c r="B131" s="450" t="s">
        <v>495</v>
      </c>
      <c r="C131" s="451" t="s">
        <v>585</v>
      </c>
    </row>
    <row r="132" spans="1:3">
      <c r="A132" s="477">
        <v>9.11</v>
      </c>
      <c r="B132" s="450" t="s">
        <v>496</v>
      </c>
      <c r="C132" s="451" t="s">
        <v>586</v>
      </c>
    </row>
    <row r="133" spans="1:3">
      <c r="A133" s="477">
        <v>9.1199999999999992</v>
      </c>
      <c r="B133" s="450" t="s">
        <v>497</v>
      </c>
      <c r="C133" s="451" t="s">
        <v>587</v>
      </c>
    </row>
    <row r="134" spans="1:3">
      <c r="A134" s="477">
        <v>9.1300000000000008</v>
      </c>
      <c r="B134" s="450" t="s">
        <v>498</v>
      </c>
      <c r="C134" s="451" t="s">
        <v>588</v>
      </c>
    </row>
    <row r="135" spans="1:3">
      <c r="A135" s="477">
        <v>9.14</v>
      </c>
      <c r="B135" s="450" t="s">
        <v>499</v>
      </c>
      <c r="C135" s="451" t="s">
        <v>589</v>
      </c>
    </row>
    <row r="136" spans="1:3">
      <c r="A136" s="477">
        <v>9.15</v>
      </c>
      <c r="B136" s="450" t="s">
        <v>500</v>
      </c>
      <c r="C136" s="451" t="s">
        <v>590</v>
      </c>
    </row>
    <row r="137" spans="1:3" ht="22.5">
      <c r="A137" s="477">
        <v>9.16</v>
      </c>
      <c r="B137" s="450" t="s">
        <v>501</v>
      </c>
      <c r="C137" s="451" t="s">
        <v>591</v>
      </c>
    </row>
    <row r="138" spans="1:3">
      <c r="A138" s="477">
        <v>9.17</v>
      </c>
      <c r="B138" s="451" t="s">
        <v>502</v>
      </c>
      <c r="C138" s="451" t="s">
        <v>592</v>
      </c>
    </row>
    <row r="139" spans="1:3" ht="22.5">
      <c r="A139" s="477">
        <v>9.18</v>
      </c>
      <c r="B139" s="450" t="s">
        <v>503</v>
      </c>
      <c r="C139" s="451" t="s">
        <v>593</v>
      </c>
    </row>
    <row r="140" spans="1:3">
      <c r="A140" s="477">
        <v>9.19</v>
      </c>
      <c r="B140" s="450" t="s">
        <v>504</v>
      </c>
      <c r="C140" s="451" t="s">
        <v>594</v>
      </c>
    </row>
    <row r="141" spans="1:3">
      <c r="A141" s="478">
        <v>9.1999999999999993</v>
      </c>
      <c r="B141" s="450" t="s">
        <v>505</v>
      </c>
      <c r="C141" s="451" t="s">
        <v>595</v>
      </c>
    </row>
    <row r="142" spans="1:3">
      <c r="A142" s="477">
        <v>9.2100000000000009</v>
      </c>
      <c r="B142" s="450" t="s">
        <v>506</v>
      </c>
      <c r="C142" s="451" t="s">
        <v>596</v>
      </c>
    </row>
    <row r="143" spans="1:3">
      <c r="A143" s="477">
        <v>9.2200000000000006</v>
      </c>
      <c r="B143" s="450" t="s">
        <v>507</v>
      </c>
      <c r="C143" s="451" t="s">
        <v>597</v>
      </c>
    </row>
    <row r="144" spans="1:3" ht="22.5">
      <c r="A144" s="477">
        <v>9.23</v>
      </c>
      <c r="B144" s="450" t="s">
        <v>508</v>
      </c>
      <c r="C144" s="451" t="s">
        <v>598</v>
      </c>
    </row>
    <row r="145" spans="1:3" ht="22.5">
      <c r="A145" s="477">
        <v>9.24</v>
      </c>
      <c r="B145" s="450" t="s">
        <v>509</v>
      </c>
      <c r="C145" s="451" t="s">
        <v>599</v>
      </c>
    </row>
    <row r="146" spans="1:3">
      <c r="A146" s="477">
        <v>9.2500000000000107</v>
      </c>
      <c r="B146" s="450" t="s">
        <v>510</v>
      </c>
      <c r="C146" s="451" t="s">
        <v>600</v>
      </c>
    </row>
    <row r="147" spans="1:3" ht="22.5">
      <c r="A147" s="477">
        <v>9.2600000000000193</v>
      </c>
      <c r="B147" s="450" t="s">
        <v>601</v>
      </c>
      <c r="C147" s="476" t="s">
        <v>602</v>
      </c>
    </row>
    <row r="148" spans="1:3" s="305" customFormat="1" ht="22.5">
      <c r="A148" s="477">
        <v>9.2700000000000298</v>
      </c>
      <c r="B148" s="450" t="s">
        <v>88</v>
      </c>
      <c r="C148" s="476" t="s">
        <v>653</v>
      </c>
    </row>
    <row r="149" spans="1:3" s="305" customFormat="1">
      <c r="A149" s="456"/>
      <c r="B149" s="869" t="s">
        <v>604</v>
      </c>
      <c r="C149" s="870"/>
    </row>
    <row r="150" spans="1:3" s="305" customFormat="1">
      <c r="A150" s="455">
        <v>1</v>
      </c>
      <c r="B150" s="871" t="s">
        <v>897</v>
      </c>
      <c r="C150" s="872"/>
    </row>
    <row r="151" spans="1:3" s="305" customFormat="1">
      <c r="A151" s="455">
        <v>2</v>
      </c>
      <c r="B151" s="871" t="s">
        <v>654</v>
      </c>
      <c r="C151" s="872"/>
    </row>
    <row r="152" spans="1:3" s="305" customFormat="1">
      <c r="A152" s="455">
        <v>3</v>
      </c>
      <c r="B152" s="871" t="s">
        <v>651</v>
      </c>
      <c r="C152" s="872"/>
    </row>
    <row r="153" spans="1:3" s="305" customFormat="1">
      <c r="A153" s="456"/>
      <c r="B153" s="869" t="s">
        <v>605</v>
      </c>
      <c r="C153" s="870"/>
    </row>
    <row r="154" spans="1:3" s="305" customFormat="1">
      <c r="A154" s="455">
        <v>1</v>
      </c>
      <c r="B154" s="877" t="s">
        <v>896</v>
      </c>
      <c r="C154" s="878"/>
    </row>
    <row r="155" spans="1:3" s="305" customFormat="1">
      <c r="A155" s="455">
        <v>2</v>
      </c>
      <c r="B155" s="450" t="s">
        <v>834</v>
      </c>
      <c r="C155" s="531" t="s">
        <v>962</v>
      </c>
    </row>
    <row r="156" spans="1:3" ht="22.5">
      <c r="A156" s="455">
        <v>3</v>
      </c>
      <c r="B156" s="450" t="s">
        <v>833</v>
      </c>
      <c r="C156" s="474" t="s">
        <v>895</v>
      </c>
    </row>
    <row r="157" spans="1:3">
      <c r="A157" s="455">
        <v>4</v>
      </c>
      <c r="B157" s="450" t="s">
        <v>480</v>
      </c>
      <c r="C157" s="450" t="s">
        <v>913</v>
      </c>
    </row>
    <row r="158" spans="1:3" ht="24.95" customHeight="1">
      <c r="A158" s="456"/>
      <c r="B158" s="869" t="s">
        <v>606</v>
      </c>
      <c r="C158" s="870"/>
    </row>
    <row r="159" spans="1:3" ht="33.75">
      <c r="A159" s="455"/>
      <c r="B159" s="450" t="s">
        <v>884</v>
      </c>
      <c r="C159" s="532" t="s">
        <v>963</v>
      </c>
    </row>
    <row r="160" spans="1:3">
      <c r="A160" s="456"/>
      <c r="B160" s="869" t="s">
        <v>607</v>
      </c>
      <c r="C160" s="870"/>
    </row>
    <row r="161" spans="1:3" ht="39" customHeight="1">
      <c r="A161" s="456"/>
      <c r="B161" s="871" t="s">
        <v>894</v>
      </c>
      <c r="C161" s="872"/>
    </row>
    <row r="162" spans="1:3">
      <c r="A162" s="456" t="s">
        <v>608</v>
      </c>
      <c r="B162" s="475" t="s">
        <v>518</v>
      </c>
      <c r="C162" s="467" t="s">
        <v>609</v>
      </c>
    </row>
    <row r="163" spans="1:3">
      <c r="A163" s="456" t="s">
        <v>357</v>
      </c>
      <c r="B163" s="472" t="s">
        <v>519</v>
      </c>
      <c r="C163" s="474" t="s">
        <v>893</v>
      </c>
    </row>
    <row r="164" spans="1:3" ht="22.5">
      <c r="A164" s="456" t="s">
        <v>364</v>
      </c>
      <c r="B164" s="467" t="s">
        <v>520</v>
      </c>
      <c r="C164" s="474" t="s">
        <v>610</v>
      </c>
    </row>
    <row r="165" spans="1:3">
      <c r="A165" s="456" t="s">
        <v>611</v>
      </c>
      <c r="B165" s="472" t="s">
        <v>521</v>
      </c>
      <c r="C165" s="473" t="s">
        <v>612</v>
      </c>
    </row>
    <row r="166" spans="1:3" ht="22.5">
      <c r="A166" s="456" t="s">
        <v>613</v>
      </c>
      <c r="B166" s="472" t="s">
        <v>848</v>
      </c>
      <c r="C166" s="466" t="s">
        <v>892</v>
      </c>
    </row>
    <row r="167" spans="1:3" ht="22.5">
      <c r="A167" s="456" t="s">
        <v>365</v>
      </c>
      <c r="B167" s="472" t="s">
        <v>522</v>
      </c>
      <c r="C167" s="466" t="s">
        <v>615</v>
      </c>
    </row>
    <row r="168" spans="1:3" ht="22.5">
      <c r="A168" s="456" t="s">
        <v>614</v>
      </c>
      <c r="B168" s="470" t="s">
        <v>525</v>
      </c>
      <c r="C168" s="471" t="s">
        <v>622</v>
      </c>
    </row>
    <row r="169" spans="1:3" ht="22.5">
      <c r="A169" s="456" t="s">
        <v>616</v>
      </c>
      <c r="B169" s="470" t="s">
        <v>523</v>
      </c>
      <c r="C169" s="466" t="s">
        <v>618</v>
      </c>
    </row>
    <row r="170" spans="1:3" ht="26.45" customHeight="1">
      <c r="A170" s="456" t="s">
        <v>617</v>
      </c>
      <c r="B170" s="470" t="s">
        <v>524</v>
      </c>
      <c r="C170" s="471" t="s">
        <v>620</v>
      </c>
    </row>
    <row r="171" spans="1:3" ht="22.5">
      <c r="A171" s="456" t="s">
        <v>619</v>
      </c>
      <c r="B171" s="451" t="s">
        <v>526</v>
      </c>
      <c r="C171" s="471" t="s">
        <v>624</v>
      </c>
    </row>
    <row r="172" spans="1:3" ht="22.5">
      <c r="A172" s="456" t="s">
        <v>621</v>
      </c>
      <c r="B172" s="470" t="s">
        <v>527</v>
      </c>
      <c r="C172" s="469" t="s">
        <v>625</v>
      </c>
    </row>
    <row r="173" spans="1:3">
      <c r="A173" s="456" t="s">
        <v>623</v>
      </c>
      <c r="B173" s="468" t="s">
        <v>528</v>
      </c>
      <c r="C173" s="467" t="s">
        <v>626</v>
      </c>
    </row>
    <row r="174" spans="1:3" ht="22.5">
      <c r="A174" s="456"/>
      <c r="B174" s="466" t="s">
        <v>891</v>
      </c>
      <c r="C174" s="451" t="s">
        <v>627</v>
      </c>
    </row>
    <row r="175" spans="1:3" ht="22.5">
      <c r="A175" s="456"/>
      <c r="B175" s="466" t="s">
        <v>890</v>
      </c>
      <c r="C175" s="451" t="s">
        <v>628</v>
      </c>
    </row>
    <row r="176" spans="1:3" ht="22.5">
      <c r="A176" s="456"/>
      <c r="B176" s="466" t="s">
        <v>889</v>
      </c>
      <c r="C176" s="451" t="s">
        <v>629</v>
      </c>
    </row>
    <row r="177" spans="1:3">
      <c r="A177" s="456"/>
      <c r="B177" s="869" t="s">
        <v>630</v>
      </c>
      <c r="C177" s="870"/>
    </row>
    <row r="178" spans="1:3">
      <c r="A178" s="456"/>
      <c r="B178" s="871" t="s">
        <v>888</v>
      </c>
      <c r="C178" s="872"/>
    </row>
    <row r="179" spans="1:3">
      <c r="A179" s="455">
        <v>1</v>
      </c>
      <c r="B179" s="451" t="s">
        <v>532</v>
      </c>
      <c r="C179" s="451" t="s">
        <v>532</v>
      </c>
    </row>
    <row r="180" spans="1:3" ht="33.75">
      <c r="A180" s="455">
        <v>2</v>
      </c>
      <c r="B180" s="451" t="s">
        <v>631</v>
      </c>
      <c r="C180" s="451" t="s">
        <v>632</v>
      </c>
    </row>
    <row r="181" spans="1:3">
      <c r="A181" s="455">
        <v>3</v>
      </c>
      <c r="B181" s="451" t="s">
        <v>534</v>
      </c>
      <c r="C181" s="451" t="s">
        <v>633</v>
      </c>
    </row>
    <row r="182" spans="1:3" ht="22.5">
      <c r="A182" s="455">
        <v>4</v>
      </c>
      <c r="B182" s="451" t="s">
        <v>535</v>
      </c>
      <c r="C182" s="451" t="s">
        <v>634</v>
      </c>
    </row>
    <row r="183" spans="1:3" ht="22.5">
      <c r="A183" s="455">
        <v>5</v>
      </c>
      <c r="B183" s="451" t="s">
        <v>536</v>
      </c>
      <c r="C183" s="451" t="s">
        <v>656</v>
      </c>
    </row>
    <row r="184" spans="1:3" ht="45">
      <c r="A184" s="455">
        <v>6</v>
      </c>
      <c r="B184" s="451" t="s">
        <v>537</v>
      </c>
      <c r="C184" s="451" t="s">
        <v>635</v>
      </c>
    </row>
    <row r="185" spans="1:3">
      <c r="A185" s="456"/>
      <c r="B185" s="869" t="s">
        <v>636</v>
      </c>
      <c r="C185" s="870"/>
    </row>
    <row r="186" spans="1:3">
      <c r="A186" s="456"/>
      <c r="B186" s="880" t="s">
        <v>887</v>
      </c>
      <c r="C186" s="877"/>
    </row>
    <row r="187" spans="1:3" ht="22.5">
      <c r="A187" s="456">
        <v>1.1000000000000001</v>
      </c>
      <c r="B187" s="465" t="s">
        <v>542</v>
      </c>
      <c r="C187" s="451" t="s">
        <v>637</v>
      </c>
    </row>
    <row r="188" spans="1:3" ht="50.1" customHeight="1">
      <c r="A188" s="456" t="s">
        <v>146</v>
      </c>
      <c r="B188" s="452" t="s">
        <v>543</v>
      </c>
      <c r="C188" s="451" t="s">
        <v>638</v>
      </c>
    </row>
    <row r="189" spans="1:3">
      <c r="A189" s="456" t="s">
        <v>544</v>
      </c>
      <c r="B189" s="464" t="s">
        <v>545</v>
      </c>
      <c r="C189" s="881" t="s">
        <v>886</v>
      </c>
    </row>
    <row r="190" spans="1:3">
      <c r="A190" s="456" t="s">
        <v>546</v>
      </c>
      <c r="B190" s="464" t="s">
        <v>547</v>
      </c>
      <c r="C190" s="881"/>
    </row>
    <row r="191" spans="1:3">
      <c r="A191" s="456" t="s">
        <v>548</v>
      </c>
      <c r="B191" s="464" t="s">
        <v>549</v>
      </c>
      <c r="C191" s="881"/>
    </row>
    <row r="192" spans="1:3">
      <c r="A192" s="456" t="s">
        <v>550</v>
      </c>
      <c r="B192" s="464" t="s">
        <v>551</v>
      </c>
      <c r="C192" s="881"/>
    </row>
    <row r="193" spans="1:4" ht="25.5" customHeight="1">
      <c r="A193" s="456">
        <v>1.2</v>
      </c>
      <c r="B193" s="463" t="s">
        <v>862</v>
      </c>
      <c r="C193" s="533" t="s">
        <v>964</v>
      </c>
    </row>
    <row r="194" spans="1:4" ht="22.5">
      <c r="A194" s="456" t="s">
        <v>553</v>
      </c>
      <c r="B194" s="458" t="s">
        <v>554</v>
      </c>
      <c r="C194" s="461" t="s">
        <v>639</v>
      </c>
    </row>
    <row r="195" spans="1:4" ht="22.5">
      <c r="A195" s="456" t="s">
        <v>555</v>
      </c>
      <c r="B195" s="462" t="s">
        <v>556</v>
      </c>
      <c r="C195" s="461" t="s">
        <v>640</v>
      </c>
    </row>
    <row r="196" spans="1:4" ht="26.1" customHeight="1">
      <c r="A196" s="456" t="s">
        <v>557</v>
      </c>
      <c r="B196" s="460" t="s">
        <v>558</v>
      </c>
      <c r="C196" s="450" t="s">
        <v>641</v>
      </c>
    </row>
    <row r="197" spans="1:4" ht="22.5">
      <c r="A197" s="456" t="s">
        <v>559</v>
      </c>
      <c r="B197" s="459" t="s">
        <v>560</v>
      </c>
      <c r="C197" s="450" t="s">
        <v>642</v>
      </c>
      <c r="D197" s="306"/>
    </row>
    <row r="198" spans="1:4" ht="22.5">
      <c r="A198" s="456">
        <v>1.4</v>
      </c>
      <c r="B198" s="458" t="s">
        <v>649</v>
      </c>
      <c r="C198" s="457" t="s">
        <v>643</v>
      </c>
      <c r="D198" s="307"/>
    </row>
    <row r="199" spans="1:4" ht="12.75">
      <c r="A199" s="456">
        <v>1.5</v>
      </c>
      <c r="B199" s="458" t="s">
        <v>650</v>
      </c>
      <c r="C199" s="457" t="s">
        <v>643</v>
      </c>
      <c r="D199" s="308"/>
    </row>
    <row r="200" spans="1:4" ht="12.75">
      <c r="A200" s="456"/>
      <c r="B200" s="882" t="s">
        <v>644</v>
      </c>
      <c r="C200" s="882"/>
      <c r="D200" s="308"/>
    </row>
    <row r="201" spans="1:4" ht="12.75">
      <c r="A201" s="456"/>
      <c r="B201" s="880" t="s">
        <v>885</v>
      </c>
      <c r="C201" s="880"/>
      <c r="D201" s="308"/>
    </row>
    <row r="202" spans="1:4" ht="12.75">
      <c r="A202" s="455"/>
      <c r="B202" s="450" t="s">
        <v>884</v>
      </c>
      <c r="C202" s="532" t="s">
        <v>962</v>
      </c>
      <c r="D202" s="308"/>
    </row>
    <row r="203" spans="1:4" ht="12.75">
      <c r="A203" s="456"/>
      <c r="B203" s="882" t="s">
        <v>645</v>
      </c>
      <c r="C203" s="882"/>
      <c r="D203" s="309"/>
    </row>
    <row r="204" spans="1:4" ht="12.75">
      <c r="A204" s="455"/>
      <c r="B204" s="880" t="s">
        <v>883</v>
      </c>
      <c r="C204" s="880"/>
      <c r="D204" s="310"/>
    </row>
    <row r="205" spans="1:4" ht="12.75">
      <c r="B205" s="882" t="s">
        <v>682</v>
      </c>
      <c r="C205" s="882"/>
      <c r="D205" s="311"/>
    </row>
    <row r="206" spans="1:4" ht="22.5">
      <c r="A206" s="452">
        <v>1</v>
      </c>
      <c r="B206" s="450" t="s">
        <v>658</v>
      </c>
      <c r="C206" s="450" t="s">
        <v>670</v>
      </c>
      <c r="D206" s="310"/>
    </row>
    <row r="207" spans="1:4" ht="18" customHeight="1">
      <c r="A207" s="452">
        <v>2</v>
      </c>
      <c r="B207" s="450" t="s">
        <v>659</v>
      </c>
      <c r="C207" s="450" t="s">
        <v>671</v>
      </c>
      <c r="D207" s="311"/>
    </row>
    <row r="208" spans="1:4" ht="22.5">
      <c r="A208" s="452">
        <v>3</v>
      </c>
      <c r="B208" s="450" t="s">
        <v>660</v>
      </c>
      <c r="C208" s="450" t="s">
        <v>672</v>
      </c>
      <c r="D208" s="312"/>
    </row>
    <row r="209" spans="1:4" ht="12.75">
      <c r="A209" s="452">
        <v>4</v>
      </c>
      <c r="B209" s="450" t="s">
        <v>661</v>
      </c>
      <c r="C209" s="450" t="s">
        <v>673</v>
      </c>
      <c r="D209" s="312"/>
    </row>
    <row r="210" spans="1:4" ht="22.5">
      <c r="A210" s="452">
        <v>5</v>
      </c>
      <c r="B210" s="450" t="s">
        <v>662</v>
      </c>
      <c r="C210" s="450" t="s">
        <v>674</v>
      </c>
    </row>
    <row r="211" spans="1:4" ht="24.6" customHeight="1">
      <c r="A211" s="452">
        <v>6</v>
      </c>
      <c r="B211" s="450" t="s">
        <v>663</v>
      </c>
      <c r="C211" s="450" t="s">
        <v>675</v>
      </c>
    </row>
    <row r="212" spans="1:4" ht="22.5">
      <c r="A212" s="452">
        <v>7</v>
      </c>
      <c r="B212" s="450" t="s">
        <v>664</v>
      </c>
      <c r="C212" s="450" t="s">
        <v>676</v>
      </c>
    </row>
    <row r="213" spans="1:4">
      <c r="A213" s="452">
        <v>7.1</v>
      </c>
      <c r="B213" s="454" t="s">
        <v>665</v>
      </c>
      <c r="C213" s="450" t="s">
        <v>677</v>
      </c>
    </row>
    <row r="214" spans="1:4" ht="22.5">
      <c r="A214" s="452">
        <v>7.2</v>
      </c>
      <c r="B214" s="454" t="s">
        <v>666</v>
      </c>
      <c r="C214" s="450" t="s">
        <v>678</v>
      </c>
    </row>
    <row r="215" spans="1:4">
      <c r="A215" s="452">
        <v>7.3</v>
      </c>
      <c r="B215" s="453" t="s">
        <v>667</v>
      </c>
      <c r="C215" s="450" t="s">
        <v>679</v>
      </c>
    </row>
    <row r="216" spans="1:4" ht="39.6" customHeight="1">
      <c r="A216" s="452">
        <v>8</v>
      </c>
      <c r="B216" s="450" t="s">
        <v>668</v>
      </c>
      <c r="C216" s="450" t="s">
        <v>680</v>
      </c>
    </row>
    <row r="217" spans="1:4">
      <c r="A217" s="452">
        <v>9</v>
      </c>
      <c r="B217" s="450" t="s">
        <v>669</v>
      </c>
      <c r="C217" s="450" t="s">
        <v>681</v>
      </c>
    </row>
    <row r="218" spans="1:4" ht="22.5">
      <c r="A218" s="489">
        <v>10.1</v>
      </c>
      <c r="B218" s="490" t="s">
        <v>689</v>
      </c>
      <c r="C218" s="482" t="s">
        <v>690</v>
      </c>
    </row>
    <row r="219" spans="1:4">
      <c r="A219" s="883"/>
      <c r="B219" s="491" t="s">
        <v>875</v>
      </c>
      <c r="C219" s="450" t="s">
        <v>882</v>
      </c>
    </row>
    <row r="220" spans="1:4">
      <c r="A220" s="883"/>
      <c r="B220" s="451" t="s">
        <v>541</v>
      </c>
      <c r="C220" s="450" t="s">
        <v>881</v>
      </c>
    </row>
    <row r="221" spans="1:4">
      <c r="A221" s="883"/>
      <c r="B221" s="451" t="s">
        <v>874</v>
      </c>
      <c r="C221" s="533" t="s">
        <v>965</v>
      </c>
    </row>
    <row r="222" spans="1:4">
      <c r="A222" s="883"/>
      <c r="B222" s="451" t="s">
        <v>683</v>
      </c>
      <c r="C222" s="450" t="s">
        <v>880</v>
      </c>
    </row>
    <row r="223" spans="1:4" ht="22.5">
      <c r="A223" s="883"/>
      <c r="B223" s="451" t="s">
        <v>687</v>
      </c>
      <c r="C223" s="451" t="s">
        <v>879</v>
      </c>
    </row>
    <row r="224" spans="1:4" ht="33.75">
      <c r="A224" s="883"/>
      <c r="B224" s="451" t="s">
        <v>686</v>
      </c>
      <c r="C224" s="450" t="s">
        <v>878</v>
      </c>
    </row>
    <row r="225" spans="1:3">
      <c r="A225" s="883"/>
      <c r="B225" s="451" t="s">
        <v>914</v>
      </c>
      <c r="C225" s="450" t="s">
        <v>877</v>
      </c>
    </row>
    <row r="226" spans="1:3" ht="22.5">
      <c r="A226" s="883"/>
      <c r="B226" s="451" t="s">
        <v>915</v>
      </c>
      <c r="C226" s="450" t="s">
        <v>876</v>
      </c>
    </row>
    <row r="227" spans="1:3" ht="12.75">
      <c r="A227" s="483"/>
      <c r="B227" s="484"/>
      <c r="C227" s="485"/>
    </row>
    <row r="228" spans="1:3" ht="12.75">
      <c r="A228" s="483"/>
      <c r="B228" s="485"/>
      <c r="C228" s="485"/>
    </row>
    <row r="229" spans="1:3" ht="12.75">
      <c r="A229" s="483"/>
      <c r="B229" s="485"/>
      <c r="C229" s="485"/>
    </row>
    <row r="230" spans="1:3" ht="12.75">
      <c r="A230" s="483"/>
      <c r="B230" s="486"/>
      <c r="C230" s="485"/>
    </row>
    <row r="231" spans="1:3" ht="12.75">
      <c r="A231" s="879"/>
      <c r="B231" s="487"/>
      <c r="C231" s="485"/>
    </row>
    <row r="232" spans="1:3" ht="12.75">
      <c r="A232" s="879"/>
      <c r="B232" s="487"/>
      <c r="C232" s="485"/>
    </row>
    <row r="233" spans="1:3" ht="12.75">
      <c r="A233" s="879"/>
      <c r="B233" s="487"/>
      <c r="C233" s="485"/>
    </row>
    <row r="234" spans="1:3" ht="12.75">
      <c r="A234" s="879"/>
      <c r="B234" s="487"/>
      <c r="C234" s="488"/>
    </row>
    <row r="235" spans="1:3" ht="40.5" customHeight="1">
      <c r="A235" s="879"/>
      <c r="B235" s="487"/>
      <c r="C235" s="485"/>
    </row>
    <row r="236" spans="1:3" ht="24" customHeight="1">
      <c r="A236" s="879"/>
      <c r="B236" s="487"/>
      <c r="C236" s="485"/>
    </row>
    <row r="237" spans="1:3" ht="12.75">
      <c r="A237" s="879"/>
      <c r="B237" s="487"/>
      <c r="C237" s="485"/>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Q45"/>
  <sheetViews>
    <sheetView showGridLines="0" zoomScale="80" zoomScaleNormal="80" workbookViewId="0"/>
  </sheetViews>
  <sheetFormatPr defaultRowHeight="15"/>
  <cols>
    <col min="2" max="2" width="66.5703125" customWidth="1"/>
    <col min="3" max="8" width="17.85546875" style="593" customWidth="1"/>
    <col min="12" max="12" width="11.42578125" style="593" customWidth="1"/>
    <col min="13" max="13" width="9.28515625" style="593" bestFit="1" customWidth="1"/>
    <col min="14" max="14" width="12.7109375" style="593" customWidth="1"/>
    <col min="15" max="17" width="15.85546875" style="593" bestFit="1" customWidth="1"/>
  </cols>
  <sheetData>
    <row r="1" spans="1:8" ht="15.75">
      <c r="A1" s="13" t="s">
        <v>97</v>
      </c>
      <c r="B1" s="217" t="str">
        <f>Info!C2</f>
        <v>სს "ბანკი ქართუ"</v>
      </c>
      <c r="C1" s="591"/>
      <c r="D1" s="592"/>
      <c r="E1" s="592"/>
      <c r="F1" s="592"/>
      <c r="G1" s="592"/>
    </row>
    <row r="2" spans="1:8" ht="15.75">
      <c r="A2" s="13" t="s">
        <v>98</v>
      </c>
      <c r="B2" s="585">
        <f>'1. key ratios'!B2</f>
        <v>45747</v>
      </c>
      <c r="C2" s="591"/>
      <c r="D2" s="592"/>
      <c r="E2" s="592"/>
      <c r="F2" s="592"/>
      <c r="G2" s="592"/>
    </row>
    <row r="3" spans="1:8" ht="15.75">
      <c r="A3" s="13"/>
      <c r="B3" s="12"/>
      <c r="C3" s="591"/>
      <c r="D3" s="592"/>
      <c r="E3" s="592"/>
      <c r="F3" s="592"/>
      <c r="G3" s="592"/>
    </row>
    <row r="4" spans="1:8">
      <c r="A4" s="759" t="s">
        <v>25</v>
      </c>
      <c r="B4" s="757" t="s">
        <v>155</v>
      </c>
      <c r="C4" s="755" t="s">
        <v>103</v>
      </c>
      <c r="D4" s="755"/>
      <c r="E4" s="755"/>
      <c r="F4" s="755" t="s">
        <v>104</v>
      </c>
      <c r="G4" s="755"/>
      <c r="H4" s="756"/>
    </row>
    <row r="5" spans="1:8" ht="15.6" customHeight="1">
      <c r="A5" s="760"/>
      <c r="B5" s="758"/>
      <c r="C5" s="601" t="s">
        <v>26</v>
      </c>
      <c r="D5" s="601" t="s">
        <v>77</v>
      </c>
      <c r="E5" s="601" t="s">
        <v>66</v>
      </c>
      <c r="F5" s="601" t="s">
        <v>26</v>
      </c>
      <c r="G5" s="601" t="s">
        <v>77</v>
      </c>
      <c r="H5" s="601" t="s">
        <v>66</v>
      </c>
    </row>
    <row r="6" spans="1:8">
      <c r="A6" s="362">
        <v>1</v>
      </c>
      <c r="B6" s="340" t="s">
        <v>744</v>
      </c>
      <c r="C6" s="599">
        <f>SUM(C7:C12)</f>
        <v>13778235.406413263</v>
      </c>
      <c r="D6" s="599">
        <f>SUM(D7:D12)</f>
        <v>15213581.43999441</v>
      </c>
      <c r="E6" s="600">
        <f>C6+D6</f>
        <v>28991816.846407674</v>
      </c>
      <c r="F6" s="599">
        <f>SUM(F7:F12)</f>
        <v>12035367.246893331</v>
      </c>
      <c r="G6" s="599">
        <f>SUM(G7:G12)</f>
        <v>15102416.741382714</v>
      </c>
      <c r="H6" s="600">
        <f>F6+G6</f>
        <v>27137783.988276046</v>
      </c>
    </row>
    <row r="7" spans="1:8">
      <c r="A7" s="362">
        <v>1.1000000000000001</v>
      </c>
      <c r="B7" s="341" t="s">
        <v>698</v>
      </c>
      <c r="C7" s="599">
        <v>0</v>
      </c>
      <c r="D7" s="599">
        <v>0</v>
      </c>
      <c r="E7" s="600">
        <f t="shared" ref="E7:E45" si="0">C7+D7</f>
        <v>0</v>
      </c>
      <c r="F7" s="599">
        <v>0</v>
      </c>
      <c r="G7" s="599">
        <v>0</v>
      </c>
      <c r="H7" s="600">
        <f t="shared" ref="H7:H44" si="1">F7+G7</f>
        <v>0</v>
      </c>
    </row>
    <row r="8" spans="1:8" ht="21">
      <c r="A8" s="362">
        <v>1.2</v>
      </c>
      <c r="B8" s="341" t="s">
        <v>745</v>
      </c>
      <c r="C8" s="599">
        <v>0</v>
      </c>
      <c r="D8" s="599">
        <v>0</v>
      </c>
      <c r="E8" s="600">
        <f t="shared" si="0"/>
        <v>0</v>
      </c>
      <c r="F8" s="599">
        <v>0</v>
      </c>
      <c r="G8" s="599">
        <v>0</v>
      </c>
      <c r="H8" s="600">
        <f t="shared" si="1"/>
        <v>0</v>
      </c>
    </row>
    <row r="9" spans="1:8" ht="21.6" customHeight="1">
      <c r="A9" s="362">
        <v>1.3</v>
      </c>
      <c r="B9" s="332" t="s">
        <v>746</v>
      </c>
      <c r="C9" s="599">
        <v>0</v>
      </c>
      <c r="D9" s="599">
        <v>0</v>
      </c>
      <c r="E9" s="600">
        <f t="shared" si="0"/>
        <v>0</v>
      </c>
      <c r="F9" s="599">
        <v>0</v>
      </c>
      <c r="G9" s="599">
        <v>0</v>
      </c>
      <c r="H9" s="600">
        <f t="shared" si="1"/>
        <v>0</v>
      </c>
    </row>
    <row r="10" spans="1:8" ht="21">
      <c r="A10" s="362">
        <v>1.4</v>
      </c>
      <c r="B10" s="332" t="s">
        <v>702</v>
      </c>
      <c r="C10" s="599">
        <v>158804.84999999998</v>
      </c>
      <c r="D10" s="599">
        <v>0</v>
      </c>
      <c r="E10" s="600">
        <f t="shared" si="0"/>
        <v>158804.84999999998</v>
      </c>
      <c r="F10" s="599">
        <v>159688.05999999994</v>
      </c>
      <c r="G10" s="599">
        <v>0</v>
      </c>
      <c r="H10" s="600">
        <f t="shared" si="1"/>
        <v>159688.05999999994</v>
      </c>
    </row>
    <row r="11" spans="1:8">
      <c r="A11" s="362">
        <v>1.5</v>
      </c>
      <c r="B11" s="332" t="s">
        <v>705</v>
      </c>
      <c r="C11" s="599">
        <v>13619430.556413263</v>
      </c>
      <c r="D11" s="599">
        <v>15213581.43999441</v>
      </c>
      <c r="E11" s="600">
        <f t="shared" si="0"/>
        <v>28833011.996407673</v>
      </c>
      <c r="F11" s="599">
        <v>11875679.186893331</v>
      </c>
      <c r="G11" s="599">
        <v>15102416.741382714</v>
      </c>
      <c r="H11" s="600">
        <f t="shared" si="1"/>
        <v>26978095.928276047</v>
      </c>
    </row>
    <row r="12" spans="1:8">
      <c r="A12" s="362">
        <v>1.6</v>
      </c>
      <c r="B12" s="333" t="s">
        <v>88</v>
      </c>
      <c r="C12" s="599">
        <v>0</v>
      </c>
      <c r="D12" s="599">
        <v>0</v>
      </c>
      <c r="E12" s="600">
        <f t="shared" si="0"/>
        <v>0</v>
      </c>
      <c r="F12" s="599">
        <v>0</v>
      </c>
      <c r="G12" s="599">
        <v>0</v>
      </c>
      <c r="H12" s="600">
        <f t="shared" si="1"/>
        <v>0</v>
      </c>
    </row>
    <row r="13" spans="1:8">
      <c r="A13" s="362">
        <v>2</v>
      </c>
      <c r="B13" s="342" t="s">
        <v>747</v>
      </c>
      <c r="C13" s="599">
        <f>SUM(C14:C17)</f>
        <v>-3403962.4955769242</v>
      </c>
      <c r="D13" s="599">
        <f>SUM(D14:D17)</f>
        <v>-6469494.017989099</v>
      </c>
      <c r="E13" s="600">
        <f t="shared" si="0"/>
        <v>-9873456.5135660227</v>
      </c>
      <c r="F13" s="599">
        <f>SUM(F14:F17)</f>
        <v>-2978336.9602398956</v>
      </c>
      <c r="G13" s="599">
        <f>SUM(G14:G17)</f>
        <v>-5537314.6293000001</v>
      </c>
      <c r="H13" s="600">
        <f t="shared" si="1"/>
        <v>-8515651.5895398967</v>
      </c>
    </row>
    <row r="14" spans="1:8">
      <c r="A14" s="362">
        <v>2.1</v>
      </c>
      <c r="B14" s="332" t="s">
        <v>748</v>
      </c>
      <c r="C14" s="599">
        <v>0</v>
      </c>
      <c r="D14" s="599">
        <v>0</v>
      </c>
      <c r="E14" s="600">
        <f t="shared" si="0"/>
        <v>0</v>
      </c>
      <c r="F14" s="599">
        <v>0</v>
      </c>
      <c r="G14" s="599">
        <v>0</v>
      </c>
      <c r="H14" s="600">
        <f t="shared" si="1"/>
        <v>0</v>
      </c>
    </row>
    <row r="15" spans="1:8" ht="24.6" customHeight="1">
      <c r="A15" s="362">
        <v>2.2000000000000002</v>
      </c>
      <c r="B15" s="332" t="s">
        <v>749</v>
      </c>
      <c r="C15" s="599">
        <v>0</v>
      </c>
      <c r="D15" s="599">
        <v>0</v>
      </c>
      <c r="E15" s="600">
        <f t="shared" si="0"/>
        <v>0</v>
      </c>
      <c r="F15" s="599">
        <v>0</v>
      </c>
      <c r="G15" s="599">
        <v>0</v>
      </c>
      <c r="H15" s="600">
        <f t="shared" si="1"/>
        <v>0</v>
      </c>
    </row>
    <row r="16" spans="1:8" ht="20.45" customHeight="1">
      <c r="A16" s="362">
        <v>2.2999999999999998</v>
      </c>
      <c r="B16" s="332" t="s">
        <v>750</v>
      </c>
      <c r="C16" s="599">
        <v>-3403962.4955769242</v>
      </c>
      <c r="D16" s="599">
        <v>-6469494.017989099</v>
      </c>
      <c r="E16" s="600">
        <f t="shared" si="0"/>
        <v>-9873456.5135660227</v>
      </c>
      <c r="F16" s="599">
        <v>-2978336.9602398956</v>
      </c>
      <c r="G16" s="599">
        <v>-5537314.6293000001</v>
      </c>
      <c r="H16" s="600">
        <f t="shared" si="1"/>
        <v>-8515651.5895398967</v>
      </c>
    </row>
    <row r="17" spans="1:8">
      <c r="A17" s="362">
        <v>2.4</v>
      </c>
      <c r="B17" s="332" t="s">
        <v>751</v>
      </c>
      <c r="C17" s="599">
        <v>0</v>
      </c>
      <c r="D17" s="599">
        <v>0</v>
      </c>
      <c r="E17" s="600">
        <f t="shared" si="0"/>
        <v>0</v>
      </c>
      <c r="F17" s="599">
        <v>0</v>
      </c>
      <c r="G17" s="599">
        <v>0</v>
      </c>
      <c r="H17" s="600">
        <f t="shared" si="1"/>
        <v>0</v>
      </c>
    </row>
    <row r="18" spans="1:8">
      <c r="A18" s="362">
        <v>3</v>
      </c>
      <c r="B18" s="342" t="s">
        <v>752</v>
      </c>
      <c r="C18" s="599">
        <v>0</v>
      </c>
      <c r="D18" s="599">
        <v>0</v>
      </c>
      <c r="E18" s="600">
        <f t="shared" si="0"/>
        <v>0</v>
      </c>
      <c r="F18" s="599">
        <v>0</v>
      </c>
      <c r="G18" s="599">
        <v>0</v>
      </c>
      <c r="H18" s="600">
        <f t="shared" si="1"/>
        <v>0</v>
      </c>
    </row>
    <row r="19" spans="1:8">
      <c r="A19" s="362">
        <v>4</v>
      </c>
      <c r="B19" s="342" t="s">
        <v>753</v>
      </c>
      <c r="C19" s="599">
        <v>1167211.2776000001</v>
      </c>
      <c r="D19" s="599">
        <v>1771669.1460000002</v>
      </c>
      <c r="E19" s="600">
        <f t="shared" si="0"/>
        <v>2938880.4236000003</v>
      </c>
      <c r="F19" s="599">
        <v>1035716.62</v>
      </c>
      <c r="G19" s="599">
        <v>1082294.417905</v>
      </c>
      <c r="H19" s="600">
        <f t="shared" si="1"/>
        <v>2118011.0379050002</v>
      </c>
    </row>
    <row r="20" spans="1:8">
      <c r="A20" s="362">
        <v>5</v>
      </c>
      <c r="B20" s="342" t="s">
        <v>754</v>
      </c>
      <c r="C20" s="599">
        <v>-457316.93999999994</v>
      </c>
      <c r="D20" s="599">
        <v>-1102361.5229</v>
      </c>
      <c r="E20" s="600">
        <f t="shared" si="0"/>
        <v>-1559678.4628999999</v>
      </c>
      <c r="F20" s="599">
        <v>-107964.68000000001</v>
      </c>
      <c r="G20" s="599">
        <v>-868427.11879999994</v>
      </c>
      <c r="H20" s="600">
        <f t="shared" si="1"/>
        <v>-976391.79879999999</v>
      </c>
    </row>
    <row r="21" spans="1:8" ht="38.450000000000003" customHeight="1">
      <c r="A21" s="362">
        <v>6</v>
      </c>
      <c r="B21" s="342" t="s">
        <v>755</v>
      </c>
      <c r="C21" s="599">
        <v>0</v>
      </c>
      <c r="D21" s="599">
        <v>0</v>
      </c>
      <c r="E21" s="600">
        <f t="shared" si="0"/>
        <v>0</v>
      </c>
      <c r="F21" s="599">
        <v>0</v>
      </c>
      <c r="G21" s="599">
        <v>0</v>
      </c>
      <c r="H21" s="600">
        <f t="shared" si="1"/>
        <v>0</v>
      </c>
    </row>
    <row r="22" spans="1:8" ht="27.6" customHeight="1">
      <c r="A22" s="362">
        <v>7</v>
      </c>
      <c r="B22" s="342" t="s">
        <v>756</v>
      </c>
      <c r="C22" s="599">
        <v>0</v>
      </c>
      <c r="D22" s="599">
        <v>0</v>
      </c>
      <c r="E22" s="600">
        <f t="shared" si="0"/>
        <v>0</v>
      </c>
      <c r="F22" s="599">
        <v>0</v>
      </c>
      <c r="G22" s="599">
        <v>0</v>
      </c>
      <c r="H22" s="600">
        <f t="shared" si="1"/>
        <v>0</v>
      </c>
    </row>
    <row r="23" spans="1:8" ht="36.950000000000003" customHeight="1">
      <c r="A23" s="362">
        <v>8</v>
      </c>
      <c r="B23" s="343" t="s">
        <v>757</v>
      </c>
      <c r="C23" s="599">
        <v>-53950</v>
      </c>
      <c r="D23" s="599">
        <v>0</v>
      </c>
      <c r="E23" s="600">
        <f t="shared" si="0"/>
        <v>-53950</v>
      </c>
      <c r="F23" s="599">
        <v>0</v>
      </c>
      <c r="G23" s="599">
        <v>0</v>
      </c>
      <c r="H23" s="600">
        <f t="shared" si="1"/>
        <v>0</v>
      </c>
    </row>
    <row r="24" spans="1:8" ht="34.5" customHeight="1">
      <c r="A24" s="362">
        <v>9</v>
      </c>
      <c r="B24" s="343" t="s">
        <v>758</v>
      </c>
      <c r="C24" s="599">
        <v>0</v>
      </c>
      <c r="D24" s="599">
        <v>0</v>
      </c>
      <c r="E24" s="600">
        <f t="shared" si="0"/>
        <v>0</v>
      </c>
      <c r="F24" s="599">
        <v>0</v>
      </c>
      <c r="G24" s="599">
        <v>0</v>
      </c>
      <c r="H24" s="600">
        <f t="shared" si="1"/>
        <v>0</v>
      </c>
    </row>
    <row r="25" spans="1:8">
      <c r="A25" s="362">
        <v>10</v>
      </c>
      <c r="B25" s="342" t="s">
        <v>759</v>
      </c>
      <c r="C25" s="599">
        <v>1696904.8714510028</v>
      </c>
      <c r="D25" s="599">
        <v>0</v>
      </c>
      <c r="E25" s="600">
        <f t="shared" si="0"/>
        <v>1696904.8714510028</v>
      </c>
      <c r="F25" s="599">
        <v>1889670.2942709997</v>
      </c>
      <c r="G25" s="599">
        <v>0</v>
      </c>
      <c r="H25" s="600">
        <f t="shared" si="1"/>
        <v>1889670.2942709997</v>
      </c>
    </row>
    <row r="26" spans="1:8" ht="27" customHeight="1">
      <c r="A26" s="362">
        <v>11</v>
      </c>
      <c r="B26" s="344" t="s">
        <v>760</v>
      </c>
      <c r="C26" s="599">
        <v>343125.67</v>
      </c>
      <c r="D26" s="599">
        <v>0</v>
      </c>
      <c r="E26" s="600">
        <f t="shared" si="0"/>
        <v>343125.67</v>
      </c>
      <c r="F26" s="599">
        <v>97777.369491525431</v>
      </c>
      <c r="G26" s="599">
        <v>0</v>
      </c>
      <c r="H26" s="600">
        <f t="shared" si="1"/>
        <v>97777.369491525431</v>
      </c>
    </row>
    <row r="27" spans="1:8">
      <c r="A27" s="362">
        <v>12</v>
      </c>
      <c r="B27" s="342" t="s">
        <v>761</v>
      </c>
      <c r="C27" s="599">
        <v>86845.11</v>
      </c>
      <c r="D27" s="599">
        <v>8626.4657999999999</v>
      </c>
      <c r="E27" s="600">
        <f t="shared" si="0"/>
        <v>95471.575800000006</v>
      </c>
      <c r="F27" s="599">
        <v>52653.32</v>
      </c>
      <c r="G27" s="599">
        <v>687.48090000000002</v>
      </c>
      <c r="H27" s="600">
        <f t="shared" si="1"/>
        <v>53340.800900000002</v>
      </c>
    </row>
    <row r="28" spans="1:8">
      <c r="A28" s="362">
        <v>13</v>
      </c>
      <c r="B28" s="345" t="s">
        <v>762</v>
      </c>
      <c r="C28" s="599">
        <v>-1548988.6191688946</v>
      </c>
      <c r="D28" s="599">
        <v>-882066.34459999995</v>
      </c>
      <c r="E28" s="600">
        <f t="shared" si="0"/>
        <v>-2431054.9637688948</v>
      </c>
      <c r="F28" s="599">
        <v>-1325774.2666469095</v>
      </c>
      <c r="G28" s="599">
        <v>-871892.84490000014</v>
      </c>
      <c r="H28" s="600">
        <f t="shared" si="1"/>
        <v>-2197667.1115469094</v>
      </c>
    </row>
    <row r="29" spans="1:8">
      <c r="A29" s="362">
        <v>14</v>
      </c>
      <c r="B29" s="346" t="s">
        <v>763</v>
      </c>
      <c r="C29" s="599">
        <f>SUM(C30:C31)</f>
        <v>-8155155.4799999995</v>
      </c>
      <c r="D29" s="599">
        <f>SUM(D30:D31)</f>
        <v>-75293.688900000066</v>
      </c>
      <c r="E29" s="600">
        <f t="shared" si="0"/>
        <v>-8230449.1688999999</v>
      </c>
      <c r="F29" s="599">
        <f>SUM(F30:F31)</f>
        <v>-7266682.7949000057</v>
      </c>
      <c r="G29" s="599">
        <f>SUM(G30:G31)</f>
        <v>-75967.090999999898</v>
      </c>
      <c r="H29" s="600">
        <f t="shared" si="1"/>
        <v>-7342649.8859000057</v>
      </c>
    </row>
    <row r="30" spans="1:8">
      <c r="A30" s="362">
        <v>14.1</v>
      </c>
      <c r="B30" s="324" t="s">
        <v>764</v>
      </c>
      <c r="C30" s="599">
        <v>-6405175.0299999993</v>
      </c>
      <c r="D30" s="599">
        <v>0</v>
      </c>
      <c r="E30" s="600">
        <f t="shared" si="0"/>
        <v>-6405175.0299999993</v>
      </c>
      <c r="F30" s="599">
        <v>-5543008.9900000002</v>
      </c>
      <c r="G30" s="599">
        <v>0</v>
      </c>
      <c r="H30" s="600">
        <f t="shared" si="1"/>
        <v>-5543008.9900000002</v>
      </c>
    </row>
    <row r="31" spans="1:8">
      <c r="A31" s="362">
        <v>14.2</v>
      </c>
      <c r="B31" s="324" t="s">
        <v>765</v>
      </c>
      <c r="C31" s="599">
        <v>-1749980.4500000004</v>
      </c>
      <c r="D31" s="599">
        <v>-75293.688900000066</v>
      </c>
      <c r="E31" s="600">
        <f t="shared" si="0"/>
        <v>-1825274.1389000006</v>
      </c>
      <c r="F31" s="599">
        <v>-1723673.8049000055</v>
      </c>
      <c r="G31" s="599">
        <v>-75967.090999999898</v>
      </c>
      <c r="H31" s="600">
        <f t="shared" si="1"/>
        <v>-1799640.8959000055</v>
      </c>
    </row>
    <row r="32" spans="1:8">
      <c r="A32" s="362">
        <v>15</v>
      </c>
      <c r="B32" s="347" t="s">
        <v>766</v>
      </c>
      <c r="C32" s="599">
        <v>-1420241.312408068</v>
      </c>
      <c r="D32" s="599">
        <v>0</v>
      </c>
      <c r="E32" s="600">
        <f t="shared" si="0"/>
        <v>-1420241.312408068</v>
      </c>
      <c r="F32" s="599">
        <v>-1160474.9788169423</v>
      </c>
      <c r="G32" s="599">
        <v>0</v>
      </c>
      <c r="H32" s="600">
        <f t="shared" si="1"/>
        <v>-1160474.9788169423</v>
      </c>
    </row>
    <row r="33" spans="1:8" ht="22.5" customHeight="1">
      <c r="A33" s="362">
        <v>16</v>
      </c>
      <c r="B33" s="320" t="s">
        <v>767</v>
      </c>
      <c r="C33" s="599">
        <v>-168939.36943566482</v>
      </c>
      <c r="D33" s="599">
        <v>-801897.22467836621</v>
      </c>
      <c r="E33" s="600">
        <f t="shared" si="0"/>
        <v>-970836.59411403106</v>
      </c>
      <c r="F33" s="599">
        <v>-272777.67855509766</v>
      </c>
      <c r="G33" s="599">
        <v>-154691.73961324274</v>
      </c>
      <c r="H33" s="600">
        <f t="shared" si="1"/>
        <v>-427469.4181683404</v>
      </c>
    </row>
    <row r="34" spans="1:8">
      <c r="A34" s="362">
        <v>17</v>
      </c>
      <c r="B34" s="342" t="s">
        <v>768</v>
      </c>
      <c r="C34" s="599">
        <f>SUM(C35:C36)</f>
        <v>223258.08274712518</v>
      </c>
      <c r="D34" s="599">
        <f>SUM(D35:D36)</f>
        <v>-128957.42891109943</v>
      </c>
      <c r="E34" s="600">
        <f t="shared" si="0"/>
        <v>94300.653836025755</v>
      </c>
      <c r="F34" s="599">
        <f>SUM(F35:F36)</f>
        <v>-163185.94037294286</v>
      </c>
      <c r="G34" s="599">
        <f>SUM(G35:G36)</f>
        <v>104833.86700103023</v>
      </c>
      <c r="H34" s="600">
        <f t="shared" si="1"/>
        <v>-58352.073371912629</v>
      </c>
    </row>
    <row r="35" spans="1:8">
      <c r="A35" s="362">
        <v>17.100000000000001</v>
      </c>
      <c r="B35" s="348" t="s">
        <v>769</v>
      </c>
      <c r="C35" s="599">
        <v>242943.09111999522</v>
      </c>
      <c r="D35" s="599">
        <v>-117491.71369667104</v>
      </c>
      <c r="E35" s="600">
        <f t="shared" si="0"/>
        <v>125451.37742332419</v>
      </c>
      <c r="F35" s="599">
        <v>-114498.95518141262</v>
      </c>
      <c r="G35" s="599">
        <v>102153.17518476314</v>
      </c>
      <c r="H35" s="600">
        <f t="shared" si="1"/>
        <v>-12345.779996649479</v>
      </c>
    </row>
    <row r="36" spans="1:8">
      <c r="A36" s="362">
        <v>17.2</v>
      </c>
      <c r="B36" s="324" t="s">
        <v>770</v>
      </c>
      <c r="C36" s="599">
        <v>-19685.008372870056</v>
      </c>
      <c r="D36" s="599">
        <v>-11465.715214428394</v>
      </c>
      <c r="E36" s="600">
        <f t="shared" si="0"/>
        <v>-31150.723587298449</v>
      </c>
      <c r="F36" s="599">
        <v>-48686.985191530235</v>
      </c>
      <c r="G36" s="599">
        <v>2680.6918162670972</v>
      </c>
      <c r="H36" s="600">
        <f t="shared" si="1"/>
        <v>-46006.293375263136</v>
      </c>
    </row>
    <row r="37" spans="1:8" ht="41.45" customHeight="1">
      <c r="A37" s="362">
        <v>18</v>
      </c>
      <c r="B37" s="349" t="s">
        <v>771</v>
      </c>
      <c r="C37" s="599">
        <f>SUM(C38:C39)</f>
        <v>-3982098.2188939545</v>
      </c>
      <c r="D37" s="599">
        <f>SUM(D38:D39)</f>
        <v>4078543.3191266125</v>
      </c>
      <c r="E37" s="600">
        <f t="shared" si="0"/>
        <v>96445.100232657976</v>
      </c>
      <c r="F37" s="599">
        <f>SUM(F38:F39)</f>
        <v>-921991.17391620367</v>
      </c>
      <c r="G37" s="599">
        <f>SUM(G38:G39)</f>
        <v>1621603.6745785142</v>
      </c>
      <c r="H37" s="600">
        <f t="shared" si="1"/>
        <v>699612.50066231051</v>
      </c>
    </row>
    <row r="38" spans="1:8" ht="21">
      <c r="A38" s="362">
        <v>18.100000000000001</v>
      </c>
      <c r="B38" s="332" t="s">
        <v>772</v>
      </c>
      <c r="C38" s="599">
        <v>0</v>
      </c>
      <c r="D38" s="599">
        <v>0</v>
      </c>
      <c r="E38" s="600">
        <f t="shared" si="0"/>
        <v>0</v>
      </c>
      <c r="F38" s="599">
        <v>0</v>
      </c>
      <c r="G38" s="599">
        <v>0</v>
      </c>
      <c r="H38" s="600">
        <f t="shared" si="1"/>
        <v>0</v>
      </c>
    </row>
    <row r="39" spans="1:8">
      <c r="A39" s="362">
        <v>18.2</v>
      </c>
      <c r="B39" s="332" t="s">
        <v>773</v>
      </c>
      <c r="C39" s="599">
        <v>-3982098.2188939545</v>
      </c>
      <c r="D39" s="599">
        <v>4078543.3191266125</v>
      </c>
      <c r="E39" s="600">
        <f t="shared" si="0"/>
        <v>96445.100232657976</v>
      </c>
      <c r="F39" s="599">
        <v>-921991.17391620367</v>
      </c>
      <c r="G39" s="599">
        <v>1621603.6745785142</v>
      </c>
      <c r="H39" s="600">
        <f t="shared" si="1"/>
        <v>699612.50066231051</v>
      </c>
    </row>
    <row r="40" spans="1:8" ht="24.6" customHeight="1">
      <c r="A40" s="362">
        <v>19</v>
      </c>
      <c r="B40" s="349" t="s">
        <v>774</v>
      </c>
      <c r="C40" s="599">
        <v>0</v>
      </c>
      <c r="D40" s="599">
        <v>0</v>
      </c>
      <c r="E40" s="600">
        <f t="shared" si="0"/>
        <v>0</v>
      </c>
      <c r="F40" s="599">
        <v>0</v>
      </c>
      <c r="G40" s="599">
        <v>0</v>
      </c>
      <c r="H40" s="600">
        <f t="shared" si="1"/>
        <v>0</v>
      </c>
    </row>
    <row r="41" spans="1:8" ht="24.95" customHeight="1">
      <c r="A41" s="362">
        <v>20</v>
      </c>
      <c r="B41" s="349" t="s">
        <v>775</v>
      </c>
      <c r="C41" s="599">
        <v>-3.4924596548080444E-9</v>
      </c>
      <c r="D41" s="599">
        <v>0</v>
      </c>
      <c r="E41" s="600">
        <f t="shared" si="0"/>
        <v>-3.4924596548080444E-9</v>
      </c>
      <c r="F41" s="599">
        <v>5.3551048040390015E-9</v>
      </c>
      <c r="G41" s="599">
        <v>0</v>
      </c>
      <c r="H41" s="600">
        <f t="shared" si="1"/>
        <v>5.3551048040390015E-9</v>
      </c>
    </row>
    <row r="42" spans="1:8" ht="33" customHeight="1">
      <c r="A42" s="362">
        <v>21</v>
      </c>
      <c r="B42" s="350" t="s">
        <v>776</v>
      </c>
      <c r="C42" s="599">
        <v>0</v>
      </c>
      <c r="D42" s="599">
        <v>0</v>
      </c>
      <c r="E42" s="600">
        <f t="shared" si="0"/>
        <v>0</v>
      </c>
      <c r="F42" s="599">
        <v>0</v>
      </c>
      <c r="G42" s="599">
        <v>0</v>
      </c>
      <c r="H42" s="600">
        <f t="shared" si="1"/>
        <v>0</v>
      </c>
    </row>
    <row r="43" spans="1:8">
      <c r="A43" s="362">
        <v>22</v>
      </c>
      <c r="B43" s="351" t="s">
        <v>777</v>
      </c>
      <c r="C43" s="599">
        <f>SUM(C6,C13,C18,C19,C20,C21,C22,C23,C24,C25,C26,C27,C28,C29,C32,C33,C34,C37,C40,C41,C42)</f>
        <v>-1895072.0172721173</v>
      </c>
      <c r="D43" s="599">
        <f>SUM(D6,D13,D18,D19,D20,D21,D22,D23,D24,D25,D26,D27,D28,D29,D32,D33,D34,D37,D40,D41,D42)</f>
        <v>11612350.142942458</v>
      </c>
      <c r="E43" s="600">
        <f t="shared" si="0"/>
        <v>9717278.1256703418</v>
      </c>
      <c r="F43" s="599">
        <f>SUM(F6,F13,F18,F19,F20,F21,F22,F23,F24,F25,F26,F27,F28,F29,F32,F33,F34,F37,F40,F41,F42)</f>
        <v>913996.37720786571</v>
      </c>
      <c r="G43" s="599">
        <f>SUM(G6,G13,G18,G19,G20,G21,G22,G23,G24,G25,G26,G27,G28,G29,G32,G33,G34,G37,G40,G41,G42)</f>
        <v>10403542.758154018</v>
      </c>
      <c r="H43" s="600">
        <f t="shared" si="1"/>
        <v>11317539.135361884</v>
      </c>
    </row>
    <row r="44" spans="1:8">
      <c r="A44" s="362">
        <v>23</v>
      </c>
      <c r="B44" s="351" t="s">
        <v>778</v>
      </c>
      <c r="C44" s="599">
        <v>-2036869.9290576468</v>
      </c>
      <c r="D44" s="599">
        <v>0</v>
      </c>
      <c r="E44" s="600">
        <f t="shared" si="0"/>
        <v>-2036869.9290576468</v>
      </c>
      <c r="F44" s="599">
        <v>-2292664.1169476472</v>
      </c>
      <c r="G44" s="599">
        <v>0</v>
      </c>
      <c r="H44" s="600">
        <f t="shared" si="1"/>
        <v>-2292664.1169476472</v>
      </c>
    </row>
    <row r="45" spans="1:8">
      <c r="A45" s="362">
        <v>24</v>
      </c>
      <c r="B45" s="351" t="s">
        <v>779</v>
      </c>
      <c r="C45" s="602">
        <f>C43+C44</f>
        <v>-3931941.9463297641</v>
      </c>
      <c r="D45" s="602">
        <f>D43+D44</f>
        <v>11612350.142942458</v>
      </c>
      <c r="E45" s="600">
        <f t="shared" si="0"/>
        <v>7680408.1966126943</v>
      </c>
      <c r="F45" s="602">
        <f>F43+F44</f>
        <v>-1378667.7397397815</v>
      </c>
      <c r="G45" s="602">
        <f>G43+G44</f>
        <v>10403542.758154018</v>
      </c>
      <c r="H45" s="600">
        <f>F45+G45</f>
        <v>9024875.0184142366</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Q47"/>
  <sheetViews>
    <sheetView showGridLines="0" zoomScale="80" zoomScaleNormal="80" workbookViewId="0"/>
  </sheetViews>
  <sheetFormatPr defaultRowHeight="15"/>
  <cols>
    <col min="1" max="1" width="8.85546875" style="360"/>
    <col min="2" max="2" width="87.5703125" bestFit="1" customWidth="1"/>
    <col min="3" max="3" width="13.42578125" style="593" bestFit="1" customWidth="1"/>
    <col min="4" max="5" width="15.140625" style="593" bestFit="1" customWidth="1"/>
    <col min="6" max="6" width="13.42578125" style="593" bestFit="1" customWidth="1"/>
    <col min="7" max="8" width="15.140625" style="593" bestFit="1" customWidth="1"/>
    <col min="17" max="17" width="9.140625" customWidth="1"/>
  </cols>
  <sheetData>
    <row r="1" spans="1:17" ht="15.75">
      <c r="A1" s="13" t="s">
        <v>97</v>
      </c>
      <c r="B1" s="217" t="str">
        <f>Info!C2</f>
        <v>სს "ბანკი ქართუ"</v>
      </c>
      <c r="C1" s="591"/>
      <c r="D1" s="592"/>
      <c r="E1" s="592"/>
      <c r="F1" s="592"/>
      <c r="G1" s="592"/>
    </row>
    <row r="2" spans="1:17" ht="15.75">
      <c r="A2" s="13" t="s">
        <v>98</v>
      </c>
      <c r="B2" s="585">
        <f>'1. key ratios'!B2</f>
        <v>45747</v>
      </c>
      <c r="C2" s="591"/>
      <c r="D2" s="592"/>
      <c r="E2" s="592"/>
      <c r="F2" s="592"/>
      <c r="G2" s="592"/>
    </row>
    <row r="3" spans="1:17" ht="15.75">
      <c r="A3" s="13"/>
      <c r="B3" s="12"/>
      <c r="C3" s="591"/>
      <c r="D3" s="592"/>
      <c r="E3" s="592"/>
      <c r="F3" s="592"/>
      <c r="G3" s="592"/>
    </row>
    <row r="4" spans="1:17" ht="15.75">
      <c r="A4" s="752" t="s">
        <v>25</v>
      </c>
      <c r="B4" s="761" t="s">
        <v>140</v>
      </c>
      <c r="C4" s="762" t="s">
        <v>103</v>
      </c>
      <c r="D4" s="762"/>
      <c r="E4" s="762"/>
      <c r="F4" s="762" t="s">
        <v>104</v>
      </c>
      <c r="G4" s="762"/>
      <c r="H4" s="763"/>
    </row>
    <row r="5" spans="1:17">
      <c r="A5" s="752"/>
      <c r="B5" s="761"/>
      <c r="C5" s="601" t="s">
        <v>26</v>
      </c>
      <c r="D5" s="601" t="s">
        <v>77</v>
      </c>
      <c r="E5" s="601" t="s">
        <v>66</v>
      </c>
      <c r="F5" s="601" t="s">
        <v>26</v>
      </c>
      <c r="G5" s="601" t="s">
        <v>77</v>
      </c>
      <c r="H5" s="603" t="s">
        <v>66</v>
      </c>
    </row>
    <row r="6" spans="1:17" ht="15.75">
      <c r="A6" s="352">
        <v>1</v>
      </c>
      <c r="B6" s="353" t="s">
        <v>780</v>
      </c>
      <c r="C6" s="604">
        <v>0</v>
      </c>
      <c r="D6" s="604">
        <v>0</v>
      </c>
      <c r="E6" s="605">
        <f t="shared" ref="E6:E43" si="0">C6+D6</f>
        <v>0</v>
      </c>
      <c r="F6" s="604">
        <v>0</v>
      </c>
      <c r="G6" s="604">
        <v>0</v>
      </c>
      <c r="H6" s="606">
        <f t="shared" ref="H6:H43" si="1">F6+G6</f>
        <v>0</v>
      </c>
      <c r="L6" s="593"/>
      <c r="M6" s="593"/>
      <c r="N6" s="593"/>
      <c r="O6" s="593"/>
      <c r="P6" s="593"/>
      <c r="Q6" s="593"/>
    </row>
    <row r="7" spans="1:17" ht="15.75">
      <c r="A7" s="352">
        <v>2</v>
      </c>
      <c r="B7" s="353" t="s">
        <v>166</v>
      </c>
      <c r="C7" s="604">
        <v>0</v>
      </c>
      <c r="D7" s="604">
        <v>0</v>
      </c>
      <c r="E7" s="605">
        <f t="shared" si="0"/>
        <v>0</v>
      </c>
      <c r="F7" s="604">
        <v>0</v>
      </c>
      <c r="G7" s="604">
        <v>0</v>
      </c>
      <c r="H7" s="606">
        <f t="shared" si="1"/>
        <v>0</v>
      </c>
      <c r="L7" s="593"/>
      <c r="M7" s="593"/>
      <c r="N7" s="593"/>
      <c r="O7" s="593"/>
      <c r="P7" s="593"/>
      <c r="Q7" s="593"/>
    </row>
    <row r="8" spans="1:17" ht="15.75">
      <c r="A8" s="352">
        <v>3</v>
      </c>
      <c r="B8" s="353" t="s">
        <v>168</v>
      </c>
      <c r="C8" s="604">
        <f>C9+C10</f>
        <v>133618660.49992223</v>
      </c>
      <c r="D8" s="604">
        <f>D9+D10</f>
        <v>435451708.00232792</v>
      </c>
      <c r="E8" s="605">
        <f t="shared" si="0"/>
        <v>569070368.50225019</v>
      </c>
      <c r="F8" s="604">
        <f>F9+F10</f>
        <v>111114230.37159829</v>
      </c>
      <c r="G8" s="604">
        <f>G9+G10</f>
        <v>316479419.94260895</v>
      </c>
      <c r="H8" s="606">
        <f t="shared" si="1"/>
        <v>427593650.31420726</v>
      </c>
      <c r="L8" s="593"/>
      <c r="M8" s="593"/>
      <c r="N8" s="593"/>
      <c r="O8" s="593"/>
      <c r="P8" s="593"/>
      <c r="Q8" s="593"/>
    </row>
    <row r="9" spans="1:17" ht="15.75">
      <c r="A9" s="352">
        <v>3.1</v>
      </c>
      <c r="B9" s="354" t="s">
        <v>781</v>
      </c>
      <c r="C9" s="604">
        <v>4518649.03</v>
      </c>
      <c r="D9" s="604">
        <v>313842.15000000002</v>
      </c>
      <c r="E9" s="605">
        <f t="shared" si="0"/>
        <v>4832491.1800000006</v>
      </c>
      <c r="F9" s="604">
        <v>5140262.040000001</v>
      </c>
      <c r="G9" s="604">
        <v>306336.56</v>
      </c>
      <c r="H9" s="606">
        <f t="shared" si="1"/>
        <v>5446598.6000000006</v>
      </c>
      <c r="L9" s="593"/>
      <c r="M9" s="593"/>
      <c r="N9" s="593"/>
      <c r="O9" s="593"/>
      <c r="P9" s="593"/>
      <c r="Q9" s="593"/>
    </row>
    <row r="10" spans="1:17" ht="15.75">
      <c r="A10" s="352">
        <v>3.2</v>
      </c>
      <c r="B10" s="354" t="s">
        <v>782</v>
      </c>
      <c r="C10" s="604">
        <v>129100011.46992223</v>
      </c>
      <c r="D10" s="604">
        <v>435137865.85232794</v>
      </c>
      <c r="E10" s="605">
        <f t="shared" si="0"/>
        <v>564237877.32225013</v>
      </c>
      <c r="F10" s="604">
        <v>105973968.33159828</v>
      </c>
      <c r="G10" s="604">
        <v>316173083.38260895</v>
      </c>
      <c r="H10" s="606">
        <f t="shared" si="1"/>
        <v>422147051.71420723</v>
      </c>
      <c r="L10" s="593"/>
      <c r="M10" s="593"/>
      <c r="N10" s="593"/>
      <c r="O10" s="593"/>
      <c r="P10" s="593"/>
      <c r="Q10" s="593"/>
    </row>
    <row r="11" spans="1:17" ht="25.5">
      <c r="A11" s="352">
        <v>4</v>
      </c>
      <c r="B11" s="353" t="s">
        <v>167</v>
      </c>
      <c r="C11" s="604">
        <f>C12+C13</f>
        <v>0</v>
      </c>
      <c r="D11" s="604">
        <f>D12+D13</f>
        <v>0</v>
      </c>
      <c r="E11" s="605">
        <f t="shared" si="0"/>
        <v>0</v>
      </c>
      <c r="F11" s="604">
        <f>F12+F13</f>
        <v>0</v>
      </c>
      <c r="G11" s="604">
        <f>G12+G13</f>
        <v>0</v>
      </c>
      <c r="H11" s="606">
        <f t="shared" si="1"/>
        <v>0</v>
      </c>
      <c r="L11" s="593"/>
      <c r="M11" s="593"/>
      <c r="N11" s="593"/>
      <c r="O11" s="593"/>
      <c r="P11" s="593"/>
      <c r="Q11" s="593"/>
    </row>
    <row r="12" spans="1:17" ht="15.75">
      <c r="A12" s="352">
        <v>4.0999999999999996</v>
      </c>
      <c r="B12" s="354" t="s">
        <v>783</v>
      </c>
      <c r="C12" s="604">
        <v>0</v>
      </c>
      <c r="D12" s="604">
        <v>0</v>
      </c>
      <c r="E12" s="605">
        <f t="shared" si="0"/>
        <v>0</v>
      </c>
      <c r="F12" s="604">
        <v>0</v>
      </c>
      <c r="G12" s="604">
        <v>0</v>
      </c>
      <c r="H12" s="606">
        <f t="shared" si="1"/>
        <v>0</v>
      </c>
      <c r="L12" s="593"/>
      <c r="M12" s="593"/>
      <c r="N12" s="593"/>
      <c r="O12" s="593"/>
      <c r="P12" s="593"/>
      <c r="Q12" s="593"/>
    </row>
    <row r="13" spans="1:17" ht="15.75">
      <c r="A13" s="352">
        <v>4.2</v>
      </c>
      <c r="B13" s="354" t="s">
        <v>784</v>
      </c>
      <c r="C13" s="604">
        <v>0</v>
      </c>
      <c r="D13" s="604">
        <v>0</v>
      </c>
      <c r="E13" s="605">
        <f t="shared" si="0"/>
        <v>0</v>
      </c>
      <c r="F13" s="604">
        <v>0</v>
      </c>
      <c r="G13" s="604">
        <v>0</v>
      </c>
      <c r="H13" s="606">
        <f t="shared" si="1"/>
        <v>0</v>
      </c>
      <c r="L13" s="593"/>
      <c r="M13" s="593"/>
      <c r="N13" s="593"/>
      <c r="O13" s="593"/>
      <c r="P13" s="593"/>
      <c r="Q13" s="593"/>
    </row>
    <row r="14" spans="1:17" ht="15.75">
      <c r="A14" s="352">
        <v>5</v>
      </c>
      <c r="B14" s="355" t="s">
        <v>785</v>
      </c>
      <c r="C14" s="604">
        <f>C15+C16+C17+C23+C24+C25+C26</f>
        <v>330307384.18007255</v>
      </c>
      <c r="D14" s="604">
        <f>D15+D16+D17+D23+D24+D25+D26</f>
        <v>2647751679.2730246</v>
      </c>
      <c r="E14" s="605">
        <f t="shared" si="0"/>
        <v>2978059063.4530973</v>
      </c>
      <c r="F14" s="604">
        <f>F15+F16+F17+F23+F24+F25+F26</f>
        <v>207096091.19292709</v>
      </c>
      <c r="G14" s="604">
        <f>G15+G16+G17+G23+G24+G25+G26</f>
        <v>2004544418.5439138</v>
      </c>
      <c r="H14" s="606">
        <f t="shared" si="1"/>
        <v>2211640509.7368407</v>
      </c>
      <c r="L14" s="593"/>
      <c r="M14" s="593"/>
      <c r="N14" s="593"/>
      <c r="O14" s="593"/>
      <c r="P14" s="593"/>
      <c r="Q14" s="593"/>
    </row>
    <row r="15" spans="1:17" ht="15.75">
      <c r="A15" s="352">
        <v>5.0999999999999996</v>
      </c>
      <c r="B15" s="356" t="s">
        <v>786</v>
      </c>
      <c r="C15" s="604">
        <v>49907497.089999996</v>
      </c>
      <c r="D15" s="604">
        <v>29282328.700715996</v>
      </c>
      <c r="E15" s="605">
        <f t="shared" si="0"/>
        <v>79189825.790715992</v>
      </c>
      <c r="F15" s="604">
        <v>44317669.449999996</v>
      </c>
      <c r="G15" s="604">
        <v>30538233.799384993</v>
      </c>
      <c r="H15" s="606">
        <f t="shared" si="1"/>
        <v>74855903.249384984</v>
      </c>
      <c r="L15" s="593"/>
      <c r="M15" s="593"/>
      <c r="N15" s="593"/>
      <c r="O15" s="593"/>
      <c r="P15" s="593"/>
      <c r="Q15" s="593"/>
    </row>
    <row r="16" spans="1:17" ht="15.75">
      <c r="A16" s="352">
        <v>5.2</v>
      </c>
      <c r="B16" s="356" t="s">
        <v>787</v>
      </c>
      <c r="C16" s="604">
        <v>0</v>
      </c>
      <c r="D16" s="604">
        <v>0</v>
      </c>
      <c r="E16" s="605">
        <f t="shared" si="0"/>
        <v>0</v>
      </c>
      <c r="F16" s="604">
        <v>0</v>
      </c>
      <c r="G16" s="604">
        <v>0</v>
      </c>
      <c r="H16" s="606">
        <f t="shared" si="1"/>
        <v>0</v>
      </c>
      <c r="L16" s="593"/>
      <c r="M16" s="593"/>
      <c r="N16" s="593"/>
      <c r="O16" s="593"/>
      <c r="P16" s="593"/>
      <c r="Q16" s="593"/>
    </row>
    <row r="17" spans="1:17" ht="15.75">
      <c r="A17" s="352">
        <v>5.3</v>
      </c>
      <c r="B17" s="356" t="s">
        <v>788</v>
      </c>
      <c r="C17" s="604">
        <f>C18+C19+C20+C21+C22</f>
        <v>6000102.2199999997</v>
      </c>
      <c r="D17" s="604">
        <f>D18+D19+D20+D21+D22</f>
        <v>1874999397.0909352</v>
      </c>
      <c r="E17" s="605">
        <f t="shared" si="0"/>
        <v>1880999499.3109353</v>
      </c>
      <c r="F17" s="604">
        <f>F18+F19+F20+F21+F22</f>
        <v>5959526.7999999998</v>
      </c>
      <c r="G17" s="604">
        <f>G18+G19+G20+G21+G22</f>
        <v>1451809881.3189077</v>
      </c>
      <c r="H17" s="606">
        <f t="shared" si="1"/>
        <v>1457769408.1189077</v>
      </c>
      <c r="L17" s="593"/>
      <c r="M17" s="593"/>
      <c r="N17" s="593"/>
      <c r="O17" s="593"/>
      <c r="P17" s="593"/>
      <c r="Q17" s="593"/>
    </row>
    <row r="18" spans="1:17" ht="15.75">
      <c r="A18" s="352" t="s">
        <v>169</v>
      </c>
      <c r="B18" s="357" t="s">
        <v>789</v>
      </c>
      <c r="C18" s="604">
        <v>139471.92000000001</v>
      </c>
      <c r="D18" s="604">
        <v>199622108.76126915</v>
      </c>
      <c r="E18" s="605">
        <f t="shared" si="0"/>
        <v>199761580.68126914</v>
      </c>
      <c r="F18" s="604">
        <v>97030.8</v>
      </c>
      <c r="G18" s="604">
        <v>168501100.60059923</v>
      </c>
      <c r="H18" s="606">
        <f t="shared" si="1"/>
        <v>168598131.40059924</v>
      </c>
      <c r="L18" s="593"/>
      <c r="M18" s="593"/>
      <c r="N18" s="593"/>
      <c r="O18" s="593"/>
      <c r="P18" s="593"/>
      <c r="Q18" s="593"/>
    </row>
    <row r="19" spans="1:17" ht="15.75">
      <c r="A19" s="352" t="s">
        <v>170</v>
      </c>
      <c r="B19" s="358" t="s">
        <v>790</v>
      </c>
      <c r="C19" s="604">
        <v>816353.5</v>
      </c>
      <c r="D19" s="604">
        <v>962772763.29233229</v>
      </c>
      <c r="E19" s="605">
        <f t="shared" si="0"/>
        <v>963589116.79233229</v>
      </c>
      <c r="F19" s="604">
        <v>819371.2</v>
      </c>
      <c r="G19" s="604">
        <v>664048442.72992098</v>
      </c>
      <c r="H19" s="606">
        <f t="shared" si="1"/>
        <v>664867813.92992103</v>
      </c>
      <c r="L19" s="593"/>
      <c r="M19" s="593"/>
      <c r="N19" s="593"/>
      <c r="O19" s="593"/>
      <c r="P19" s="593"/>
      <c r="Q19" s="593"/>
    </row>
    <row r="20" spans="1:17" ht="15.75">
      <c r="A20" s="352" t="s">
        <v>171</v>
      </c>
      <c r="B20" s="358" t="s">
        <v>791</v>
      </c>
      <c r="C20" s="604">
        <v>0</v>
      </c>
      <c r="D20" s="604">
        <v>163307253.26570001</v>
      </c>
      <c r="E20" s="605">
        <f t="shared" si="0"/>
        <v>163307253.26570001</v>
      </c>
      <c r="F20" s="604">
        <v>0</v>
      </c>
      <c r="G20" s="604">
        <v>149037106.73990005</v>
      </c>
      <c r="H20" s="606">
        <f t="shared" si="1"/>
        <v>149037106.73990005</v>
      </c>
      <c r="L20" s="593"/>
      <c r="M20" s="593"/>
      <c r="N20" s="593"/>
      <c r="O20" s="593"/>
      <c r="P20" s="593"/>
      <c r="Q20" s="593"/>
    </row>
    <row r="21" spans="1:17" ht="15.75">
      <c r="A21" s="352" t="s">
        <v>172</v>
      </c>
      <c r="B21" s="358" t="s">
        <v>792</v>
      </c>
      <c r="C21" s="604">
        <v>5044276.8</v>
      </c>
      <c r="D21" s="604">
        <v>512081282.5968169</v>
      </c>
      <c r="E21" s="605">
        <f t="shared" si="0"/>
        <v>517125559.39681691</v>
      </c>
      <c r="F21" s="604">
        <v>5043124.8</v>
      </c>
      <c r="G21" s="604">
        <v>417535721.33779305</v>
      </c>
      <c r="H21" s="606">
        <f t="shared" si="1"/>
        <v>422578846.13779306</v>
      </c>
      <c r="L21" s="593"/>
      <c r="M21" s="593"/>
      <c r="N21" s="593"/>
      <c r="O21" s="593"/>
      <c r="P21" s="593"/>
      <c r="Q21" s="593"/>
    </row>
    <row r="22" spans="1:17" ht="15.75">
      <c r="A22" s="352" t="s">
        <v>173</v>
      </c>
      <c r="B22" s="358" t="s">
        <v>510</v>
      </c>
      <c r="C22" s="604">
        <v>0</v>
      </c>
      <c r="D22" s="604">
        <v>37215989.174816579</v>
      </c>
      <c r="E22" s="605">
        <f t="shared" si="0"/>
        <v>37215989.174816579</v>
      </c>
      <c r="F22" s="604">
        <v>0</v>
      </c>
      <c r="G22" s="604">
        <v>52687509.910694309</v>
      </c>
      <c r="H22" s="606">
        <f t="shared" si="1"/>
        <v>52687509.910694309</v>
      </c>
      <c r="L22" s="593"/>
      <c r="M22" s="593"/>
      <c r="N22" s="593"/>
      <c r="O22" s="593"/>
      <c r="P22" s="593"/>
      <c r="Q22" s="593"/>
    </row>
    <row r="23" spans="1:17" ht="15.75">
      <c r="A23" s="352">
        <v>5.4</v>
      </c>
      <c r="B23" s="356" t="s">
        <v>793</v>
      </c>
      <c r="C23" s="604">
        <v>200185218.87007254</v>
      </c>
      <c r="D23" s="604">
        <v>367193820.42095304</v>
      </c>
      <c r="E23" s="605">
        <f t="shared" si="0"/>
        <v>567379039.29102564</v>
      </c>
      <c r="F23" s="604">
        <v>114699551.93292712</v>
      </c>
      <c r="G23" s="604">
        <v>356048707.2500211</v>
      </c>
      <c r="H23" s="606">
        <f t="shared" si="1"/>
        <v>470748259.18294823</v>
      </c>
      <c r="L23" s="593"/>
      <c r="M23" s="593"/>
      <c r="N23" s="593"/>
      <c r="O23" s="593"/>
      <c r="P23" s="593"/>
      <c r="Q23" s="593"/>
    </row>
    <row r="24" spans="1:17" ht="15.75">
      <c r="A24" s="352">
        <v>5.5</v>
      </c>
      <c r="B24" s="356" t="s">
        <v>794</v>
      </c>
      <c r="C24" s="604">
        <v>19126543</v>
      </c>
      <c r="D24" s="604">
        <v>351704747.80612004</v>
      </c>
      <c r="E24" s="605">
        <f t="shared" si="0"/>
        <v>370831290.80612004</v>
      </c>
      <c r="F24" s="604">
        <v>18726543.009999998</v>
      </c>
      <c r="G24" s="604">
        <v>136206990.8906</v>
      </c>
      <c r="H24" s="606">
        <f t="shared" si="1"/>
        <v>154933533.90059999</v>
      </c>
      <c r="L24" s="593"/>
      <c r="M24" s="593"/>
      <c r="N24" s="593"/>
      <c r="O24" s="593"/>
      <c r="P24" s="593"/>
      <c r="Q24" s="593"/>
    </row>
    <row r="25" spans="1:17" ht="15.75">
      <c r="A25" s="352">
        <v>5.6</v>
      </c>
      <c r="B25" s="356" t="s">
        <v>795</v>
      </c>
      <c r="C25" s="604">
        <v>0</v>
      </c>
      <c r="D25" s="604">
        <v>4150950</v>
      </c>
      <c r="E25" s="605">
        <f t="shared" si="0"/>
        <v>4150950</v>
      </c>
      <c r="F25" s="604">
        <v>0</v>
      </c>
      <c r="G25" s="604">
        <v>4177715</v>
      </c>
      <c r="H25" s="606">
        <f t="shared" si="1"/>
        <v>4177715</v>
      </c>
      <c r="L25" s="593"/>
      <c r="M25" s="593"/>
      <c r="N25" s="593"/>
      <c r="O25" s="593"/>
      <c r="P25" s="593"/>
      <c r="Q25" s="593"/>
    </row>
    <row r="26" spans="1:17" ht="15.75">
      <c r="A26" s="352">
        <v>5.7</v>
      </c>
      <c r="B26" s="356" t="s">
        <v>510</v>
      </c>
      <c r="C26" s="604">
        <v>55088023</v>
      </c>
      <c r="D26" s="604">
        <v>20420435.254299998</v>
      </c>
      <c r="E26" s="605">
        <f t="shared" si="0"/>
        <v>75508458.254299998</v>
      </c>
      <c r="F26" s="604">
        <v>23392800</v>
      </c>
      <c r="G26" s="604">
        <v>25762890.284999996</v>
      </c>
      <c r="H26" s="606">
        <f t="shared" si="1"/>
        <v>49155690.284999996</v>
      </c>
      <c r="L26" s="593"/>
      <c r="M26" s="593"/>
      <c r="N26" s="593"/>
      <c r="O26" s="593"/>
      <c r="P26" s="593"/>
      <c r="Q26" s="593"/>
    </row>
    <row r="27" spans="1:17" ht="15.75">
      <c r="A27" s="352">
        <v>6</v>
      </c>
      <c r="B27" s="355" t="s">
        <v>796</v>
      </c>
      <c r="C27" s="604">
        <v>20135701.550000001</v>
      </c>
      <c r="D27" s="604">
        <v>31752865.143855006</v>
      </c>
      <c r="E27" s="605">
        <f t="shared" si="0"/>
        <v>51888566.693855003</v>
      </c>
      <c r="F27" s="604">
        <v>13782246.75</v>
      </c>
      <c r="G27" s="604">
        <v>12664602.013116</v>
      </c>
      <c r="H27" s="606">
        <f t="shared" si="1"/>
        <v>26446848.763116002</v>
      </c>
      <c r="L27" s="593"/>
      <c r="M27" s="593"/>
      <c r="N27" s="593"/>
      <c r="O27" s="593"/>
      <c r="P27" s="593"/>
      <c r="Q27" s="593"/>
    </row>
    <row r="28" spans="1:17" ht="15.75">
      <c r="A28" s="352">
        <v>7</v>
      </c>
      <c r="B28" s="355" t="s">
        <v>797</v>
      </c>
      <c r="C28" s="604">
        <v>55929431.839999996</v>
      </c>
      <c r="D28" s="604">
        <v>95767296.299999997</v>
      </c>
      <c r="E28" s="605">
        <f t="shared" si="0"/>
        <v>151696728.13999999</v>
      </c>
      <c r="F28" s="604">
        <v>90928441.5</v>
      </c>
      <c r="G28" s="604">
        <v>70445533.479999989</v>
      </c>
      <c r="H28" s="606">
        <f t="shared" si="1"/>
        <v>161373974.97999999</v>
      </c>
      <c r="L28" s="593"/>
      <c r="M28" s="593"/>
      <c r="N28" s="593"/>
      <c r="O28" s="593"/>
      <c r="P28" s="593"/>
      <c r="Q28" s="593"/>
    </row>
    <row r="29" spans="1:17" ht="15.75">
      <c r="A29" s="352">
        <v>8</v>
      </c>
      <c r="B29" s="355" t="s">
        <v>798</v>
      </c>
      <c r="C29" s="604">
        <v>0</v>
      </c>
      <c r="D29" s="604">
        <v>0</v>
      </c>
      <c r="E29" s="605">
        <f t="shared" si="0"/>
        <v>0</v>
      </c>
      <c r="F29" s="604">
        <v>0</v>
      </c>
      <c r="G29" s="604">
        <v>0</v>
      </c>
      <c r="H29" s="606">
        <f t="shared" si="1"/>
        <v>0</v>
      </c>
      <c r="L29" s="593"/>
      <c r="M29" s="593"/>
      <c r="N29" s="593"/>
      <c r="O29" s="593"/>
      <c r="P29" s="593"/>
      <c r="Q29" s="593"/>
    </row>
    <row r="30" spans="1:17" ht="15.75">
      <c r="A30" s="352">
        <v>9</v>
      </c>
      <c r="B30" s="353" t="s">
        <v>174</v>
      </c>
      <c r="C30" s="604">
        <f>C31+C32+C33+C34+C35+C36+C37</f>
        <v>0</v>
      </c>
      <c r="D30" s="604">
        <f>D31+D32+D33+D34+D35+D36+D37</f>
        <v>0</v>
      </c>
      <c r="E30" s="605">
        <f t="shared" si="0"/>
        <v>0</v>
      </c>
      <c r="F30" s="604">
        <f>F31+F32+F33+F34+F35+F36+F37</f>
        <v>0</v>
      </c>
      <c r="G30" s="604">
        <f>G31+G32+G33+G34+G35+G36+G37</f>
        <v>0</v>
      </c>
      <c r="H30" s="606">
        <f t="shared" si="1"/>
        <v>0</v>
      </c>
      <c r="L30" s="593"/>
      <c r="M30" s="593"/>
      <c r="N30" s="593"/>
      <c r="O30" s="593"/>
      <c r="P30" s="593"/>
      <c r="Q30" s="593"/>
    </row>
    <row r="31" spans="1:17" ht="25.5">
      <c r="A31" s="352">
        <v>9.1</v>
      </c>
      <c r="B31" s="354" t="s">
        <v>799</v>
      </c>
      <c r="C31" s="604">
        <v>0</v>
      </c>
      <c r="D31" s="604">
        <v>0</v>
      </c>
      <c r="E31" s="605">
        <f t="shared" si="0"/>
        <v>0</v>
      </c>
      <c r="F31" s="604">
        <v>0</v>
      </c>
      <c r="G31" s="604">
        <v>0</v>
      </c>
      <c r="H31" s="606">
        <f t="shared" si="1"/>
        <v>0</v>
      </c>
      <c r="L31" s="593"/>
      <c r="M31" s="593"/>
      <c r="N31" s="593"/>
      <c r="O31" s="593"/>
      <c r="P31" s="593"/>
      <c r="Q31" s="593"/>
    </row>
    <row r="32" spans="1:17" ht="25.5">
      <c r="A32" s="352">
        <v>9.1999999999999993</v>
      </c>
      <c r="B32" s="354" t="s">
        <v>800</v>
      </c>
      <c r="C32" s="604">
        <v>0</v>
      </c>
      <c r="D32" s="604">
        <v>0</v>
      </c>
      <c r="E32" s="605">
        <f t="shared" si="0"/>
        <v>0</v>
      </c>
      <c r="F32" s="604">
        <v>0</v>
      </c>
      <c r="G32" s="604">
        <v>0</v>
      </c>
      <c r="H32" s="606">
        <f t="shared" si="1"/>
        <v>0</v>
      </c>
      <c r="L32" s="593"/>
      <c r="M32" s="593"/>
      <c r="N32" s="593"/>
      <c r="O32" s="593"/>
      <c r="P32" s="593"/>
      <c r="Q32" s="593"/>
    </row>
    <row r="33" spans="1:17" ht="25.5">
      <c r="A33" s="352">
        <v>9.3000000000000007</v>
      </c>
      <c r="B33" s="354" t="s">
        <v>801</v>
      </c>
      <c r="C33" s="604">
        <v>0</v>
      </c>
      <c r="D33" s="604">
        <v>0</v>
      </c>
      <c r="E33" s="605">
        <f t="shared" si="0"/>
        <v>0</v>
      </c>
      <c r="F33" s="604">
        <v>0</v>
      </c>
      <c r="G33" s="604">
        <v>0</v>
      </c>
      <c r="H33" s="606">
        <f t="shared" si="1"/>
        <v>0</v>
      </c>
      <c r="L33" s="593"/>
      <c r="M33" s="593"/>
      <c r="N33" s="593"/>
      <c r="O33" s="593"/>
      <c r="P33" s="593"/>
      <c r="Q33" s="593"/>
    </row>
    <row r="34" spans="1:17" ht="15.75">
      <c r="A34" s="352">
        <v>9.4</v>
      </c>
      <c r="B34" s="354" t="s">
        <v>802</v>
      </c>
      <c r="C34" s="604">
        <v>0</v>
      </c>
      <c r="D34" s="604">
        <v>0</v>
      </c>
      <c r="E34" s="605">
        <f t="shared" si="0"/>
        <v>0</v>
      </c>
      <c r="F34" s="604">
        <v>0</v>
      </c>
      <c r="G34" s="604">
        <v>0</v>
      </c>
      <c r="H34" s="606">
        <f t="shared" si="1"/>
        <v>0</v>
      </c>
      <c r="L34" s="593"/>
      <c r="M34" s="593"/>
      <c r="N34" s="593"/>
      <c r="O34" s="593"/>
      <c r="P34" s="593"/>
      <c r="Q34" s="593"/>
    </row>
    <row r="35" spans="1:17" ht="15.75">
      <c r="A35" s="352">
        <v>9.5</v>
      </c>
      <c r="B35" s="354" t="s">
        <v>803</v>
      </c>
      <c r="C35" s="604">
        <v>0</v>
      </c>
      <c r="D35" s="604">
        <v>0</v>
      </c>
      <c r="E35" s="605">
        <f t="shared" si="0"/>
        <v>0</v>
      </c>
      <c r="F35" s="604">
        <v>0</v>
      </c>
      <c r="G35" s="604">
        <v>0</v>
      </c>
      <c r="H35" s="606">
        <f t="shared" si="1"/>
        <v>0</v>
      </c>
      <c r="L35" s="593"/>
      <c r="M35" s="593"/>
      <c r="N35" s="593"/>
      <c r="O35" s="593"/>
      <c r="P35" s="593"/>
      <c r="Q35" s="593"/>
    </row>
    <row r="36" spans="1:17" ht="25.5">
      <c r="A36" s="352">
        <v>9.6</v>
      </c>
      <c r="B36" s="354" t="s">
        <v>804</v>
      </c>
      <c r="C36" s="604">
        <v>0</v>
      </c>
      <c r="D36" s="604">
        <v>0</v>
      </c>
      <c r="E36" s="605">
        <f t="shared" si="0"/>
        <v>0</v>
      </c>
      <c r="F36" s="604">
        <v>0</v>
      </c>
      <c r="G36" s="604">
        <v>0</v>
      </c>
      <c r="H36" s="606">
        <f t="shared" si="1"/>
        <v>0</v>
      </c>
      <c r="L36" s="593"/>
      <c r="M36" s="593"/>
      <c r="N36" s="593"/>
      <c r="O36" s="593"/>
      <c r="P36" s="593"/>
      <c r="Q36" s="593"/>
    </row>
    <row r="37" spans="1:17" ht="25.5">
      <c r="A37" s="352">
        <v>9.6999999999999993</v>
      </c>
      <c r="B37" s="354" t="s">
        <v>805</v>
      </c>
      <c r="C37" s="604">
        <v>0</v>
      </c>
      <c r="D37" s="604">
        <v>0</v>
      </c>
      <c r="E37" s="605">
        <f t="shared" si="0"/>
        <v>0</v>
      </c>
      <c r="F37" s="604">
        <v>0</v>
      </c>
      <c r="G37" s="604">
        <v>0</v>
      </c>
      <c r="H37" s="606">
        <f t="shared" si="1"/>
        <v>0</v>
      </c>
      <c r="L37" s="593"/>
      <c r="M37" s="593"/>
      <c r="N37" s="593"/>
      <c r="O37" s="593"/>
      <c r="P37" s="593"/>
      <c r="Q37" s="593"/>
    </row>
    <row r="38" spans="1:17" ht="15.75">
      <c r="A38" s="352">
        <v>10</v>
      </c>
      <c r="B38" s="355" t="s">
        <v>806</v>
      </c>
      <c r="C38" s="607">
        <f>C41+C42</f>
        <v>29616228.979431756</v>
      </c>
      <c r="D38" s="607">
        <f>D41+D42</f>
        <v>81054538.202010006</v>
      </c>
      <c r="E38" s="605">
        <f t="shared" si="0"/>
        <v>110670767.18144175</v>
      </c>
      <c r="F38" s="607">
        <f>F41+F42</f>
        <v>31623438.339431755</v>
      </c>
      <c r="G38" s="607">
        <f>G41+G42</f>
        <v>84622650.435210019</v>
      </c>
      <c r="H38" s="606">
        <f t="shared" si="1"/>
        <v>116246088.77464178</v>
      </c>
      <c r="L38" s="593"/>
      <c r="M38" s="593"/>
      <c r="N38" s="593"/>
      <c r="O38" s="593"/>
      <c r="P38" s="593"/>
      <c r="Q38" s="593"/>
    </row>
    <row r="39" spans="1:17" ht="15.75">
      <c r="A39" s="352">
        <v>10.1</v>
      </c>
      <c r="B39" s="354" t="s">
        <v>807</v>
      </c>
      <c r="C39" s="604">
        <v>584.51</v>
      </c>
      <c r="D39" s="604">
        <v>1176940.6165</v>
      </c>
      <c r="E39" s="605">
        <f t="shared" si="0"/>
        <v>1177525.1265</v>
      </c>
      <c r="F39" s="604">
        <v>0</v>
      </c>
      <c r="G39" s="604">
        <v>1365217.257</v>
      </c>
      <c r="H39" s="606">
        <f t="shared" si="1"/>
        <v>1365217.257</v>
      </c>
      <c r="L39" s="593"/>
      <c r="M39" s="593"/>
      <c r="N39" s="593"/>
      <c r="O39" s="593"/>
      <c r="P39" s="593"/>
      <c r="Q39" s="593"/>
    </row>
    <row r="40" spans="1:17" ht="25.5">
      <c r="A40" s="352">
        <v>10.199999999999999</v>
      </c>
      <c r="B40" s="354" t="s">
        <v>808</v>
      </c>
      <c r="C40" s="604">
        <v>421.62</v>
      </c>
      <c r="D40" s="604">
        <v>2.8199999999999999E-2</v>
      </c>
      <c r="E40" s="605">
        <f t="shared" si="0"/>
        <v>421.64820000000003</v>
      </c>
      <c r="F40" s="604">
        <v>27968.99</v>
      </c>
      <c r="G40" s="604">
        <v>47030.8753</v>
      </c>
      <c r="H40" s="606">
        <f t="shared" si="1"/>
        <v>74999.865300000005</v>
      </c>
      <c r="L40" s="593"/>
      <c r="M40" s="593"/>
      <c r="N40" s="593"/>
      <c r="O40" s="593"/>
      <c r="P40" s="593"/>
      <c r="Q40" s="593"/>
    </row>
    <row r="41" spans="1:17" ht="25.5">
      <c r="A41" s="352">
        <v>10.3</v>
      </c>
      <c r="B41" s="354" t="s">
        <v>809</v>
      </c>
      <c r="C41" s="604">
        <v>12657252.300000003</v>
      </c>
      <c r="D41" s="604">
        <v>32871590.113699988</v>
      </c>
      <c r="E41" s="605">
        <f t="shared" si="0"/>
        <v>45528842.413699992</v>
      </c>
      <c r="F41" s="604">
        <v>13458451.570000002</v>
      </c>
      <c r="G41" s="604">
        <v>31919637.627399992</v>
      </c>
      <c r="H41" s="606">
        <f t="shared" si="1"/>
        <v>45378089.197399996</v>
      </c>
      <c r="L41" s="593"/>
      <c r="M41" s="593"/>
      <c r="N41" s="593"/>
      <c r="O41" s="593"/>
      <c r="P41" s="593"/>
      <c r="Q41" s="593"/>
    </row>
    <row r="42" spans="1:17" ht="25.5">
      <c r="A42" s="352">
        <v>10.4</v>
      </c>
      <c r="B42" s="354" t="s">
        <v>810</v>
      </c>
      <c r="C42" s="604">
        <v>16958976.679431751</v>
      </c>
      <c r="D42" s="604">
        <v>48182948.088310011</v>
      </c>
      <c r="E42" s="605">
        <f t="shared" si="0"/>
        <v>65141924.767741762</v>
      </c>
      <c r="F42" s="604">
        <v>18164986.769431751</v>
      </c>
      <c r="G42" s="604">
        <v>52703012.807810023</v>
      </c>
      <c r="H42" s="606">
        <f t="shared" si="1"/>
        <v>70867999.577241778</v>
      </c>
      <c r="L42" s="593"/>
      <c r="M42" s="593"/>
      <c r="N42" s="593"/>
      <c r="O42" s="593"/>
      <c r="P42" s="593"/>
      <c r="Q42" s="593"/>
    </row>
    <row r="43" spans="1:17" ht="15.75">
      <c r="A43" s="352">
        <v>11</v>
      </c>
      <c r="B43" s="359" t="s">
        <v>175</v>
      </c>
      <c r="C43" s="604">
        <v>0</v>
      </c>
      <c r="D43" s="604">
        <v>0</v>
      </c>
      <c r="E43" s="605">
        <f t="shared" si="0"/>
        <v>0</v>
      </c>
      <c r="F43" s="604">
        <v>0</v>
      </c>
      <c r="G43" s="604">
        <v>0</v>
      </c>
      <c r="H43" s="606">
        <f t="shared" si="1"/>
        <v>0</v>
      </c>
      <c r="L43" s="593"/>
      <c r="M43" s="593"/>
      <c r="N43" s="593"/>
      <c r="O43" s="593"/>
      <c r="P43" s="593"/>
      <c r="Q43" s="593"/>
    </row>
    <row r="44" spans="1:17" ht="15.75">
      <c r="C44" s="608"/>
      <c r="D44" s="608"/>
      <c r="E44" s="608"/>
      <c r="F44" s="608"/>
      <c r="G44" s="608"/>
      <c r="H44" s="608"/>
      <c r="L44" s="593"/>
      <c r="M44" s="593"/>
      <c r="N44" s="593"/>
      <c r="O44" s="593"/>
      <c r="P44" s="593"/>
      <c r="Q44" s="593"/>
    </row>
    <row r="45" spans="1:17" ht="15.75">
      <c r="C45" s="608"/>
      <c r="D45" s="608"/>
      <c r="E45" s="608"/>
      <c r="F45" s="608"/>
      <c r="G45" s="608"/>
      <c r="H45" s="608"/>
    </row>
    <row r="46" spans="1:17" ht="15.75">
      <c r="C46" s="608"/>
      <c r="D46" s="608"/>
      <c r="E46" s="608"/>
      <c r="F46" s="608"/>
      <c r="G46" s="608"/>
      <c r="H46" s="608"/>
    </row>
    <row r="47" spans="1:17" ht="15.75">
      <c r="C47" s="608"/>
      <c r="D47" s="608"/>
      <c r="E47" s="608"/>
      <c r="F47" s="608"/>
      <c r="G47" s="608"/>
      <c r="H47" s="608"/>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N18"/>
  <sheetViews>
    <sheetView showGridLines="0" zoomScale="80" zoomScaleNormal="80" workbookViewId="0">
      <pane xSplit="1" ySplit="4" topLeftCell="B5" activePane="bottomRight" state="frozen"/>
      <selection activeCell="L18" sqref="L18"/>
      <selection pane="topRight" activeCell="L18" sqref="L18"/>
      <selection pane="bottomLeft" activeCell="L18" sqref="L18"/>
      <selection pane="bottomRight"/>
    </sheetView>
  </sheetViews>
  <sheetFormatPr defaultColWidth="9.140625" defaultRowHeight="12.75"/>
  <cols>
    <col min="1" max="1" width="9.5703125" style="1" bestFit="1" customWidth="1"/>
    <col min="2" max="2" width="93.5703125" style="1" customWidth="1"/>
    <col min="3" max="4" width="14.85546875" style="1" bestFit="1" customWidth="1"/>
    <col min="5" max="7" width="14.85546875" style="8" bestFit="1" customWidth="1"/>
    <col min="8" max="11" width="9.85546875" style="8" customWidth="1"/>
    <col min="12" max="12" width="14.42578125" style="8" bestFit="1" customWidth="1"/>
    <col min="13" max="13" width="14.85546875" style="8" bestFit="1" customWidth="1"/>
    <col min="14" max="14" width="14.42578125" style="8" bestFit="1" customWidth="1"/>
    <col min="15" max="16384" width="9.140625" style="8"/>
  </cols>
  <sheetData>
    <row r="1" spans="1:14" ht="15">
      <c r="A1" s="13" t="s">
        <v>97</v>
      </c>
      <c r="B1" s="12" t="str">
        <f>Info!C2</f>
        <v>სს "ბანკი ქართუ"</v>
      </c>
      <c r="C1" s="12"/>
    </row>
    <row r="2" spans="1:14" ht="15">
      <c r="A2" s="13" t="s">
        <v>98</v>
      </c>
      <c r="B2" s="585">
        <f>'1. key ratios'!B2</f>
        <v>45747</v>
      </c>
      <c r="C2" s="12"/>
    </row>
    <row r="3" spans="1:14" ht="15">
      <c r="A3" s="13"/>
      <c r="B3" s="12"/>
      <c r="C3" s="12"/>
    </row>
    <row r="4" spans="1:14" ht="15" customHeight="1" thickBot="1">
      <c r="A4" s="111" t="s">
        <v>242</v>
      </c>
      <c r="B4" s="112" t="s">
        <v>96</v>
      </c>
      <c r="C4" s="113" t="s">
        <v>76</v>
      </c>
    </row>
    <row r="5" spans="1:14" ht="15" customHeight="1">
      <c r="A5" s="109" t="s">
        <v>25</v>
      </c>
      <c r="B5" s="110"/>
      <c r="C5" s="236" t="str">
        <f>INT((MONTH($B$2))/3)&amp;"Q"&amp;"-"&amp;YEAR($B$2)</f>
        <v>1Q-2025</v>
      </c>
      <c r="D5" s="236" t="str">
        <f>IF(INT(MONTH($B$2))=3, "4"&amp;"Q"&amp;"-"&amp;YEAR($B$2)-1, IF(INT(MONTH($B$2))=6, "1"&amp;"Q"&amp;"-"&amp;YEAR($B$2), IF(INT(MONTH($B$2))=9, "2"&amp;"Q"&amp;"-"&amp;YEAR($B$2),IF(INT(MONTH($B$2))=12, "3"&amp;"Q"&amp;"-"&amp;YEAR($B$2), 0))))</f>
        <v>4Q-2024</v>
      </c>
      <c r="E5" s="236" t="str">
        <f>IF(INT(MONTH($B$2))=3, "3"&amp;"Q"&amp;"-"&amp;YEAR($B$2)-1, IF(INT(MONTH($B$2))=6, "4"&amp;"Q"&amp;"-"&amp;YEAR($B$2)-1, IF(INT(MONTH($B$2))=9, "1"&amp;"Q"&amp;"-"&amp;YEAR($B$2),IF(INT(MONTH($B$2))=12, "2"&amp;"Q"&amp;"-"&amp;YEAR($B$2), 0))))</f>
        <v>3Q-2024</v>
      </c>
      <c r="F5" s="236" t="str">
        <f>IF(INT(MONTH($B$2))=3, "2"&amp;"Q"&amp;"-"&amp;YEAR($B$2)-1, IF(INT(MONTH($B$2))=6, "3"&amp;"Q"&amp;"-"&amp;YEAR($B$2)-1, IF(INT(MONTH($B$2))=9, "4"&amp;"Q"&amp;"-"&amp;YEAR($B$2)-1,IF(INT(MONTH($B$2))=12, "1"&amp;"Q"&amp;"-"&amp;YEAR($B$2), 0))))</f>
        <v>2Q-2024</v>
      </c>
      <c r="G5" s="236" t="str">
        <f>IF(INT(MONTH($B$2))=3, "1"&amp;"Q"&amp;"-"&amp;YEAR($B$2)-1, IF(INT(MONTH($B$2))=6, "2"&amp;"Q"&amp;"-"&amp;YEAR($B$2)-1, IF(INT(MONTH($B$2))=9, "3"&amp;"Q"&amp;"-"&amp;YEAR($B$2)-1,IF(INT(MONTH($B$2))=12, "4"&amp;"Q"&amp;"-"&amp;YEAR($B$2)-1, 0))))</f>
        <v>1Q-2024</v>
      </c>
    </row>
    <row r="6" spans="1:14" ht="15" customHeight="1">
      <c r="A6" s="198">
        <v>1</v>
      </c>
      <c r="B6" s="223" t="s">
        <v>101</v>
      </c>
      <c r="C6" s="199">
        <f>C7+C9+C10</f>
        <v>1561412237.4625614</v>
      </c>
      <c r="D6" s="225">
        <f>D7+D9+D10</f>
        <v>1747754425.9974732</v>
      </c>
      <c r="E6" s="225">
        <f t="shared" ref="E6:G6" si="0">E7+E9+E10</f>
        <v>1470141039.2617598</v>
      </c>
      <c r="F6" s="225">
        <f t="shared" si="0"/>
        <v>1398657832.8015645</v>
      </c>
      <c r="G6" s="226">
        <f t="shared" si="0"/>
        <v>1420401901.6419873</v>
      </c>
      <c r="I6" s="735"/>
      <c r="J6" s="609"/>
      <c r="K6" s="609"/>
      <c r="L6" s="609"/>
      <c r="M6" s="609"/>
      <c r="N6" s="609"/>
    </row>
    <row r="7" spans="1:14" ht="15" customHeight="1">
      <c r="A7" s="198">
        <v>1.1000000000000001</v>
      </c>
      <c r="B7" s="200" t="s">
        <v>994</v>
      </c>
      <c r="C7" s="610">
        <v>1456185478.304728</v>
      </c>
      <c r="D7" s="611">
        <v>1644294820.9230633</v>
      </c>
      <c r="E7" s="610">
        <v>1363564643.8547225</v>
      </c>
      <c r="F7" s="610">
        <v>1310286369.6710038</v>
      </c>
      <c r="G7" s="612">
        <v>1333641061.7994041</v>
      </c>
      <c r="I7" s="735"/>
      <c r="J7" s="609"/>
      <c r="K7" s="609"/>
      <c r="L7" s="609"/>
      <c r="M7" s="609"/>
      <c r="N7" s="609"/>
    </row>
    <row r="8" spans="1:14" ht="25.5">
      <c r="A8" s="198" t="s">
        <v>146</v>
      </c>
      <c r="B8" s="201" t="s">
        <v>239</v>
      </c>
      <c r="C8" s="610">
        <v>23805750</v>
      </c>
      <c r="D8" s="611">
        <v>23805750</v>
      </c>
      <c r="E8" s="610">
        <v>23805750</v>
      </c>
      <c r="F8" s="610">
        <v>23805750</v>
      </c>
      <c r="G8" s="612">
        <v>23430750</v>
      </c>
      <c r="I8" s="735"/>
      <c r="J8" s="609"/>
      <c r="K8" s="609"/>
      <c r="L8" s="609"/>
      <c r="M8" s="609"/>
      <c r="N8" s="609"/>
    </row>
    <row r="9" spans="1:14" ht="15" customHeight="1">
      <c r="A9" s="198">
        <v>1.2</v>
      </c>
      <c r="B9" s="200" t="s">
        <v>21</v>
      </c>
      <c r="C9" s="610">
        <v>105226759.15783325</v>
      </c>
      <c r="D9" s="611">
        <v>103459605.07441007</v>
      </c>
      <c r="E9" s="610">
        <v>106576395.40703729</v>
      </c>
      <c r="F9" s="610">
        <v>88371463.130560666</v>
      </c>
      <c r="G9" s="612">
        <v>86760839.84258309</v>
      </c>
      <c r="I9" s="735"/>
      <c r="J9" s="609"/>
      <c r="K9" s="609"/>
      <c r="L9" s="609"/>
      <c r="M9" s="609"/>
      <c r="N9" s="609"/>
    </row>
    <row r="10" spans="1:14" ht="15" customHeight="1">
      <c r="A10" s="198">
        <v>1.3</v>
      </c>
      <c r="B10" s="224" t="s">
        <v>73</v>
      </c>
      <c r="C10" s="610">
        <v>0</v>
      </c>
      <c r="D10" s="611">
        <v>0</v>
      </c>
      <c r="E10" s="610">
        <v>0</v>
      </c>
      <c r="F10" s="610">
        <v>0</v>
      </c>
      <c r="G10" s="612">
        <v>0</v>
      </c>
      <c r="I10" s="735"/>
      <c r="J10" s="609"/>
      <c r="K10" s="609"/>
      <c r="L10" s="609"/>
      <c r="M10" s="609"/>
      <c r="N10" s="609"/>
    </row>
    <row r="11" spans="1:14" ht="15" customHeight="1">
      <c r="A11" s="198">
        <v>2</v>
      </c>
      <c r="B11" s="223" t="s">
        <v>102</v>
      </c>
      <c r="C11" s="610">
        <v>13332341.836037362</v>
      </c>
      <c r="D11" s="611">
        <v>7684024.8357931608</v>
      </c>
      <c r="E11" s="610">
        <v>6001625.6953501338</v>
      </c>
      <c r="F11" s="610">
        <v>7276819.1953398287</v>
      </c>
      <c r="G11" s="612">
        <v>11124182.229466965</v>
      </c>
      <c r="I11" s="735"/>
      <c r="J11" s="609"/>
      <c r="K11" s="609"/>
      <c r="L11" s="609"/>
      <c r="M11" s="609"/>
      <c r="N11" s="609"/>
    </row>
    <row r="12" spans="1:14" ht="15" customHeight="1">
      <c r="A12" s="198">
        <v>3</v>
      </c>
      <c r="B12" s="223" t="s">
        <v>100</v>
      </c>
      <c r="C12" s="610">
        <v>158841985.05413476</v>
      </c>
      <c r="D12" s="611">
        <v>158841985.05413476</v>
      </c>
      <c r="E12" s="610">
        <v>135448763.36904073</v>
      </c>
      <c r="F12" s="610">
        <v>135448763.36904073</v>
      </c>
      <c r="G12" s="612">
        <v>135448763.36904073</v>
      </c>
      <c r="I12" s="735"/>
      <c r="J12" s="609"/>
      <c r="K12" s="609"/>
      <c r="L12" s="609"/>
      <c r="M12" s="609"/>
      <c r="N12" s="609"/>
    </row>
    <row r="13" spans="1:14" ht="15" customHeight="1" thickBot="1">
      <c r="A13" s="58">
        <v>4</v>
      </c>
      <c r="B13" s="229" t="s">
        <v>147</v>
      </c>
      <c r="C13" s="131">
        <f>C6+C11+C12</f>
        <v>1733586564.3527336</v>
      </c>
      <c r="D13" s="227">
        <f>D6+D11+D12</f>
        <v>1914280435.8874013</v>
      </c>
      <c r="E13" s="227">
        <f t="shared" ref="E13:G13" si="1">E6+E11+E12</f>
        <v>1611591428.3261507</v>
      </c>
      <c r="F13" s="227">
        <f t="shared" si="1"/>
        <v>1541383415.3659451</v>
      </c>
      <c r="G13" s="228">
        <f t="shared" si="1"/>
        <v>1566974847.240495</v>
      </c>
      <c r="J13" s="609"/>
      <c r="K13" s="609"/>
      <c r="L13" s="609"/>
      <c r="M13" s="609"/>
      <c r="N13" s="609"/>
    </row>
    <row r="14" spans="1:14">
      <c r="B14" s="17"/>
    </row>
    <row r="15" spans="1:14">
      <c r="B15" s="17"/>
    </row>
    <row r="16" spans="1:14">
      <c r="B16" s="17"/>
    </row>
    <row r="17" spans="2:2">
      <c r="B17" s="17"/>
    </row>
    <row r="18" spans="2:2">
      <c r="B18"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4"/>
  <sheetViews>
    <sheetView showGridLines="0" zoomScale="80" zoomScaleNormal="80" workbookViewId="0">
      <pane xSplit="1" ySplit="4" topLeftCell="B5" activePane="bottomRight" state="frozen"/>
      <selection pane="topRight" activeCell="B1" sqref="B1"/>
      <selection pane="bottomLeft" activeCell="A4" sqref="A4"/>
      <selection pane="bottomRight"/>
    </sheetView>
  </sheetViews>
  <sheetFormatPr defaultRowHeight="15"/>
  <cols>
    <col min="1" max="1" width="9.5703125" style="1" bestFit="1" customWidth="1"/>
    <col min="2" max="2" width="58.85546875" style="1" customWidth="1"/>
    <col min="3" max="3" width="91" style="1" customWidth="1"/>
  </cols>
  <sheetData>
    <row r="1" spans="1:8">
      <c r="A1" s="1" t="s">
        <v>97</v>
      </c>
      <c r="B1" s="1" t="str">
        <f>Info!C2</f>
        <v>სს "ბანკი ქართუ"</v>
      </c>
    </row>
    <row r="2" spans="1:8">
      <c r="A2" s="1" t="s">
        <v>98</v>
      </c>
      <c r="B2" s="585">
        <f>'1. key ratios'!B2</f>
        <v>45747</v>
      </c>
    </row>
    <row r="4" spans="1:8" ht="43.5" customHeight="1" thickBot="1">
      <c r="A4" s="125" t="s">
        <v>243</v>
      </c>
      <c r="B4" s="23" t="s">
        <v>80</v>
      </c>
      <c r="C4" s="9"/>
    </row>
    <row r="5" spans="1:8" ht="15.75">
      <c r="A5" s="7"/>
      <c r="B5" s="219" t="s">
        <v>81</v>
      </c>
      <c r="C5" s="234" t="s">
        <v>419</v>
      </c>
    </row>
    <row r="6" spans="1:8">
      <c r="A6" s="10">
        <v>1</v>
      </c>
      <c r="B6" s="714" t="s">
        <v>1004</v>
      </c>
      <c r="C6" s="715" t="s">
        <v>1005</v>
      </c>
    </row>
    <row r="7" spans="1:8">
      <c r="A7" s="10">
        <v>2</v>
      </c>
      <c r="B7" s="714" t="s">
        <v>1006</v>
      </c>
      <c r="C7" s="715" t="s">
        <v>1007</v>
      </c>
    </row>
    <row r="8" spans="1:8">
      <c r="A8" s="10">
        <v>3</v>
      </c>
      <c r="B8" s="714" t="s">
        <v>1008</v>
      </c>
      <c r="C8" s="715" t="s">
        <v>1009</v>
      </c>
    </row>
    <row r="9" spans="1:8">
      <c r="A9" s="10">
        <v>4</v>
      </c>
      <c r="B9" s="714" t="s">
        <v>1010</v>
      </c>
      <c r="C9" s="715" t="s">
        <v>1007</v>
      </c>
    </row>
    <row r="10" spans="1:8">
      <c r="A10" s="10">
        <v>5</v>
      </c>
      <c r="B10" s="714" t="s">
        <v>1029</v>
      </c>
      <c r="C10" s="715" t="s">
        <v>1009</v>
      </c>
    </row>
    <row r="11" spans="1:8">
      <c r="A11" s="10">
        <v>6</v>
      </c>
      <c r="B11" s="24"/>
      <c r="C11" s="230"/>
    </row>
    <row r="12" spans="1:8">
      <c r="A12" s="10">
        <v>7</v>
      </c>
      <c r="B12" s="24"/>
      <c r="C12" s="230"/>
      <c r="H12" s="2"/>
    </row>
    <row r="13" spans="1:8">
      <c r="A13" s="10">
        <v>8</v>
      </c>
      <c r="B13" s="24"/>
      <c r="C13" s="230"/>
    </row>
    <row r="14" spans="1:8">
      <c r="A14" s="10">
        <v>9</v>
      </c>
      <c r="B14" s="24"/>
      <c r="C14" s="230"/>
    </row>
    <row r="15" spans="1:8">
      <c r="A15" s="10">
        <v>10</v>
      </c>
      <c r="B15" s="24"/>
      <c r="C15" s="230"/>
    </row>
    <row r="16" spans="1:8">
      <c r="A16" s="10"/>
      <c r="B16" s="764"/>
      <c r="C16" s="765"/>
    </row>
    <row r="17" spans="1:3">
      <c r="A17" s="10"/>
      <c r="B17" s="220" t="s">
        <v>82</v>
      </c>
      <c r="C17" s="235" t="s">
        <v>420</v>
      </c>
    </row>
    <row r="18" spans="1:3" ht="15.75">
      <c r="A18" s="10">
        <v>1</v>
      </c>
      <c r="B18" s="716" t="s">
        <v>1011</v>
      </c>
      <c r="C18" s="717" t="s">
        <v>1012</v>
      </c>
    </row>
    <row r="19" spans="1:3" ht="15.75">
      <c r="A19" s="10">
        <v>2</v>
      </c>
      <c r="B19" s="716" t="s">
        <v>1013</v>
      </c>
      <c r="C19" s="717" t="s">
        <v>1014</v>
      </c>
    </row>
    <row r="20" spans="1:3" ht="15.75">
      <c r="A20" s="10">
        <v>3</v>
      </c>
      <c r="B20" s="716" t="s">
        <v>1015</v>
      </c>
      <c r="C20" s="717" t="s">
        <v>1016</v>
      </c>
    </row>
    <row r="21" spans="1:3" ht="15.75">
      <c r="A21" s="10">
        <v>4</v>
      </c>
      <c r="B21" s="716" t="s">
        <v>1017</v>
      </c>
      <c r="C21" s="717" t="s">
        <v>1018</v>
      </c>
    </row>
    <row r="22" spans="1:3" ht="15.75">
      <c r="A22" s="10">
        <v>5</v>
      </c>
      <c r="B22" s="716" t="s">
        <v>1019</v>
      </c>
      <c r="C22" s="717" t="s">
        <v>1020</v>
      </c>
    </row>
    <row r="23" spans="1:3" ht="15.75">
      <c r="A23" s="10">
        <v>6</v>
      </c>
      <c r="B23" s="716" t="s">
        <v>1021</v>
      </c>
      <c r="C23" s="717" t="s">
        <v>1022</v>
      </c>
    </row>
    <row r="24" spans="1:3" ht="15.75">
      <c r="A24" s="10">
        <v>7</v>
      </c>
      <c r="B24" s="20"/>
      <c r="C24" s="232"/>
    </row>
    <row r="25" spans="1:3" ht="15.75">
      <c r="A25" s="10">
        <v>8</v>
      </c>
      <c r="B25" s="20"/>
      <c r="C25" s="232"/>
    </row>
    <row r="26" spans="1:3" ht="15.75">
      <c r="A26" s="10">
        <v>9</v>
      </c>
      <c r="B26" s="20"/>
      <c r="C26" s="232"/>
    </row>
    <row r="27" spans="1:3" ht="15.75" customHeight="1">
      <c r="A27" s="10">
        <v>10</v>
      </c>
      <c r="B27" s="20"/>
      <c r="C27" s="233"/>
    </row>
    <row r="28" spans="1:3" ht="15.75" customHeight="1">
      <c r="A28" s="10"/>
      <c r="B28" s="20"/>
      <c r="C28" s="21"/>
    </row>
    <row r="29" spans="1:3" ht="30" customHeight="1">
      <c r="A29" s="10"/>
      <c r="B29" s="768" t="s">
        <v>83</v>
      </c>
      <c r="C29" s="769"/>
    </row>
    <row r="30" spans="1:3">
      <c r="A30" s="10">
        <v>1</v>
      </c>
      <c r="B30" s="718" t="s">
        <v>1023</v>
      </c>
      <c r="C30" s="719">
        <v>1</v>
      </c>
    </row>
    <row r="31" spans="1:3" ht="15.75" customHeight="1">
      <c r="A31" s="10"/>
      <c r="B31" s="718"/>
      <c r="C31" s="719"/>
    </row>
    <row r="32" spans="1:3" ht="29.25" customHeight="1">
      <c r="A32" s="10"/>
      <c r="B32" s="766" t="s">
        <v>163</v>
      </c>
      <c r="C32" s="767"/>
    </row>
    <row r="33" spans="1:3">
      <c r="A33" s="10">
        <v>1</v>
      </c>
      <c r="B33" s="718" t="s">
        <v>1024</v>
      </c>
      <c r="C33" s="720">
        <v>0.35</v>
      </c>
    </row>
    <row r="34" spans="1:3" ht="16.5" thickBot="1">
      <c r="A34" s="11"/>
      <c r="B34" s="25"/>
      <c r="C34" s="231"/>
    </row>
  </sheetData>
  <mergeCells count="3">
    <mergeCell ref="B16:C16"/>
    <mergeCell ref="B32:C32"/>
    <mergeCell ref="B29:C29"/>
  </mergeCells>
  <dataValidations disablePrompts="1"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I53"/>
  <sheetViews>
    <sheetView showGridLines="0" zoomScale="80" zoomScaleNormal="80" workbookViewId="0">
      <pane xSplit="1" ySplit="5" topLeftCell="B6" activePane="bottomRight" state="frozen"/>
      <selection activeCell="H6" sqref="H6"/>
      <selection pane="topRight" activeCell="H6" sqref="H6"/>
      <selection pane="bottomLeft" activeCell="H6" sqref="H6"/>
      <selection pane="bottomRight"/>
    </sheetView>
  </sheetViews>
  <sheetFormatPr defaultRowHeight="15"/>
  <cols>
    <col min="1" max="1" width="9.5703125" style="1" bestFit="1" customWidth="1"/>
    <col min="2" max="2" width="47.5703125" style="1" customWidth="1"/>
    <col min="3" max="3" width="28" style="1" customWidth="1"/>
    <col min="4" max="4" width="25.5703125" style="1" customWidth="1"/>
    <col min="5" max="5" width="18.85546875" style="1" customWidth="1"/>
    <col min="6" max="6" width="12" bestFit="1" customWidth="1"/>
    <col min="7" max="7" width="17" bestFit="1" customWidth="1"/>
    <col min="9" max="9" width="17" bestFit="1" customWidth="1"/>
  </cols>
  <sheetData>
    <row r="1" spans="1:9" ht="15.75">
      <c r="A1" s="13" t="s">
        <v>97</v>
      </c>
      <c r="B1" s="12" t="str">
        <f>Info!C2</f>
        <v>სს "ბანკი ქართუ"</v>
      </c>
    </row>
    <row r="2" spans="1:9" s="13" customFormat="1" ht="15.75" customHeight="1">
      <c r="A2" s="13" t="s">
        <v>98</v>
      </c>
      <c r="B2" s="585">
        <f>'1. key ratios'!B2</f>
        <v>45747</v>
      </c>
    </row>
    <row r="3" spans="1:9" s="13" customFormat="1" ht="15.75" customHeight="1"/>
    <row r="4" spans="1:9" s="13" customFormat="1" ht="15.75" customHeight="1" thickBot="1">
      <c r="A4" s="126" t="s">
        <v>244</v>
      </c>
      <c r="B4" s="127" t="s">
        <v>157</v>
      </c>
      <c r="C4" s="91"/>
      <c r="D4" s="91"/>
      <c r="E4" s="92" t="s">
        <v>76</v>
      </c>
    </row>
    <row r="5" spans="1:9" s="54" customFormat="1" ht="17.45" customHeight="1">
      <c r="A5" s="178"/>
      <c r="B5" s="179"/>
      <c r="C5" s="90" t="s">
        <v>0</v>
      </c>
      <c r="D5" s="90" t="s">
        <v>1</v>
      </c>
      <c r="E5" s="180" t="s">
        <v>2</v>
      </c>
    </row>
    <row r="6" spans="1:9" ht="14.45" customHeight="1">
      <c r="A6" s="181"/>
      <c r="B6" s="770" t="s">
        <v>133</v>
      </c>
      <c r="C6" s="770" t="s">
        <v>824</v>
      </c>
      <c r="D6" s="771" t="s">
        <v>132</v>
      </c>
      <c r="E6" s="772"/>
    </row>
    <row r="7" spans="1:9" ht="99.6" customHeight="1">
      <c r="A7" s="181"/>
      <c r="B7" s="770"/>
      <c r="C7" s="770"/>
      <c r="D7" s="177" t="s">
        <v>131</v>
      </c>
      <c r="E7" s="736" t="s">
        <v>341</v>
      </c>
    </row>
    <row r="8" spans="1:9" ht="22.5" customHeight="1">
      <c r="A8" s="362">
        <v>1</v>
      </c>
      <c r="B8" s="315" t="s">
        <v>811</v>
      </c>
      <c r="C8" s="363">
        <f>SUM(C9:C11)</f>
        <v>614885522.81033564</v>
      </c>
      <c r="D8" s="363">
        <f t="shared" ref="D8:E8" si="0">SUM(D9:D11)</f>
        <v>0</v>
      </c>
      <c r="E8" s="737">
        <f t="shared" si="0"/>
        <v>614885522.81033564</v>
      </c>
      <c r="G8" s="613"/>
      <c r="H8" s="613"/>
      <c r="I8" s="613"/>
    </row>
    <row r="9" spans="1:9">
      <c r="A9" s="362">
        <v>1.1000000000000001</v>
      </c>
      <c r="B9" s="316" t="s">
        <v>85</v>
      </c>
      <c r="C9" s="363">
        <v>46297032.326199993</v>
      </c>
      <c r="D9" s="363">
        <v>0</v>
      </c>
      <c r="E9" s="737">
        <v>46297032.326199993</v>
      </c>
      <c r="G9" s="613"/>
      <c r="H9" s="613"/>
      <c r="I9" s="613"/>
    </row>
    <row r="10" spans="1:9">
      <c r="A10" s="362">
        <v>1.2</v>
      </c>
      <c r="B10" s="316" t="s">
        <v>86</v>
      </c>
      <c r="C10" s="363">
        <v>284804637.23051971</v>
      </c>
      <c r="D10" s="363">
        <v>0</v>
      </c>
      <c r="E10" s="737">
        <v>284804637.23051971</v>
      </c>
      <c r="G10" s="613"/>
      <c r="H10" s="613"/>
      <c r="I10" s="613"/>
    </row>
    <row r="11" spans="1:9">
      <c r="A11" s="362">
        <v>1.3</v>
      </c>
      <c r="B11" s="316" t="s">
        <v>87</v>
      </c>
      <c r="C11" s="363">
        <v>283783853.25361586</v>
      </c>
      <c r="D11" s="363">
        <v>0</v>
      </c>
      <c r="E11" s="737">
        <v>283783853.25361586</v>
      </c>
      <c r="G11" s="613"/>
      <c r="H11" s="613"/>
      <c r="I11" s="613"/>
    </row>
    <row r="12" spans="1:9">
      <c r="A12" s="362">
        <v>2</v>
      </c>
      <c r="B12" s="317" t="s">
        <v>698</v>
      </c>
      <c r="C12" s="363">
        <v>0</v>
      </c>
      <c r="D12" s="363">
        <v>0</v>
      </c>
      <c r="E12" s="737">
        <v>0</v>
      </c>
      <c r="G12" s="613"/>
      <c r="H12" s="613"/>
      <c r="I12" s="613"/>
    </row>
    <row r="13" spans="1:9" ht="21">
      <c r="A13" s="362">
        <v>2.1</v>
      </c>
      <c r="B13" s="318" t="s">
        <v>699</v>
      </c>
      <c r="C13" s="363">
        <v>0</v>
      </c>
      <c r="D13" s="363">
        <v>0</v>
      </c>
      <c r="E13" s="737">
        <v>0</v>
      </c>
      <c r="G13" s="613"/>
      <c r="H13" s="613"/>
      <c r="I13" s="613"/>
    </row>
    <row r="14" spans="1:9" ht="33.950000000000003" customHeight="1">
      <c r="A14" s="362">
        <v>3</v>
      </c>
      <c r="B14" s="319" t="s">
        <v>700</v>
      </c>
      <c r="C14" s="363">
        <v>0</v>
      </c>
      <c r="D14" s="363">
        <v>0</v>
      </c>
      <c r="E14" s="737">
        <v>0</v>
      </c>
      <c r="G14" s="613"/>
      <c r="H14" s="613"/>
      <c r="I14" s="613"/>
    </row>
    <row r="15" spans="1:9" ht="32.450000000000003" customHeight="1">
      <c r="A15" s="362">
        <v>4</v>
      </c>
      <c r="B15" s="320" t="s">
        <v>701</v>
      </c>
      <c r="C15" s="363">
        <v>0</v>
      </c>
      <c r="D15" s="363">
        <v>0</v>
      </c>
      <c r="E15" s="737">
        <v>0</v>
      </c>
      <c r="G15" s="613"/>
      <c r="H15" s="613"/>
      <c r="I15" s="613"/>
    </row>
    <row r="16" spans="1:9" ht="23.1" customHeight="1">
      <c r="A16" s="362">
        <v>5</v>
      </c>
      <c r="B16" s="320" t="s">
        <v>702</v>
      </c>
      <c r="C16" s="363">
        <f>SUM(C17:C19)</f>
        <v>7408054.2999999998</v>
      </c>
      <c r="D16" s="363">
        <f t="shared" ref="D16:E16" si="1">SUM(D17:D19)</f>
        <v>21959.87840556982</v>
      </c>
      <c r="E16" s="737">
        <f t="shared" si="1"/>
        <v>7386094.4215944298</v>
      </c>
      <c r="G16" s="613"/>
      <c r="H16" s="613"/>
      <c r="I16" s="613"/>
    </row>
    <row r="17" spans="1:9">
      <c r="A17" s="362">
        <v>5.0999999999999996</v>
      </c>
      <c r="B17" s="321" t="s">
        <v>703</v>
      </c>
      <c r="C17" s="363">
        <v>175637.53</v>
      </c>
      <c r="D17" s="363">
        <v>0</v>
      </c>
      <c r="E17" s="737">
        <v>175637.53</v>
      </c>
      <c r="G17" s="613"/>
      <c r="H17" s="613"/>
      <c r="I17" s="613"/>
    </row>
    <row r="18" spans="1:9">
      <c r="A18" s="362">
        <v>5.2</v>
      </c>
      <c r="B18" s="321" t="s">
        <v>538</v>
      </c>
      <c r="C18" s="363">
        <v>7232416.7699999996</v>
      </c>
      <c r="D18" s="363">
        <v>21959.87840556982</v>
      </c>
      <c r="E18" s="737">
        <v>7210456.8915944295</v>
      </c>
      <c r="G18" s="613"/>
      <c r="H18" s="613"/>
      <c r="I18" s="613"/>
    </row>
    <row r="19" spans="1:9">
      <c r="A19" s="362">
        <v>5.3</v>
      </c>
      <c r="B19" s="321" t="s">
        <v>704</v>
      </c>
      <c r="C19" s="363">
        <v>0</v>
      </c>
      <c r="D19" s="363">
        <v>0</v>
      </c>
      <c r="E19" s="737">
        <v>0</v>
      </c>
      <c r="G19" s="613"/>
      <c r="H19" s="613"/>
      <c r="I19" s="613"/>
    </row>
    <row r="20" spans="1:9" ht="21">
      <c r="A20" s="362">
        <v>6</v>
      </c>
      <c r="B20" s="319" t="s">
        <v>705</v>
      </c>
      <c r="C20" s="363">
        <f>SUM(C21:C22)</f>
        <v>1100414094.1733408</v>
      </c>
      <c r="D20" s="363">
        <f t="shared" ref="D20:E20" si="2">SUM(D21:D22)</f>
        <v>0</v>
      </c>
      <c r="E20" s="737">
        <f t="shared" si="2"/>
        <v>1100414094.1733408</v>
      </c>
      <c r="G20" s="613"/>
      <c r="H20" s="613"/>
      <c r="I20" s="613"/>
    </row>
    <row r="21" spans="1:9">
      <c r="A21" s="362">
        <v>6.1</v>
      </c>
      <c r="B21" s="321" t="s">
        <v>538</v>
      </c>
      <c r="C21" s="363">
        <v>60336411.374246351</v>
      </c>
      <c r="D21" s="363">
        <v>0</v>
      </c>
      <c r="E21" s="737">
        <v>60336411.374246351</v>
      </c>
      <c r="G21" s="613"/>
      <c r="H21" s="613"/>
      <c r="I21" s="613"/>
    </row>
    <row r="22" spans="1:9">
      <c r="A22" s="362">
        <v>6.2</v>
      </c>
      <c r="B22" s="321" t="s">
        <v>704</v>
      </c>
      <c r="C22" s="363">
        <v>1040077682.7990946</v>
      </c>
      <c r="D22" s="363">
        <v>0</v>
      </c>
      <c r="E22" s="737">
        <v>1040077682.7990946</v>
      </c>
      <c r="G22" s="613"/>
      <c r="H22" s="613"/>
      <c r="I22" s="613"/>
    </row>
    <row r="23" spans="1:9" ht="21">
      <c r="A23" s="362">
        <v>7</v>
      </c>
      <c r="B23" s="322" t="s">
        <v>706</v>
      </c>
      <c r="C23" s="363">
        <v>9522300</v>
      </c>
      <c r="D23" s="363">
        <v>0</v>
      </c>
      <c r="E23" s="737">
        <v>9522300</v>
      </c>
      <c r="G23" s="613"/>
      <c r="H23" s="613"/>
      <c r="I23" s="613"/>
    </row>
    <row r="24" spans="1:9" ht="21">
      <c r="A24" s="362">
        <v>8</v>
      </c>
      <c r="B24" s="323" t="s">
        <v>707</v>
      </c>
      <c r="C24" s="363">
        <v>0</v>
      </c>
      <c r="D24" s="363">
        <v>0</v>
      </c>
      <c r="E24" s="737">
        <v>0</v>
      </c>
      <c r="G24" s="613"/>
      <c r="H24" s="613"/>
      <c r="I24" s="613"/>
    </row>
    <row r="25" spans="1:9">
      <c r="A25" s="362">
        <v>9</v>
      </c>
      <c r="B25" s="320" t="s">
        <v>708</v>
      </c>
      <c r="C25" s="364">
        <f>SUM(C26:C27)</f>
        <v>22057337.192990594</v>
      </c>
      <c r="D25" s="364">
        <f t="shared" ref="D25:E25" si="3">SUM(D26:D27)</f>
        <v>0</v>
      </c>
      <c r="E25" s="738">
        <f t="shared" si="3"/>
        <v>22057337.192990594</v>
      </c>
      <c r="G25" s="613"/>
      <c r="H25" s="613"/>
      <c r="I25" s="613"/>
    </row>
    <row r="26" spans="1:9">
      <c r="A26" s="362">
        <v>9.1</v>
      </c>
      <c r="B26" s="324" t="s">
        <v>709</v>
      </c>
      <c r="C26" s="363">
        <v>22057337.192990594</v>
      </c>
      <c r="D26" s="363">
        <v>0</v>
      </c>
      <c r="E26" s="737">
        <v>22057337.192990594</v>
      </c>
      <c r="G26" s="613"/>
      <c r="H26" s="613"/>
      <c r="I26" s="613"/>
    </row>
    <row r="27" spans="1:9">
      <c r="A27" s="362">
        <v>9.1999999999999993</v>
      </c>
      <c r="B27" s="324" t="s">
        <v>710</v>
      </c>
      <c r="C27" s="363">
        <v>0</v>
      </c>
      <c r="D27" s="363">
        <v>0</v>
      </c>
      <c r="E27" s="737">
        <v>0</v>
      </c>
      <c r="G27" s="613"/>
      <c r="H27" s="613"/>
      <c r="I27" s="613"/>
    </row>
    <row r="28" spans="1:9">
      <c r="A28" s="362">
        <v>10</v>
      </c>
      <c r="B28" s="320" t="s">
        <v>36</v>
      </c>
      <c r="C28" s="364">
        <f>SUM(C29:C30)</f>
        <v>12350414.350000001</v>
      </c>
      <c r="D28" s="364">
        <f t="shared" ref="D28:E28" si="4">SUM(D29:D30)</f>
        <v>12350414.350000003</v>
      </c>
      <c r="E28" s="738">
        <f t="shared" si="4"/>
        <v>0</v>
      </c>
      <c r="G28" s="613"/>
      <c r="H28" s="613"/>
      <c r="I28" s="613"/>
    </row>
    <row r="29" spans="1:9">
      <c r="A29" s="362">
        <v>10.1</v>
      </c>
      <c r="B29" s="324" t="s">
        <v>711</v>
      </c>
      <c r="C29" s="363">
        <v>0</v>
      </c>
      <c r="D29" s="363">
        <v>0</v>
      </c>
      <c r="E29" s="737">
        <v>0</v>
      </c>
      <c r="G29" s="613"/>
      <c r="H29" s="613"/>
      <c r="I29" s="613"/>
    </row>
    <row r="30" spans="1:9">
      <c r="A30" s="362">
        <v>10.199999999999999</v>
      </c>
      <c r="B30" s="324" t="s">
        <v>712</v>
      </c>
      <c r="C30" s="363">
        <v>12350414.350000001</v>
      </c>
      <c r="D30" s="363">
        <v>12350414.350000003</v>
      </c>
      <c r="E30" s="737">
        <v>0</v>
      </c>
      <c r="G30" s="613"/>
      <c r="H30" s="613"/>
      <c r="I30" s="613"/>
    </row>
    <row r="31" spans="1:9">
      <c r="A31" s="362">
        <v>11</v>
      </c>
      <c r="B31" s="320" t="s">
        <v>713</v>
      </c>
      <c r="C31" s="364">
        <f>SUM(C32:C33)</f>
        <v>8513796.4670122191</v>
      </c>
      <c r="D31" s="364">
        <f t="shared" ref="D31:E31" si="5">SUM(D32:D33)</f>
        <v>0</v>
      </c>
      <c r="E31" s="738">
        <f t="shared" si="5"/>
        <v>8513796.4670122191</v>
      </c>
      <c r="G31" s="613"/>
      <c r="H31" s="613"/>
      <c r="I31" s="613"/>
    </row>
    <row r="32" spans="1:9">
      <c r="A32" s="362">
        <v>11.1</v>
      </c>
      <c r="B32" s="324" t="s">
        <v>714</v>
      </c>
      <c r="C32" s="363">
        <v>8513796.4670122191</v>
      </c>
      <c r="D32" s="363">
        <v>0</v>
      </c>
      <c r="E32" s="737">
        <v>8513796.4670122191</v>
      </c>
      <c r="G32" s="613"/>
      <c r="H32" s="613"/>
      <c r="I32" s="613"/>
    </row>
    <row r="33" spans="1:9">
      <c r="A33" s="362">
        <v>11.2</v>
      </c>
      <c r="B33" s="324" t="s">
        <v>715</v>
      </c>
      <c r="C33" s="363">
        <v>0</v>
      </c>
      <c r="D33" s="363">
        <v>0</v>
      </c>
      <c r="E33" s="737">
        <v>0</v>
      </c>
      <c r="G33" s="613"/>
      <c r="H33" s="613"/>
      <c r="I33" s="613"/>
    </row>
    <row r="34" spans="1:9">
      <c r="A34" s="362">
        <v>13</v>
      </c>
      <c r="B34" s="320" t="s">
        <v>88</v>
      </c>
      <c r="C34" s="363">
        <v>46888607.682966106</v>
      </c>
      <c r="D34" s="363">
        <v>0</v>
      </c>
      <c r="E34" s="737">
        <v>46888607.682966106</v>
      </c>
      <c r="G34" s="613"/>
      <c r="H34" s="613"/>
      <c r="I34" s="613"/>
    </row>
    <row r="35" spans="1:9">
      <c r="A35" s="362">
        <v>13.1</v>
      </c>
      <c r="B35" s="325" t="s">
        <v>716</v>
      </c>
      <c r="C35" s="363">
        <v>45010351.173766114</v>
      </c>
      <c r="D35" s="363">
        <v>0</v>
      </c>
      <c r="E35" s="737">
        <v>45010351.173766114</v>
      </c>
      <c r="G35" s="613"/>
      <c r="H35" s="613"/>
      <c r="I35" s="613"/>
    </row>
    <row r="36" spans="1:9">
      <c r="A36" s="362">
        <v>13.2</v>
      </c>
      <c r="B36" s="325" t="s">
        <v>717</v>
      </c>
      <c r="C36" s="363">
        <v>0</v>
      </c>
      <c r="D36" s="363">
        <v>0</v>
      </c>
      <c r="E36" s="737">
        <v>0</v>
      </c>
      <c r="G36" s="613"/>
      <c r="H36" s="613"/>
      <c r="I36" s="613"/>
    </row>
    <row r="37" spans="1:9" ht="39" thickBot="1">
      <c r="A37" s="182"/>
      <c r="B37" s="183" t="s">
        <v>308</v>
      </c>
      <c r="C37" s="145">
        <f>SUM(C8,C12,C14,C15,C16,C20,C23,C24,C25,C28,C31,C34)</f>
        <v>1822040126.976645</v>
      </c>
      <c r="D37" s="145">
        <f t="shared" ref="D37:E37" si="6">SUM(D8,D12,D14,D15,D16,D20,D23,D24,D25,D28,D31,D34)</f>
        <v>12372374.228405572</v>
      </c>
      <c r="E37" s="739">
        <f t="shared" si="6"/>
        <v>1809667752.7482395</v>
      </c>
      <c r="G37" s="613"/>
      <c r="H37" s="613"/>
      <c r="I37" s="613"/>
    </row>
    <row r="38" spans="1:9">
      <c r="A38"/>
      <c r="B38"/>
      <c r="C38"/>
      <c r="D38"/>
      <c r="E38"/>
    </row>
    <row r="39" spans="1:9">
      <c r="A39"/>
      <c r="B39"/>
      <c r="C39"/>
      <c r="D39"/>
      <c r="E39"/>
    </row>
    <row r="41" spans="1:9" s="1" customFormat="1">
      <c r="B41" s="27"/>
      <c r="F41"/>
      <c r="G41"/>
    </row>
    <row r="42" spans="1:9" s="1" customFormat="1">
      <c r="B42" s="28"/>
      <c r="F42"/>
      <c r="G42"/>
    </row>
    <row r="43" spans="1:9" s="1" customFormat="1">
      <c r="B43" s="27"/>
      <c r="F43"/>
      <c r="G43"/>
    </row>
    <row r="44" spans="1:9" s="1" customFormat="1">
      <c r="B44" s="27"/>
      <c r="F44"/>
      <c r="G44"/>
    </row>
    <row r="45" spans="1:9" s="1" customFormat="1">
      <c r="B45" s="27"/>
      <c r="F45"/>
      <c r="G45"/>
    </row>
    <row r="46" spans="1:9" s="1" customFormat="1">
      <c r="B46" s="27"/>
      <c r="F46"/>
      <c r="G46"/>
    </row>
    <row r="47" spans="1:9" s="1" customFormat="1">
      <c r="B47" s="27"/>
      <c r="F47"/>
      <c r="G47"/>
    </row>
    <row r="48" spans="1:9"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showGridLines="0" zoomScale="80" zoomScaleNormal="80" workbookViewId="0">
      <pane xSplit="1" ySplit="4" topLeftCell="B5" activePane="bottomRight" state="frozen"/>
      <selection activeCell="H6" sqref="H6"/>
      <selection pane="topRight" activeCell="H6" sqref="H6"/>
      <selection pane="bottomLeft" activeCell="H6" sqref="H6"/>
      <selection pane="bottomRight"/>
    </sheetView>
  </sheetViews>
  <sheetFormatPr defaultRowHeight="15" outlineLevelRow="1"/>
  <cols>
    <col min="1" max="1" width="9.5703125" style="1" bestFit="1" customWidth="1"/>
    <col min="2" max="2" width="114.140625" style="1" customWidth="1"/>
    <col min="3" max="3" width="18.85546875" customWidth="1"/>
    <col min="4" max="4" width="25.42578125" style="593" customWidth="1"/>
    <col min="5" max="5" width="24.140625" customWidth="1"/>
    <col min="6" max="6" width="24" customWidth="1"/>
    <col min="7" max="7" width="10" bestFit="1" customWidth="1"/>
    <col min="8" max="8" width="12" bestFit="1" customWidth="1"/>
    <col min="9" max="9" width="12.5703125" bestFit="1" customWidth="1"/>
  </cols>
  <sheetData>
    <row r="1" spans="1:6" ht="15.75">
      <c r="A1" s="13" t="s">
        <v>97</v>
      </c>
      <c r="B1" s="12" t="str">
        <f>Info!C2</f>
        <v>სს "ბანკი ქართუ"</v>
      </c>
    </row>
    <row r="2" spans="1:6" s="13" customFormat="1" ht="15.75" customHeight="1">
      <c r="A2" s="13" t="s">
        <v>98</v>
      </c>
      <c r="B2" s="585">
        <f>'1. key ratios'!B2</f>
        <v>45747</v>
      </c>
      <c r="C2"/>
      <c r="D2" s="593"/>
      <c r="E2"/>
      <c r="F2"/>
    </row>
    <row r="3" spans="1:6" s="13" customFormat="1" ht="15.75" customHeight="1">
      <c r="C3"/>
      <c r="D3" s="593"/>
      <c r="E3"/>
      <c r="F3"/>
    </row>
    <row r="4" spans="1:6" s="13" customFormat="1" ht="26.25" thickBot="1">
      <c r="A4" s="13" t="s">
        <v>245</v>
      </c>
      <c r="B4" s="98" t="s">
        <v>160</v>
      </c>
      <c r="C4" s="92" t="s">
        <v>76</v>
      </c>
      <c r="D4" s="593"/>
      <c r="E4"/>
      <c r="F4"/>
    </row>
    <row r="5" spans="1:6">
      <c r="A5" s="93">
        <v>1</v>
      </c>
      <c r="B5" s="94" t="s">
        <v>695</v>
      </c>
      <c r="C5" s="132">
        <f>'7. LI1'!E37</f>
        <v>1809667752.7482395</v>
      </c>
    </row>
    <row r="6" spans="1:6">
      <c r="A6" s="53">
        <v>2.1</v>
      </c>
      <c r="B6" s="100" t="s">
        <v>829</v>
      </c>
      <c r="C6" s="133">
        <v>203090491.26299775</v>
      </c>
    </row>
    <row r="7" spans="1:6" s="2" customFormat="1" ht="25.5" outlineLevel="1">
      <c r="A7" s="99">
        <v>2.2000000000000002</v>
      </c>
      <c r="B7" s="95" t="s">
        <v>830</v>
      </c>
      <c r="C7" s="133">
        <v>0</v>
      </c>
      <c r="D7" s="593"/>
      <c r="E7"/>
    </row>
    <row r="8" spans="1:6" s="2" customFormat="1" ht="26.25">
      <c r="A8" s="99">
        <v>3</v>
      </c>
      <c r="B8" s="96" t="s">
        <v>696</v>
      </c>
      <c r="C8" s="134">
        <f>SUM(C5:C7)</f>
        <v>2012758244.0112371</v>
      </c>
      <c r="D8" s="593"/>
      <c r="E8"/>
    </row>
    <row r="9" spans="1:6">
      <c r="A9" s="53">
        <v>4</v>
      </c>
      <c r="B9" s="103" t="s">
        <v>158</v>
      </c>
      <c r="C9" s="133">
        <v>0</v>
      </c>
    </row>
    <row r="10" spans="1:6" s="2" customFormat="1" ht="25.5" outlineLevel="1">
      <c r="A10" s="99">
        <v>5.0999999999999996</v>
      </c>
      <c r="B10" s="95" t="s">
        <v>164</v>
      </c>
      <c r="C10" s="133">
        <v>-91519693.949966714</v>
      </c>
      <c r="D10" s="593"/>
      <c r="E10"/>
    </row>
    <row r="11" spans="1:6" s="2" customFormat="1" ht="25.5" outlineLevel="1">
      <c r="A11" s="99">
        <v>5.2</v>
      </c>
      <c r="B11" s="95" t="s">
        <v>165</v>
      </c>
      <c r="C11" s="133">
        <v>0</v>
      </c>
      <c r="D11" s="593"/>
      <c r="E11"/>
    </row>
    <row r="12" spans="1:6" s="2" customFormat="1">
      <c r="A12" s="99">
        <v>6</v>
      </c>
      <c r="B12" s="101" t="s">
        <v>995</v>
      </c>
      <c r="C12" s="133">
        <v>0</v>
      </c>
      <c r="D12" s="593"/>
      <c r="E12"/>
    </row>
    <row r="13" spans="1:6" s="2" customFormat="1" ht="15.75" thickBot="1">
      <c r="A13" s="102">
        <v>7</v>
      </c>
      <c r="B13" s="97" t="s">
        <v>159</v>
      </c>
      <c r="C13" s="135">
        <f>SUM(C8:C12)</f>
        <v>1921238550.0612705</v>
      </c>
      <c r="D13" s="593"/>
      <c r="E13"/>
    </row>
    <row r="15" spans="1:6">
      <c r="B15" s="17"/>
    </row>
    <row r="17" spans="2:9" s="1" customFormat="1">
      <c r="B17" s="29"/>
      <c r="C17"/>
      <c r="D17" s="593"/>
      <c r="E17"/>
      <c r="F17"/>
      <c r="G17"/>
      <c r="H17"/>
      <c r="I17"/>
    </row>
    <row r="18" spans="2:9" s="1" customFormat="1">
      <c r="B18" s="26"/>
      <c r="C18"/>
      <c r="D18" s="593"/>
      <c r="E18"/>
      <c r="F18"/>
      <c r="G18"/>
      <c r="H18"/>
      <c r="I18"/>
    </row>
    <row r="19" spans="2:9" s="1" customFormat="1">
      <c r="B19" s="26"/>
      <c r="C19"/>
      <c r="D19" s="593"/>
      <c r="E19"/>
      <c r="F19"/>
      <c r="G19"/>
      <c r="H19"/>
      <c r="I19"/>
    </row>
    <row r="20" spans="2:9" s="1" customFormat="1">
      <c r="B20" s="28"/>
      <c r="C20"/>
      <c r="D20" s="593"/>
      <c r="E20"/>
      <c r="F20"/>
      <c r="G20"/>
      <c r="H20"/>
      <c r="I20"/>
    </row>
    <row r="21" spans="2:9" s="1" customFormat="1">
      <c r="B21" s="27"/>
      <c r="C21"/>
      <c r="D21" s="593"/>
      <c r="E21"/>
      <c r="F21"/>
      <c r="G21"/>
      <c r="H21"/>
      <c r="I21"/>
    </row>
    <row r="22" spans="2:9" s="1" customFormat="1">
      <c r="B22" s="28"/>
      <c r="C22"/>
      <c r="D22" s="593"/>
      <c r="E22"/>
      <c r="F22"/>
      <c r="G22"/>
      <c r="H22"/>
      <c r="I22"/>
    </row>
    <row r="23" spans="2:9" s="1" customFormat="1">
      <c r="B23" s="27"/>
      <c r="C23"/>
      <c r="D23" s="593"/>
      <c r="E23"/>
      <c r="F23"/>
      <c r="G23"/>
      <c r="H23"/>
      <c r="I23"/>
    </row>
    <row r="24" spans="2:9" s="1" customFormat="1">
      <c r="B24" s="27"/>
      <c r="C24"/>
      <c r="D24" s="593"/>
      <c r="E24"/>
      <c r="F24"/>
      <c r="G24"/>
      <c r="H24"/>
      <c r="I24"/>
    </row>
    <row r="25" spans="2:9" s="1" customFormat="1">
      <c r="B25" s="27"/>
      <c r="C25"/>
      <c r="D25" s="593"/>
      <c r="E25"/>
      <c r="F25"/>
      <c r="G25"/>
      <c r="H25"/>
      <c r="I25"/>
    </row>
    <row r="26" spans="2:9" s="1" customFormat="1">
      <c r="B26" s="27"/>
      <c r="C26"/>
      <c r="D26" s="593"/>
      <c r="E26"/>
      <c r="F26"/>
      <c r="G26"/>
      <c r="H26"/>
      <c r="I26"/>
    </row>
    <row r="27" spans="2:9" s="1" customFormat="1">
      <c r="B27" s="27"/>
      <c r="C27"/>
      <c r="D27" s="593"/>
      <c r="E27"/>
      <c r="F27"/>
      <c r="G27"/>
      <c r="H27"/>
      <c r="I27"/>
    </row>
    <row r="28" spans="2:9" s="1" customFormat="1">
      <c r="B28" s="28"/>
      <c r="C28"/>
      <c r="D28" s="593"/>
      <c r="E28"/>
      <c r="F28"/>
      <c r="G28"/>
      <c r="H28"/>
      <c r="I28"/>
    </row>
    <row r="29" spans="2:9" s="1" customFormat="1">
      <c r="B29" s="28"/>
      <c r="C29"/>
      <c r="D29" s="593"/>
      <c r="E29"/>
      <c r="F29"/>
      <c r="G29"/>
      <c r="H29"/>
      <c r="I29"/>
    </row>
    <row r="30" spans="2:9" s="1" customFormat="1">
      <c r="B30" s="28"/>
      <c r="C30"/>
      <c r="D30" s="593"/>
      <c r="E30"/>
      <c r="F30"/>
      <c r="G30"/>
      <c r="H30"/>
      <c r="I30"/>
    </row>
    <row r="31" spans="2:9" s="1" customFormat="1">
      <c r="B31" s="28"/>
      <c r="C31"/>
      <c r="D31" s="593"/>
      <c r="E31"/>
      <c r="F31"/>
      <c r="G31"/>
      <c r="H31"/>
      <c r="I31"/>
    </row>
    <row r="32" spans="2:9" s="1" customFormat="1">
      <c r="B32" s="28"/>
      <c r="C32"/>
      <c r="D32" s="593"/>
      <c r="E32"/>
      <c r="F32"/>
      <c r="G32"/>
      <c r="H32"/>
      <c r="I32"/>
    </row>
    <row r="33" spans="2:9" s="1" customFormat="1">
      <c r="B33" s="28"/>
      <c r="C33"/>
      <c r="D33" s="59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2025-04-30T18:09:29Z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