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D96F5567-368B-4BA6-9DED-E1C869830D75}" xr6:coauthVersionLast="47" xr6:coauthVersionMax="47" xr10:uidLastSave="{00000000-0000-0000-0000-000000000000}"/>
  <bookViews>
    <workbookView xWindow="28680" yWindow="-120" windowWidth="29040" windowHeight="15990" tabRatio="919"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 localSheetId="28">[3]Sheet2!$H$5:$H$31</definedName>
    <definedName name="Sheet">[3]Sheet2!$H$5:$H$31</definedName>
    <definedName name="საკრედიტო" localSheetId="28">[3]Sheet2!$B$6:$B$8</definedName>
    <definedName name="საკრედიტო">[3]Sheet2!$B$6:$B$8</definedName>
    <definedName name="ფაილი" localSheetId="28">[3]Sheet2!$B$2:$B$3</definedName>
    <definedName name="ფაილი">[3]Sheet2!$B$2:$B$3</definedName>
    <definedName name="ცვლილება_კორექტირება_რეგულაციაში" localSheetId="28">[3]Sheet2!$K$5:$K$9</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2" i="28" l="1"/>
  <c r="C47" i="28"/>
  <c r="C43" i="28"/>
  <c r="C35" i="28"/>
  <c r="C31" i="28"/>
  <c r="C30" i="28"/>
  <c r="C41" i="28" s="1"/>
  <c r="C12" i="28"/>
  <c r="C28" i="28" s="1"/>
  <c r="C53" i="28" s="1"/>
  <c r="C6" i="28"/>
  <c r="D61" i="53"/>
  <c r="C61" i="53"/>
  <c r="D53" i="53"/>
  <c r="C53" i="53"/>
  <c r="D34" i="53"/>
  <c r="D45" i="53" s="1"/>
  <c r="D54" i="53" s="1"/>
  <c r="C34" i="53"/>
  <c r="C45" i="53" s="1"/>
  <c r="C54" i="53" s="1"/>
  <c r="D30" i="53"/>
  <c r="C30" i="53"/>
  <c r="D9" i="53"/>
  <c r="D22" i="53" s="1"/>
  <c r="D31" i="53" s="1"/>
  <c r="D56" i="53" s="1"/>
  <c r="D63" i="53" s="1"/>
  <c r="D65" i="53" s="1"/>
  <c r="D67" i="53" s="1"/>
  <c r="C9" i="53"/>
  <c r="C22" i="53" s="1"/>
  <c r="C31" i="53" s="1"/>
  <c r="D31" i="62"/>
  <c r="D41" i="62" s="1"/>
  <c r="C31" i="62"/>
  <c r="C41" i="62" s="1"/>
  <c r="D20" i="62"/>
  <c r="C20" i="62"/>
  <c r="D14" i="62"/>
  <c r="C14" i="62"/>
  <c r="C56" i="53" l="1"/>
  <c r="C63" i="53" s="1"/>
  <c r="C65" i="53" s="1"/>
  <c r="C67" i="53" s="1"/>
  <c r="C29" i="69"/>
  <c r="C27" i="69"/>
  <c r="C20" i="69"/>
  <c r="D7" i="84" l="1"/>
  <c r="C7" i="84"/>
  <c r="H21" i="81" l="1"/>
  <c r="H17" i="81"/>
  <c r="G22" i="81"/>
  <c r="H14" i="81"/>
  <c r="H13" i="81"/>
  <c r="F22" i="81"/>
  <c r="E22" i="81"/>
  <c r="D22" i="81"/>
  <c r="H8" i="81"/>
  <c r="H22" i="81" l="1"/>
  <c r="C22" i="81"/>
  <c r="G24" i="80" l="1"/>
  <c r="G37" i="80" s="1"/>
  <c r="F24" i="80"/>
  <c r="E24" i="80"/>
  <c r="D24" i="80"/>
  <c r="C24" i="80"/>
  <c r="G18" i="80"/>
  <c r="F18" i="80"/>
  <c r="E18" i="80"/>
  <c r="D18" i="80"/>
  <c r="C18" i="80"/>
  <c r="G14" i="80"/>
  <c r="F14" i="80"/>
  <c r="E14" i="80"/>
  <c r="D14" i="80"/>
  <c r="C14" i="80"/>
  <c r="G11" i="80"/>
  <c r="F11" i="80"/>
  <c r="E11" i="80"/>
  <c r="D11" i="80"/>
  <c r="C11" i="80"/>
  <c r="G8" i="80"/>
  <c r="G21" i="80" s="1"/>
  <c r="F8" i="80"/>
  <c r="E8" i="80"/>
  <c r="D8" i="80"/>
  <c r="C8" i="80"/>
  <c r="C35" i="79"/>
  <c r="C26" i="79"/>
  <c r="K21" i="36"/>
  <c r="J21" i="36"/>
  <c r="I21" i="36"/>
  <c r="H21" i="36"/>
  <c r="G21" i="36"/>
  <c r="F21" i="36"/>
  <c r="E21" i="36"/>
  <c r="D21" i="36"/>
  <c r="C21" i="36"/>
  <c r="K16" i="36"/>
  <c r="J16" i="36"/>
  <c r="I16" i="36"/>
  <c r="H16" i="36"/>
  <c r="G16" i="36"/>
  <c r="F16" i="36"/>
  <c r="E16" i="36"/>
  <c r="D16" i="36"/>
  <c r="C16" i="36"/>
  <c r="C8" i="74"/>
  <c r="F15" i="74"/>
  <c r="E21" i="74"/>
  <c r="C21" i="74" s="1"/>
  <c r="E20" i="74"/>
  <c r="E19" i="74"/>
  <c r="E18" i="74"/>
  <c r="E17" i="74"/>
  <c r="C17" i="74" s="1"/>
  <c r="E16" i="74"/>
  <c r="E15" i="74"/>
  <c r="C15" i="74" s="1"/>
  <c r="E14" i="74"/>
  <c r="C14" i="74" s="1"/>
  <c r="C20" i="74"/>
  <c r="C19" i="74"/>
  <c r="C18" i="74"/>
  <c r="C16" i="74"/>
  <c r="C13" i="74"/>
  <c r="C12" i="74"/>
  <c r="C11" i="74"/>
  <c r="C10" i="74"/>
  <c r="C9" i="74"/>
  <c r="D22" i="74"/>
  <c r="S21" i="35"/>
  <c r="S20" i="35"/>
  <c r="F20" i="74" s="1"/>
  <c r="S19" i="35"/>
  <c r="F19" i="74" s="1"/>
  <c r="S18" i="35"/>
  <c r="F18" i="74" s="1"/>
  <c r="S17" i="35"/>
  <c r="F17" i="74" s="1"/>
  <c r="S16" i="35"/>
  <c r="F16" i="74" s="1"/>
  <c r="S15" i="35"/>
  <c r="S14" i="35"/>
  <c r="S13" i="35"/>
  <c r="S12" i="35"/>
  <c r="F12" i="74" s="1"/>
  <c r="S11" i="35"/>
  <c r="F11" i="74" s="1"/>
  <c r="S10" i="35"/>
  <c r="F10" i="74" s="1"/>
  <c r="S9" i="35"/>
  <c r="F9" i="74" s="1"/>
  <c r="S8" i="35"/>
  <c r="F8" i="74" s="1"/>
  <c r="F13" i="74" l="1"/>
  <c r="F22" i="74" s="1"/>
  <c r="F21" i="74"/>
  <c r="F14" i="74"/>
  <c r="G39" i="80"/>
  <c r="E22" i="74"/>
  <c r="C22" i="74"/>
  <c r="S22" i="35"/>
  <c r="R22" i="35"/>
  <c r="Q22" i="35"/>
  <c r="P22" i="35"/>
  <c r="O22" i="35"/>
  <c r="N22" i="35"/>
  <c r="M22" i="35"/>
  <c r="L22" i="35"/>
  <c r="K22" i="35"/>
  <c r="J22" i="35"/>
  <c r="I22" i="35"/>
  <c r="H22" i="35"/>
  <c r="G22" i="35"/>
  <c r="F22" i="35"/>
  <c r="E22" i="35"/>
  <c r="D22" i="35"/>
  <c r="C22" i="35"/>
  <c r="G6" i="71" l="1"/>
  <c r="G13" i="71" s="1"/>
  <c r="F6" i="71"/>
  <c r="F13" i="71" s="1"/>
  <c r="E6" i="71"/>
  <c r="E13" i="71" s="1"/>
  <c r="D6" i="71"/>
  <c r="D13" i="71" s="1"/>
  <c r="C6" i="71"/>
  <c r="C13" i="71" s="1"/>
  <c r="H53" i="75"/>
  <c r="E53" i="75"/>
  <c r="H52" i="75"/>
  <c r="E52" i="75"/>
  <c r="H51" i="75"/>
  <c r="E51" i="75"/>
  <c r="H50" i="75"/>
  <c r="E50" i="75"/>
  <c r="H49" i="75"/>
  <c r="E49" i="75"/>
  <c r="H48" i="75"/>
  <c r="E48" i="75"/>
  <c r="H47" i="75"/>
  <c r="E47" i="75"/>
  <c r="H46" i="75"/>
  <c r="E46" i="75"/>
  <c r="H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H66" i="53"/>
  <c r="E66" i="53"/>
  <c r="H64" i="53"/>
  <c r="E64" i="53"/>
  <c r="G61" i="53"/>
  <c r="H61" i="53" s="1"/>
  <c r="F61" i="53"/>
  <c r="E61" i="53"/>
  <c r="H60" i="53"/>
  <c r="E60" i="53"/>
  <c r="H59" i="53"/>
  <c r="E59" i="53"/>
  <c r="H58" i="53"/>
  <c r="E58" i="53"/>
  <c r="G53" i="53"/>
  <c r="H53" i="53" s="1"/>
  <c r="F53" i="53"/>
  <c r="E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G30" i="53"/>
  <c r="H30" i="53" s="1"/>
  <c r="F30" i="53"/>
  <c r="E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G56" i="53" s="1"/>
  <c r="G63" i="53" s="1"/>
  <c r="G65" i="53" s="1"/>
  <c r="G67" i="53" s="1"/>
  <c r="F9" i="53"/>
  <c r="F22" i="53" s="1"/>
  <c r="H8" i="53"/>
  <c r="E8" i="53"/>
  <c r="H40" i="62"/>
  <c r="E40" i="62"/>
  <c r="H39" i="62"/>
  <c r="E39" i="62"/>
  <c r="C54" i="69" s="1"/>
  <c r="H38" i="62"/>
  <c r="E38" i="62"/>
  <c r="C53" i="69" s="1"/>
  <c r="H37" i="62"/>
  <c r="E37" i="62"/>
  <c r="C50" i="69" s="1"/>
  <c r="H36" i="62"/>
  <c r="E36" i="62"/>
  <c r="C49" i="69" s="1"/>
  <c r="H35" i="62"/>
  <c r="E35" i="62"/>
  <c r="C48" i="69" s="1"/>
  <c r="H34" i="62"/>
  <c r="E34" i="62"/>
  <c r="C47" i="69" s="1"/>
  <c r="H33" i="62"/>
  <c r="E33" i="62"/>
  <c r="C46" i="69" s="1"/>
  <c r="G31" i="62"/>
  <c r="G41" i="62" s="1"/>
  <c r="F31" i="62"/>
  <c r="F41" i="62" s="1"/>
  <c r="E31" i="62"/>
  <c r="H30" i="62"/>
  <c r="E30" i="62"/>
  <c r="C43" i="69" s="1"/>
  <c r="C44" i="69" s="1"/>
  <c r="H29" i="62"/>
  <c r="E29" i="62"/>
  <c r="C41" i="69" s="1"/>
  <c r="H28" i="62"/>
  <c r="E28" i="62"/>
  <c r="C40" i="69" s="1"/>
  <c r="H27" i="62"/>
  <c r="E27" i="62"/>
  <c r="C39" i="69" s="1"/>
  <c r="H26" i="62"/>
  <c r="E26" i="62"/>
  <c r="C38" i="69" s="1"/>
  <c r="H25" i="62"/>
  <c r="E25" i="62"/>
  <c r="C37" i="69" s="1"/>
  <c r="H24" i="62"/>
  <c r="E24" i="62"/>
  <c r="C36" i="69" s="1"/>
  <c r="H23" i="62"/>
  <c r="E23" i="62"/>
  <c r="C35" i="69" s="1"/>
  <c r="H22" i="62"/>
  <c r="E22" i="62"/>
  <c r="C34" i="69" s="1"/>
  <c r="H19" i="62"/>
  <c r="E19" i="62"/>
  <c r="C28" i="69" s="1"/>
  <c r="C32" i="69" s="1"/>
  <c r="H18" i="62"/>
  <c r="E18" i="62"/>
  <c r="C26" i="69" s="1"/>
  <c r="H17" i="62"/>
  <c r="E17" i="62"/>
  <c r="H16" i="62"/>
  <c r="E16" i="62"/>
  <c r="C19" i="69" s="1"/>
  <c r="H15" i="62"/>
  <c r="E15" i="62"/>
  <c r="C18" i="69" s="1"/>
  <c r="G14" i="62"/>
  <c r="G20" i="62" s="1"/>
  <c r="F14" i="62"/>
  <c r="H14" i="62" s="1"/>
  <c r="H13" i="62"/>
  <c r="E13" i="62"/>
  <c r="C14" i="69" s="1"/>
  <c r="H12" i="62"/>
  <c r="E12" i="62"/>
  <c r="C13" i="69" s="1"/>
  <c r="H11" i="62"/>
  <c r="E11" i="62"/>
  <c r="C10" i="69" s="1"/>
  <c r="C12" i="69" s="1"/>
  <c r="H10" i="62"/>
  <c r="E10" i="62"/>
  <c r="C9" i="69" s="1"/>
  <c r="H9" i="62"/>
  <c r="E9" i="62"/>
  <c r="C8" i="69" s="1"/>
  <c r="H8" i="62"/>
  <c r="E8" i="62"/>
  <c r="C7" i="69" s="1"/>
  <c r="H7" i="62"/>
  <c r="E7" i="62"/>
  <c r="C6" i="69" s="1"/>
  <c r="C17" i="69" l="1"/>
  <c r="E41" i="62"/>
  <c r="E9" i="53"/>
  <c r="C33" i="69"/>
  <c r="E14" i="62"/>
  <c r="C45" i="69"/>
  <c r="H41" i="62"/>
  <c r="C55" i="69"/>
  <c r="E20" i="62"/>
  <c r="E45" i="75"/>
  <c r="E45" i="53"/>
  <c r="E54" i="53"/>
  <c r="H22" i="53"/>
  <c r="F31" i="53"/>
  <c r="H45" i="53"/>
  <c r="F54" i="53"/>
  <c r="H54" i="53" s="1"/>
  <c r="E22" i="53"/>
  <c r="E34" i="53"/>
  <c r="H34" i="53"/>
  <c r="H9" i="53"/>
  <c r="F20" i="62"/>
  <c r="H20" i="62" s="1"/>
  <c r="H31" i="62"/>
  <c r="E31" i="53" l="1"/>
  <c r="H31" i="53"/>
  <c r="F56" i="53"/>
  <c r="F63" i="53" l="1"/>
  <c r="H56" i="53"/>
  <c r="E56" i="53"/>
  <c r="H63" i="53" l="1"/>
  <c r="F65" i="53"/>
  <c r="E63" i="53"/>
  <c r="E65" i="53" l="1"/>
  <c r="E67" i="53"/>
  <c r="H65" i="53"/>
  <c r="F67" i="53"/>
  <c r="H67" i="53" s="1"/>
  <c r="D19" i="72" l="1"/>
  <c r="D20" i="72"/>
  <c r="V7" i="64" l="1"/>
  <c r="G8" i="74" s="1"/>
  <c r="H8" i="74" s="1"/>
  <c r="V8" i="64"/>
  <c r="G9" i="74" s="1"/>
  <c r="H9" i="74" s="1"/>
  <c r="V9" i="64"/>
  <c r="G10" i="74" s="1"/>
  <c r="H10" i="74" s="1"/>
  <c r="V10" i="64"/>
  <c r="G11" i="74" s="1"/>
  <c r="H11" i="74" s="1"/>
  <c r="V11" i="64"/>
  <c r="G12" i="74" s="1"/>
  <c r="H12" i="74" s="1"/>
  <c r="V12" i="64"/>
  <c r="G13" i="74" s="1"/>
  <c r="V13" i="64"/>
  <c r="G14" i="74" s="1"/>
  <c r="H14" i="74" s="1"/>
  <c r="V14" i="64"/>
  <c r="G15" i="74" s="1"/>
  <c r="H15" i="74" s="1"/>
  <c r="V15" i="64"/>
  <c r="G16" i="74" s="1"/>
  <c r="H16" i="74" s="1"/>
  <c r="V16" i="64"/>
  <c r="G17" i="74" s="1"/>
  <c r="H17" i="74" s="1"/>
  <c r="V17" i="64"/>
  <c r="G18" i="74" s="1"/>
  <c r="H18" i="74" s="1"/>
  <c r="V18" i="64"/>
  <c r="G19" i="74" s="1"/>
  <c r="H19" i="74" s="1"/>
  <c r="V19" i="64"/>
  <c r="G20" i="74" s="1"/>
  <c r="H20" i="74" s="1"/>
  <c r="V20" i="64"/>
  <c r="G21" i="74" s="1"/>
  <c r="H21" i="74" s="1"/>
  <c r="C8" i="72"/>
  <c r="E8" i="72" s="1"/>
  <c r="C9" i="72"/>
  <c r="E9" i="72" s="1"/>
  <c r="C10" i="72"/>
  <c r="E10" i="72" s="1"/>
  <c r="C11" i="72"/>
  <c r="E11" i="72" s="1"/>
  <c r="C12" i="72"/>
  <c r="C13" i="72"/>
  <c r="E13" i="72" s="1"/>
  <c r="C14" i="72"/>
  <c r="E14" i="72" s="1"/>
  <c r="C16" i="72"/>
  <c r="E16" i="72" s="1"/>
  <c r="C17" i="72"/>
  <c r="E17" i="72" s="1"/>
  <c r="C18" i="72"/>
  <c r="E18" i="72" s="1"/>
  <c r="C19" i="72"/>
  <c r="E19" i="72" s="1"/>
  <c r="C20" i="72"/>
  <c r="E20" i="72" s="1"/>
  <c r="D12" i="72"/>
  <c r="G22" i="74" l="1"/>
  <c r="H22" i="74" s="1"/>
  <c r="H13" i="74"/>
  <c r="E12" i="72"/>
  <c r="E15" i="72"/>
  <c r="C15" i="72"/>
  <c r="C12" i="84" l="1"/>
  <c r="B2" i="91" l="1"/>
  <c r="N33" i="88" l="1"/>
  <c r="M33" i="88"/>
  <c r="L33" i="88"/>
  <c r="K33" i="88"/>
  <c r="J33" i="88"/>
  <c r="I33" i="88"/>
  <c r="H33" i="88"/>
  <c r="G33" i="88"/>
  <c r="F33" i="88"/>
  <c r="E33" i="88"/>
  <c r="D33" i="88"/>
  <c r="C33" i="88"/>
  <c r="U22" i="86"/>
  <c r="L22" i="86"/>
  <c r="G22" i="86"/>
  <c r="D22" i="86"/>
  <c r="C22" i="86"/>
  <c r="U15" i="86"/>
  <c r="T15" i="86"/>
  <c r="S15" i="86"/>
  <c r="R15" i="86"/>
  <c r="Q15" i="86"/>
  <c r="P15" i="86"/>
  <c r="O15" i="86"/>
  <c r="N15" i="86"/>
  <c r="M15" i="86"/>
  <c r="L15" i="86"/>
  <c r="K15" i="86"/>
  <c r="J15" i="86"/>
  <c r="I15" i="86"/>
  <c r="H15" i="86"/>
  <c r="G15" i="86"/>
  <c r="F15" i="86"/>
  <c r="E15" i="86"/>
  <c r="D15" i="86"/>
  <c r="C15" i="86"/>
  <c r="U8" i="86"/>
  <c r="T8" i="86"/>
  <c r="S8" i="86"/>
  <c r="R8" i="86"/>
  <c r="Q8" i="86"/>
  <c r="P8" i="86"/>
  <c r="O8" i="86"/>
  <c r="N8" i="86"/>
  <c r="M8" i="86"/>
  <c r="L8" i="86"/>
  <c r="K8" i="86"/>
  <c r="J8" i="86"/>
  <c r="I8" i="86"/>
  <c r="H8" i="86"/>
  <c r="G8" i="86"/>
  <c r="F8" i="86"/>
  <c r="E8" i="86"/>
  <c r="D8" i="86"/>
  <c r="C8" i="86"/>
  <c r="C19" i="85"/>
  <c r="D12" i="84"/>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F21" i="82"/>
  <c r="E21" i="82"/>
  <c r="D21" i="82"/>
  <c r="C21" i="82"/>
  <c r="I20" i="82"/>
  <c r="I19" i="82"/>
  <c r="I18" i="82"/>
  <c r="I17" i="82"/>
  <c r="I16" i="82"/>
  <c r="I15" i="82"/>
  <c r="I14" i="82"/>
  <c r="I13" i="82"/>
  <c r="I12" i="82"/>
  <c r="I11" i="82"/>
  <c r="I10" i="82"/>
  <c r="I9" i="82"/>
  <c r="I8" i="82"/>
  <c r="I7" i="82"/>
  <c r="B2" i="89"/>
  <c r="B2" i="88"/>
  <c r="B2" i="87"/>
  <c r="B2" i="86"/>
  <c r="B2" i="85"/>
  <c r="B2" i="84"/>
  <c r="B2" i="83"/>
  <c r="B2" i="82"/>
  <c r="B2" i="81"/>
  <c r="K23" i="36"/>
  <c r="J23" i="36"/>
  <c r="I23" i="36"/>
  <c r="H23" i="36"/>
  <c r="G23" i="36"/>
  <c r="F23" i="36"/>
  <c r="C6" i="73"/>
  <c r="U21" i="64"/>
  <c r="T21" i="64"/>
  <c r="S21" i="64"/>
  <c r="R21" i="64"/>
  <c r="Q21" i="64"/>
  <c r="P21" i="64"/>
  <c r="O21" i="64"/>
  <c r="N21" i="64"/>
  <c r="M21" i="64"/>
  <c r="L21" i="64"/>
  <c r="K21" i="64"/>
  <c r="J21" i="64"/>
  <c r="I21" i="64"/>
  <c r="H21" i="64"/>
  <c r="G21" i="64"/>
  <c r="F21" i="64"/>
  <c r="E21" i="64"/>
  <c r="D21" i="64"/>
  <c r="C21" i="64"/>
  <c r="B2" i="71"/>
  <c r="G5" i="6"/>
  <c r="F5" i="6"/>
  <c r="E5" i="6"/>
  <c r="D5" i="6"/>
  <c r="C5" i="6"/>
  <c r="C10" i="73" l="1"/>
  <c r="D19" i="84"/>
  <c r="F24" i="36"/>
  <c r="F25" i="36" s="1"/>
  <c r="I21" i="82"/>
  <c r="I24" i="36"/>
  <c r="I25" i="36" s="1"/>
  <c r="V21" i="64"/>
  <c r="I34" i="83"/>
  <c r="G24" i="36"/>
  <c r="G25" i="36" s="1"/>
  <c r="J24" i="36"/>
  <c r="J25" i="36" s="1"/>
  <c r="H24" i="36"/>
  <c r="H25" i="36" s="1"/>
  <c r="K24" i="36"/>
  <c r="K25" i="36" s="1"/>
  <c r="C19" i="84"/>
  <c r="D21" i="72" l="1"/>
  <c r="C21" i="72"/>
  <c r="E21" i="72"/>
  <c r="C5" i="73" s="1"/>
  <c r="B2" i="80" l="1"/>
  <c r="B1" i="80"/>
  <c r="B2" i="79" l="1"/>
  <c r="B2" i="37"/>
  <c r="B2" i="36"/>
  <c r="B2" i="74"/>
  <c r="B2" i="64"/>
  <c r="B2" i="35"/>
  <c r="B2" i="69"/>
  <c r="B2" i="77"/>
  <c r="B2" i="28"/>
  <c r="B2" i="73"/>
  <c r="B2" i="72"/>
  <c r="B2" i="52"/>
  <c r="B2" i="75"/>
  <c r="B2" i="53"/>
  <c r="B2" i="62"/>
  <c r="G5" i="71" l="1"/>
  <c r="F5" i="71"/>
  <c r="E5" i="71"/>
  <c r="D5" i="71"/>
  <c r="C5" i="71"/>
  <c r="B1" i="79" l="1"/>
  <c r="B1" i="37"/>
  <c r="B1" i="36"/>
  <c r="B1" i="74"/>
  <c r="B1" i="64"/>
  <c r="B1" i="35"/>
  <c r="B1" i="69"/>
  <c r="B1" i="77"/>
  <c r="B1" i="28"/>
  <c r="B1" i="73"/>
  <c r="B1" i="72"/>
  <c r="B1" i="52"/>
  <c r="B1" i="71"/>
  <c r="B1" i="75"/>
  <c r="B1" i="53"/>
  <c r="B1" i="62"/>
  <c r="B1" i="6"/>
  <c r="B1" i="91" s="1"/>
  <c r="B1" i="87" l="1"/>
  <c r="B1" i="84"/>
  <c r="B1" i="81"/>
  <c r="B1" i="89"/>
  <c r="B1" i="86"/>
  <c r="B1" i="83"/>
  <c r="B1" i="88"/>
  <c r="B1" i="85"/>
  <c r="B1" i="82"/>
  <c r="C21" i="77"/>
  <c r="D16" i="77"/>
  <c r="D17" i="77"/>
  <c r="D15" i="77"/>
  <c r="D12" i="77"/>
  <c r="D13" i="77"/>
  <c r="D11" i="77"/>
  <c r="D8" i="77"/>
  <c r="D9" i="77"/>
  <c r="D7" i="77"/>
  <c r="C20" i="77"/>
  <c r="C19" i="77"/>
  <c r="D21" i="77" l="1"/>
  <c r="D19" i="77"/>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G21" i="37" s="1"/>
  <c r="F7" i="37"/>
  <c r="C7" i="37"/>
  <c r="H21" i="37" l="1"/>
  <c r="I21" i="37"/>
  <c r="J21" i="37"/>
  <c r="F21" i="37"/>
  <c r="L21" i="37"/>
  <c r="M21" i="37"/>
  <c r="N14" i="37"/>
  <c r="E14" i="37"/>
  <c r="E7" i="37"/>
  <c r="C21" i="37"/>
  <c r="N8" i="37"/>
  <c r="C7" i="73" l="1"/>
  <c r="C8" i="73" s="1"/>
  <c r="E21" i="37"/>
  <c r="C12" i="79" s="1"/>
  <c r="C18" i="79" s="1"/>
  <c r="C36" i="79" s="1"/>
  <c r="C38" i="79" s="1"/>
  <c r="N7" i="37"/>
  <c r="N21" i="37" s="1"/>
  <c r="K7" i="37"/>
  <c r="K21" i="37" s="1"/>
  <c r="C11" i="73" l="1"/>
  <c r="C13" i="73" s="1"/>
</calcChain>
</file>

<file path=xl/sharedStrings.xml><?xml version="1.0" encoding="utf-8"?>
<sst xmlns="http://schemas.openxmlformats.org/spreadsheetml/2006/main" count="1609" uniqueCount="1057">
  <si>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</si>
  <si>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</si>
  <si>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</si>
  <si>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</si>
  <si>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</si>
  <si>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</si>
  <si>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</si>
  <si>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</si>
  <si>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</si>
  <si>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</si>
  <si>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</si>
  <si>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</si>
  <si>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</si>
  <si>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</si>
  <si>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</si>
  <si>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</si>
  <si>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</si>
  <si>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</si>
  <si>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</si>
  <si>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</si>
  <si>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</si>
  <si>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</si>
  <si>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</si>
  <si>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</si>
  <si>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</si>
  <si>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</si>
  <si>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</si>
  <si>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</si>
  <si>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</si>
  <si>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</si>
  <si>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</si>
  <si>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</si>
  <si>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</si>
  <si>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</si>
  <si>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</si>
  <si>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</si>
  <si>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</si>
  <si>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</si>
  <si>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</si>
  <si>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</si>
  <si>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</si>
  <si>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</si>
  <si>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</si>
  <si>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</si>
  <si>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</si>
  <si>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</si>
  <si>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</si>
  <si>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</si>
  <si>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</si>
  <si>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</si>
  <si>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</si>
  <si>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</si>
  <si>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</si>
  <si>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</si>
  <si>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</si>
  <si>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</si>
  <si>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</si>
  <si>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</si>
  <si>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</si>
  <si>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</si>
  <si>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</si>
  <si>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</si>
  <si>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</si>
  <si>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</si>
  <si>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</si>
  <si>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</si>
  <si>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</si>
  <si>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</si>
  <si>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</si>
  <si>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</si>
  <si>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</si>
  <si>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</si>
  <si>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</si>
  <si>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</si>
  <si>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</si>
  <si>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</si>
  <si>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</si>
  <si>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</si>
  <si>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</si>
  <si>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</si>
  <si>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</si>
  <si>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</si>
  <si>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</si>
  <si>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</si>
  <si>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</si>
  <si>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</si>
  <si>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</si>
  <si>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</si>
  <si>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</si>
  <si>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</si>
  <si>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</si>
  <si>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</si>
  <si>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</si>
  <si>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</si>
  <si>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</si>
  <si>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</si>
  <si>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</si>
  <si>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</si>
  <si>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</si>
  <si>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</si>
  <si>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</si>
  <si>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</si>
  <si>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</si>
  <si>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</si>
  <si>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</si>
  <si>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</si>
  <si>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</si>
  <si>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</si>
  <si>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</si>
  <si>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</si>
  <si>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</si>
  <si>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</si>
  <si>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</si>
  <si>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</si>
  <si>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</si>
  <si>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</si>
  <si>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</si>
  <si>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</si>
  <si>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</si>
  <si>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</si>
  <si>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</si>
  <si>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</si>
  <si>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</si>
  <si>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</si>
  <si>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</si>
  <si>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</si>
  <si>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</si>
  <si>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</si>
  <si>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</si>
  <si>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</si>
  <si>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</si>
  <si>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</si>
  <si>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</si>
  <si>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</si>
  <si>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</si>
  <si>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</si>
  <si>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</si>
  <si>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</si>
  <si>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</si>
  <si>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</si>
  <si>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</si>
  <si>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</si>
  <si>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</si>
  <si>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</si>
  <si>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</si>
  <si>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</si>
  <si>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</si>
  <si>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</si>
  <si>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</si>
  <si>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</si>
  <si>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</si>
  <si>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</si>
  <si>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</si>
  <si>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</si>
  <si>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</si>
  <si>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</si>
  <si>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</si>
  <si>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</si>
  <si>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</si>
  <si>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</si>
  <si>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</si>
  <si>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</si>
  <si>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</si>
  <si>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</si>
  <si>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</si>
  <si>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</si>
  <si>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</si>
  <si>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</si>
  <si>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</si>
  <si>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</si>
  <si>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</si>
  <si>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</si>
  <si>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</si>
  <si>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</si>
  <si>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</si>
  <si>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</si>
  <si>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</si>
  <si>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</si>
  <si>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</si>
  <si>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</si>
  <si>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</si>
  <si>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</si>
  <si>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</si>
  <si>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</si>
  <si>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</si>
  <si>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</si>
  <si>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</si>
  <si>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</si>
  <si>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</si>
  <si>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</si>
  <si>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</si>
  <si>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</si>
  <si>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</si>
  <si>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</si>
  <si>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</si>
  <si>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</si>
  <si>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</si>
  <si>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</si>
  <si>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</si>
  <si>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</si>
  <si>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</si>
  <si>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</si>
  <si>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</si>
  <si>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</si>
  <si>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</si>
  <si>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</si>
  <si>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</si>
  <si>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</si>
  <si>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</si>
  <si>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</si>
  <si>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</si>
  <si>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</si>
  <si>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</si>
  <si>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</si>
  <si>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</si>
  <si>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</si>
  <si>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</si>
  <si>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</si>
  <si>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</si>
  <si>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</si>
  <si>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</si>
  <si>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</si>
  <si>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</si>
  <si>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</si>
  <si>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</si>
  <si>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</si>
  <si>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</si>
  <si>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</si>
  <si>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</si>
  <si>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</si>
  <si>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</si>
  <si>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</si>
  <si>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</si>
  <si>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</si>
  <si>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</si>
  <si>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</si>
  <si>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</si>
  <si>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</si>
  <si>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</si>
  <si>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</si>
  <si>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</si>
  <si>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</si>
  <si>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</si>
  <si>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</si>
  <si>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</si>
  <si>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</si>
  <si>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</si>
  <si>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</si>
  <si>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</si>
  <si>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</si>
  <si>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</si>
  <si>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</si>
  <si>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</si>
  <si>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</si>
  <si>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</si>
  <si>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</si>
  <si>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</si>
  <si>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</si>
  <si>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</si>
  <si>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</si>
  <si>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</si>
  <si>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</si>
  <si>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</si>
  <si>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</si>
  <si>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</si>
  <si>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</si>
  <si>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</si>
  <si>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</si>
  <si>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</si>
  <si>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</si>
  <si>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</si>
  <si>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</si>
  <si>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</si>
  <si>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</si>
  <si>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</si>
  <si>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</si>
  <si>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</si>
  <si>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</si>
  <si>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</si>
  <si>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</si>
  <si>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</si>
  <si>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</si>
  <si>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</si>
  <si>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</si>
  <si>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</si>
  <si>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</si>
  <si>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</si>
  <si>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</si>
  <si>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</si>
  <si>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</si>
  <si>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</si>
  <si>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</si>
  <si>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</si>
  <si>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</si>
  <si>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</si>
  <si>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</si>
  <si>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</si>
  <si>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</si>
  <si>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</si>
  <si>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</si>
  <si>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</si>
  <si>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</si>
  <si>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</si>
  <si>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</si>
  <si>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</si>
  <si>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</si>
  <si>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</si>
  <si>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</si>
  <si>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</si>
  <si>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</si>
  <si>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</si>
  <si>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</si>
  <si>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</si>
  <si>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</si>
  <si>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</si>
  <si>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</si>
  <si>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</si>
  <si>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</si>
  <si>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</si>
  <si>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</si>
  <si>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</si>
  <si>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</si>
  <si>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</si>
  <si>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</si>
  <si>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</si>
  <si>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</si>
  <si>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</si>
  <si>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</si>
  <si>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</si>
  <si>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</si>
  <si>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</si>
  <si>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</si>
  <si>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</si>
  <si>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</si>
  <si>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</si>
  <si>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</si>
  <si>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</si>
  <si>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</si>
  <si>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</si>
  <si>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</si>
  <si>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</si>
  <si>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</si>
  <si>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</si>
  <si>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</si>
  <si>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</si>
  <si>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</si>
  <si>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</si>
  <si>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</si>
  <si>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</si>
  <si>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</si>
  <si>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</si>
  <si>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</si>
  <si>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</si>
  <si>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</si>
  <si>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</si>
  <si>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</si>
  <si>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</si>
  <si>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</si>
  <si>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</si>
  <si>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</si>
  <si>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</si>
  <si>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</si>
  <si>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</si>
  <si>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</si>
  <si>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</si>
  <si>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</si>
  <si>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</si>
  <si>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</si>
  <si>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</si>
  <si>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</si>
  <si>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</si>
  <si>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</si>
  <si>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</si>
  <si>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</si>
  <si>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</si>
  <si>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</si>
  <si>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</si>
  <si>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</si>
  <si>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</si>
  <si>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</si>
  <si>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</si>
  <si>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</si>
  <si>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</si>
  <si>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</si>
  <si>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</si>
  <si>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</si>
  <si>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</si>
  <si>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</si>
  <si>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</si>
  <si>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</si>
  <si>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</si>
  <si>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</si>
  <si>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</si>
  <si>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</si>
  <si>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</si>
  <si>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</si>
  <si>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</si>
  <si>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</si>
  <si>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</si>
  <si>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</si>
  <si>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</si>
  <si>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</si>
  <si>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</si>
  <si>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</si>
  <si>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</si>
  <si>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</si>
  <si>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</si>
  <si>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</si>
  <si>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</si>
  <si>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</si>
  <si>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</si>
  <si>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</si>
  <si>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</si>
  <si>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</si>
  <si>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</si>
  <si>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</si>
  <si>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</si>
  <si>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</si>
  <si>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</si>
  <si>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</si>
  <si>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</si>
  <si>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</si>
  <si>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</si>
  <si>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</si>
  <si>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</si>
  <si>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</si>
  <si>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</si>
  <si>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</si>
  <si>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</si>
  <si>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</si>
  <si>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</si>
  <si>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</si>
  <si>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</si>
  <si>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</si>
  <si>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</si>
  <si>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</si>
  <si>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</si>
  <si>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</si>
  <si>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</si>
  <si>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</si>
  <si>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</si>
  <si>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</si>
  <si>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</si>
  <si>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</si>
  <si>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</si>
  <si>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</si>
  <si>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</si>
  <si>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</si>
  <si>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</si>
  <si>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</si>
  <si>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</si>
  <si>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</si>
  <si>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</si>
  <si>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</si>
  <si>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</si>
  <si>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</si>
  <si>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</si>
  <si>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</si>
  <si>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</si>
  <si>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</si>
  <si>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</si>
  <si>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</si>
  <si>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</si>
  <si>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</si>
  <si>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</si>
  <si>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</si>
  <si>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</si>
  <si>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</si>
  <si>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</si>
  <si>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</si>
  <si>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</si>
  <si>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</si>
  <si>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</si>
  <si>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</si>
  <si>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</si>
  <si>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</si>
  <si>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</si>
  <si>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</si>
  <si>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</si>
  <si>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</si>
  <si>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</si>
  <si>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</si>
  <si>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</si>
  <si>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</si>
  <si>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</si>
  <si>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</si>
  <si>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</si>
  <si>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</si>
  <si>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</si>
  <si>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</si>
  <si>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</si>
  <si>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</si>
  <si>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</si>
  <si>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</si>
  <si>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</si>
  <si>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</si>
  <si>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</si>
  <si>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</si>
  <si>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</si>
  <si>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</si>
  <si>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</si>
  <si>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</si>
  <si>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</si>
  <si>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</si>
  <si>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</si>
  <si>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</si>
  <si>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</si>
  <si>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</si>
  <si>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</si>
  <si>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</si>
  <si>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</si>
  <si>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</si>
  <si>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</si>
  <si>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</si>
  <si>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</si>
  <si>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</si>
  <si>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</si>
  <si>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</si>
  <si>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</si>
  <si>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</si>
  <si>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</si>
  <si>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</si>
  <si>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</si>
  <si>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</si>
  <si>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</si>
  <si>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</si>
  <si>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</si>
  <si>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</si>
  <si>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</si>
  <si>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</si>
  <si>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</si>
  <si>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</si>
  <si>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</si>
  <si>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</si>
  <si>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</si>
  <si>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</si>
  <si>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</si>
  <si>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</si>
  <si>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</si>
  <si>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</si>
  <si>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</si>
  <si>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</si>
  <si>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</si>
  <si>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</si>
  <si>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</si>
  <si>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</si>
  <si>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</si>
  <si>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</si>
  <si>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</si>
  <si>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</si>
  <si>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</si>
  <si>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</si>
  <si>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</si>
  <si>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</si>
  <si>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</si>
  <si>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</si>
  <si>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</si>
  <si>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</si>
  <si>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</si>
  <si>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</si>
  <si>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</si>
  <si>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</si>
  <si>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</si>
  <si>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</si>
  <si>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</si>
  <si>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</si>
  <si>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</si>
  <si>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</si>
  <si>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</si>
  <si>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</si>
  <si>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</si>
  <si>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</si>
  <si>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</si>
  <si>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</si>
  <si>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</si>
  <si>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</si>
  <si>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</si>
  <si>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</si>
  <si>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</si>
  <si>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</si>
  <si>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</si>
  <si>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</si>
  <si>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</si>
  <si>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</si>
  <si>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</si>
  <si>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</si>
  <si>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</si>
  <si>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</si>
  <si>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</si>
  <si>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</si>
  <si>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</si>
  <si>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</si>
  <si>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</si>
  <si>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</si>
  <si>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</si>
  <si>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</si>
  <si>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</si>
  <si>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</si>
  <si>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</si>
  <si>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</si>
  <si>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</si>
  <si>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</si>
  <si>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</si>
  <si>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</si>
  <si>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</si>
  <si>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</si>
  <si>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</si>
  <si>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</si>
  <si>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</si>
  <si>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</si>
  <si>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</si>
  <si>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</si>
  <si>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</si>
  <si>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</si>
  <si>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</si>
  <si>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</si>
  <si>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</si>
  <si>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</si>
  <si>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</si>
  <si>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</si>
  <si>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</si>
  <si>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</si>
  <si>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</si>
  <si>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</si>
  <si>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</si>
  <si>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</si>
  <si>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</si>
  <si>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</si>
  <si>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</si>
  <si>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</si>
  <si>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</si>
  <si>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</si>
  <si>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</si>
  <si>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</si>
  <si>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</si>
  <si>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</si>
  <si>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</si>
  <si>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</si>
  <si>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</si>
  <si>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</si>
  <si>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</si>
  <si>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</si>
  <si>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</si>
  <si>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</si>
  <si>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</si>
  <si>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</si>
  <si>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</si>
  <si>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</si>
  <si>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</si>
  <si>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</si>
  <si>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</si>
  <si>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</si>
  <si>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</si>
  <si>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</si>
  <si>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</si>
  <si>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</si>
  <si>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</si>
  <si>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</si>
  <si>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</si>
  <si>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</si>
  <si>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</si>
  <si>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</si>
  <si>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</si>
  <si>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</si>
  <si>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</si>
  <si>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</si>
  <si>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</si>
  <si>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</si>
  <si>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</si>
  <si>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</si>
  <si>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</si>
  <si>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</si>
  <si>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</si>
  <si>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</si>
  <si>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</si>
  <si>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</si>
  <si>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</si>
  <si>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</si>
  <si>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</si>
  <si>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</si>
  <si>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</si>
  <si>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</si>
  <si>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</si>
  <si>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</si>
  <si>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</si>
  <si>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</si>
  <si>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</si>
  <si>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</si>
  <si>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</si>
  <si>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</si>
  <si>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</si>
  <si>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</si>
  <si>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</si>
  <si>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</si>
  <si>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</si>
  <si>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</si>
  <si>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</si>
  <si>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</si>
  <si>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</si>
  <si>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</si>
  <si>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</si>
  <si>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</si>
  <si>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</si>
  <si>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</si>
  <si>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</si>
  <si>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</si>
  <si>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</si>
  <si>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</si>
  <si>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</si>
  <si>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</si>
  <si>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</si>
  <si>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</si>
  <si>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</si>
  <si>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</si>
  <si>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</si>
  <si>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</si>
  <si>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</si>
  <si>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</si>
  <si>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</si>
  <si>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</si>
  <si>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</si>
  <si>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</si>
  <si>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</si>
  <si>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</si>
  <si>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</si>
  <si>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</si>
  <si>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</si>
  <si>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</si>
  <si>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</si>
  <si>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</si>
  <si>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</si>
  <si>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</si>
  <si>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</si>
  <si>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</si>
  <si>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</si>
  <si>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</si>
  <si>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</si>
  <si>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</si>
  <si>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</si>
  <si>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</si>
  <si>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</si>
  <si>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</si>
  <si>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</si>
  <si>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</si>
  <si>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</si>
  <si>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</si>
  <si>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</si>
  <si>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</si>
  <si>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</si>
  <si>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</si>
  <si>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</si>
  <si>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</si>
  <si>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</si>
  <si>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</si>
  <si>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</si>
  <si>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</si>
  <si>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</si>
  <si>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</si>
  <si>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</si>
  <si>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</si>
  <si>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</si>
  <si>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</si>
  <si>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</si>
  <si>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</si>
  <si>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</si>
  <si>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</si>
  <si>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</si>
  <si>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</si>
  <si>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</si>
  <si>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</si>
  <si>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</si>
  <si>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</si>
  <si>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</si>
  <si>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</si>
  <si>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</si>
  <si>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</si>
  <si>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</si>
  <si>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</si>
  <si>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</si>
  <si>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</si>
  <si>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</si>
  <si>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</si>
  <si>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</si>
  <si>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</si>
  <si>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</si>
  <si>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</si>
  <si>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</si>
  <si>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</si>
  <si>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</si>
  <si>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</si>
  <si>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</si>
  <si>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</si>
  <si>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</si>
  <si>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</si>
  <si>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</si>
  <si>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</si>
  <si>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</si>
  <si>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</si>
  <si>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</si>
  <si>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</si>
  <si>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</si>
  <si>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</si>
  <si>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</si>
  <si>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</si>
  <si>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</si>
  <si>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</si>
  <si>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</si>
  <si>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</si>
  <si>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</si>
  <si>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</si>
  <si>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</si>
  <si>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</si>
  <si>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</si>
  <si>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</si>
  <si>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</si>
  <si>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</si>
  <si>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</si>
  <si>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</si>
  <si>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</si>
  <si>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</si>
  <si>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</si>
  <si>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</si>
  <si>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</si>
  <si>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</si>
  <si>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</si>
  <si>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</si>
  <si>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</si>
  <si>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</si>
  <si>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</si>
  <si>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</si>
  <si>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</si>
  <si>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</si>
  <si>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</si>
  <si>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</si>
  <si>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</si>
  <si>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</si>
  <si>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</si>
  <si>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</si>
  <si>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</si>
  <si>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</si>
  <si>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</si>
  <si>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</si>
  <si>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</si>
  <si>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</si>
  <si>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</si>
  <si>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</si>
  <si>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</si>
  <si>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</si>
  <si>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</si>
  <si>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</si>
  <si>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</si>
  <si>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</si>
  <si>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</si>
  <si>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</si>
  <si>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</si>
  <si>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</si>
  <si>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</si>
  <si>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</si>
  <si>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</si>
  <si>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</si>
  <si>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</si>
  <si>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</si>
  <si>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</si>
  <si>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</si>
  <si>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</si>
  <si>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</si>
  <si>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</si>
  <si>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</si>
  <si>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</si>
  <si>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</si>
  <si>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</si>
  <si>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</si>
  <si>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</si>
  <si>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</si>
  <si>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</si>
  <si>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</si>
  <si>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</si>
  <si>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</si>
  <si>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</si>
  <si>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</si>
  <si>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</si>
  <si>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</si>
  <si>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</si>
  <si>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</si>
  <si>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</si>
  <si>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</si>
  <si>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</si>
  <si>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</si>
  <si>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</si>
  <si>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</si>
  <si>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</si>
  <si>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</si>
  <si>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</si>
  <si>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</si>
  <si>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</si>
  <si>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</si>
  <si>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</si>
  <si>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</si>
  <si>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</si>
  <si>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</si>
  <si>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</si>
  <si>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</si>
  <si>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</si>
  <si>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</si>
  <si>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</si>
  <si>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</si>
  <si>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</si>
  <si>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</si>
  <si>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</si>
  <si>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</si>
  <si>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</si>
  <si>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</si>
  <si>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</si>
  <si>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</si>
  <si>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</si>
  <si>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</si>
  <si>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</si>
  <si>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</si>
  <si>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</si>
  <si>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</si>
  <si>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</si>
  <si>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</si>
  <si>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</si>
  <si>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</si>
  <si>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</si>
  <si>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</si>
  <si>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</si>
  <si>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</si>
  <si>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</si>
  <si>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</si>
  <si>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</si>
  <si>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</si>
  <si>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</si>
  <si>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</si>
  <si>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</si>
  <si>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</si>
  <si>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</si>
  <si>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</si>
  <si>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</si>
  <si>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</si>
  <si>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</si>
  <si>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</si>
  <si>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</si>
  <si>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</si>
  <si>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</si>
  <si>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</si>
  <si>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</si>
  <si>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</si>
  <si>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</si>
  <si>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</si>
  <si>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</si>
  <si>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</si>
  <si>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</si>
  <si>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</si>
  <si>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</si>
  <si>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</si>
  <si>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 xml:space="preserve">  </t>
  </si>
  <si>
    <t>სს "ბანკი ქართუ"</t>
  </si>
  <si>
    <t>ნ. ჩხეტიანი</t>
  </si>
  <si>
    <t>ნ. ხაინდრავა</t>
  </si>
  <si>
    <t>www.cartubank.ge</t>
  </si>
  <si>
    <t>ნიკოლოზ ჩხეტიანი</t>
  </si>
  <si>
    <t xml:space="preserve">ბესიკ დემეტრაშვილი                                                                                  </t>
  </si>
  <si>
    <t>არადამოუკიდებელი წევრი</t>
  </si>
  <si>
    <t>დამოუკიდებელი წევრი</t>
  </si>
  <si>
    <t>ზაზა ვერძეული</t>
  </si>
  <si>
    <t>თეა ჯოხაძე</t>
  </si>
  <si>
    <t>არადამოუკიდებელ წევრი</t>
  </si>
  <si>
    <t>ნატო ხაინდრავა</t>
  </si>
  <si>
    <t>გენერალური დირექტორი</t>
  </si>
  <si>
    <t>გივი ლებანიძე</t>
  </si>
  <si>
    <t>ბექა კვარაცხელია</t>
  </si>
  <si>
    <t>ზურაბ გოგუა</t>
  </si>
  <si>
    <t>დავით გალუაშვილი</t>
  </si>
  <si>
    <t>ა(ა)იპ საერთაშორისო საქველმოქმედო ფონდი "ქართუ"</t>
  </si>
  <si>
    <t xml:space="preserve">უტა ივანიშვილი </t>
  </si>
  <si>
    <t>მინუს: საინვესტიციო ფასიანი ქაღალდების საეთო რეზერვები</t>
  </si>
  <si>
    <t>ცხრილი 9 (Capital), N39</t>
  </si>
  <si>
    <t>წმინდა საინვესტიციო ფასიანი ქაღალდები</t>
  </si>
  <si>
    <t>მინუს: მნიშვნელოვანი ინვესტიციების შესაძლო დანაკარგების რეზერვები</t>
  </si>
  <si>
    <t>მინუს: ინვესტიციების შესაძლო დანაკარგების საეთო რეზერვები</t>
  </si>
  <si>
    <t>მათ შორის გადავადებული საგადასახადო აქტივები</t>
  </si>
  <si>
    <t>ცხრილი 9 (Capital), N15</t>
  </si>
  <si>
    <t>მინუს: სხვა აქტივების შესაძლო დანაკარგების საეთო რეზერვები</t>
  </si>
  <si>
    <t>მინუს: სხვა აქტივების შესაძლო დანაკარგების სპეციალური  რეზერვები</t>
  </si>
  <si>
    <t>წმინდა სხვა აქტივები</t>
  </si>
  <si>
    <t>ცხრილი 9 (Capital), N37</t>
  </si>
  <si>
    <t>ცხრილი 9 (Capital), N2</t>
  </si>
  <si>
    <t>მათ შორის სარეზერვო ფონდი</t>
  </si>
  <si>
    <t>ცხრილი 9 (Capital), N5</t>
  </si>
  <si>
    <t>მათ შორის მიზნობრივი ფონდი</t>
  </si>
  <si>
    <t>ცხრილი 9 (Capital), N6</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</si>
  <si>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</si>
  <si>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</si>
  <si>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</si>
  <si>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</si>
  <si>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</si>
  <si>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</si>
  <si>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</si>
  <si>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</si>
  <si>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</si>
  <si>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</si>
  <si>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</si>
  <si>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</si>
  <si>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</si>
  <si>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</si>
  <si>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</si>
  <si>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</si>
  <si>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</si>
  <si>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</si>
  <si>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</si>
  <si>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</si>
  <si>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</si>
  <si>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</si>
  <si>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</si>
  <si>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განმარტებები გვერდებისთვის  "17-26"</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</si>
  <si>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</si>
  <si>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</si>
  <si>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</si>
  <si>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</si>
  <si>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</si>
  <si>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</si>
  <si>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</si>
  <si>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ცხრილი "26"</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</si>
  <si>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</si>
  <si>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</si>
  <si>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</si>
  <si>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</si>
  <si>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</si>
  <si>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</si>
  <si>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</si>
  <si>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</si>
  <si>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</si>
  <si>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</si>
  <si>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</si>
  <si>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</si>
  <si>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</si>
  <si>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</si>
  <si>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მთლიანი ღირებულება, ანგარიშგების თარიღისთვის. (არ შედის დარიცხული პროცენტი, ჯარიმა).</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</si>
  <si>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</si>
  <si>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პორტფელში არსებული სესხების რაოდენობა.</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</si>
  <si>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</si>
  <si>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</si>
  <si>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</si>
  <si>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</si>
  <si>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ზოგადი და ხარისხობრივი ინფორმაცია საცალო პროდუქტებზე</t>
  </si>
  <si>
    <t>X</t>
  </si>
  <si>
    <t>ცხრილი 9 (Capital), N8</t>
  </si>
  <si>
    <t>გრიგოლ კაცია</t>
  </si>
  <si>
    <t>გენერალური დირექტორის მოადგილე - ფინანსური დირექტორი</t>
  </si>
  <si>
    <t>გენერალური დირექტორის მოადგილე - რისკების დირექტორი</t>
  </si>
  <si>
    <t>გენერალური დირექტორის მოადგილე - კომერციული დირექტორი</t>
  </si>
  <si>
    <t>გენერალური დირექტორის მოადგილე - ოპერაციების დირექტორი</t>
  </si>
  <si>
    <t>გენერალური დირექტორის მოადგილე</t>
  </si>
  <si>
    <t>გიორგი სულამანიძე</t>
  </si>
  <si>
    <t>გენერალური დირექტორის მოადგილე - ციფრული საბანკო საქმიანობის დირექტორი</t>
  </si>
  <si>
    <t>თავმჯდომარე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</si>
</sst>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u/>
      <sz val="12"/>
      <color indexed="12"/>
      <name val="Arial"/>
      <family val="2"/>
    </font>
    <font>
      <i/>
      <sz val="10"/>
      <color rgb="FFFF0000"/>
      <name val="Calibri"/>
      <family val="2"/>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
      <left style="medium">
        <color indexed="64"/>
      </left>
      <right style="medium">
        <color indexed="64"/>
      </right>
      <top style="thin">
        <color indexed="64"/>
      </top>
      <bottom style="thin">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9"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88" fontId="2" fillId="70" borderId="105" applyFont="0">
      <alignment horizontal="right" vertical="center"/>
    </xf>
    <xf numFmtId="3" fontId="2" fillId="70" borderId="105" applyFont="0">
      <alignment horizontal="right" vertical="center"/>
    </xf>
    <xf numFmtId="0" fontId="85"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9"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3" fontId="2" fillId="75" borderId="105" applyFont="0">
      <alignment horizontal="right" vertical="center"/>
      <protection locked="0"/>
    </xf>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3" fontId="2" fillId="72" borderId="105" applyFont="0">
      <alignment horizontal="right" vertical="center"/>
      <protection locked="0"/>
    </xf>
    <xf numFmtId="0" fontId="68"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9"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2" fillId="71" borderId="106" applyNumberFormat="0" applyFont="0" applyBorder="0" applyProtection="0">
      <alignment horizontal="left" vertical="center"/>
    </xf>
    <xf numFmtId="9" fontId="2" fillId="71" borderId="105" applyFont="0" applyProtection="0">
      <alignment horizontal="right" vertical="center"/>
    </xf>
    <xf numFmtId="3" fontId="2" fillId="71" borderId="105" applyFont="0" applyProtection="0">
      <alignment horizontal="right" vertical="center"/>
    </xf>
    <xf numFmtId="0" fontId="64" fillId="70" borderId="106" applyFont="0" applyBorder="0">
      <alignment horizontal="center" wrapText="1"/>
    </xf>
    <xf numFmtId="168" fontId="56" fillId="0" borderId="103">
      <alignment horizontal="left" vertical="center"/>
    </xf>
    <xf numFmtId="0" fontId="56" fillId="0" borderId="103">
      <alignment horizontal="left" vertical="center"/>
    </xf>
    <xf numFmtId="0" fontId="56" fillId="0" borderId="103">
      <alignment horizontal="left" vertical="center"/>
    </xf>
    <xf numFmtId="0" fontId="2" fillId="69" borderId="105" applyNumberFormat="0" applyFont="0" applyBorder="0" applyProtection="0">
      <alignment horizontal="center" vertical="center"/>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40"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9"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48">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4"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58" xfId="0" applyFont="1" applyBorder="1"/>
    <xf numFmtId="0" fontId="22" fillId="0" borderId="25" xfId="0" applyFont="1" applyBorder="1" applyAlignment="1">
      <alignment horizontal="center" vertical="center" wrapText="1"/>
    </xf>
    <xf numFmtId="0" fontId="4" fillId="0" borderId="59"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7"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167" fontId="25" fillId="0" borderId="68"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9"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7" borderId="65"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4" fillId="36" borderId="26"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24" xfId="0" applyNumberFormat="1" applyFont="1" applyBorder="1" applyAlignment="1">
      <alignment wrapText="1"/>
    </xf>
    <xf numFmtId="0" fontId="4" fillId="0" borderId="3" xfId="0" applyFont="1" applyBorder="1" applyAlignment="1">
      <alignment horizontal="center" vertical="center" wrapText="1"/>
    </xf>
    <xf numFmtId="9" fontId="109" fillId="0" borderId="3" xfId="0" applyNumberFormat="1" applyFont="1" applyBorder="1" applyAlignment="1">
      <alignment horizontal="center" vertical="center"/>
    </xf>
    <xf numFmtId="0" fontId="6" fillId="0" borderId="0" xfId="0" applyFont="1" applyAlignment="1">
      <alignment horizontal="center" wrapText="1"/>
    </xf>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98" xfId="20" applyBorder="1"/>
    <xf numFmtId="0" fontId="4" fillId="0" borderId="7" xfId="0" applyFont="1" applyBorder="1" applyAlignment="1">
      <alignment vertical="center"/>
    </xf>
    <xf numFmtId="0" fontId="4" fillId="0" borderId="105" xfId="0" applyFont="1" applyBorder="1" applyAlignment="1">
      <alignment vertical="center"/>
    </xf>
    <xf numFmtId="0" fontId="6" fillId="0" borderId="105" xfId="0" applyFont="1" applyBorder="1" applyAlignment="1">
      <alignment vertical="center"/>
    </xf>
    <xf numFmtId="0" fontId="4" fillId="0" borderId="20" xfId="0" applyFont="1" applyBorder="1" applyAlignment="1">
      <alignment vertical="center"/>
    </xf>
    <xf numFmtId="0" fontId="4" fillId="0" borderId="100" xfId="0" applyFont="1" applyBorder="1" applyAlignment="1">
      <alignment vertical="center"/>
    </xf>
    <xf numFmtId="0" fontId="4" fillId="0" borderId="102" xfId="0" applyFont="1" applyBorder="1" applyAlignment="1">
      <alignment vertical="center"/>
    </xf>
    <xf numFmtId="0" fontId="4" fillId="0" borderId="19" xfId="0" applyFont="1" applyBorder="1" applyAlignment="1">
      <alignment horizontal="center" vertical="center"/>
    </xf>
    <xf numFmtId="0" fontId="4" fillId="0" borderId="112" xfId="0" applyFont="1" applyBorder="1" applyAlignment="1">
      <alignment horizontal="center" vertical="center"/>
    </xf>
    <xf numFmtId="0" fontId="4" fillId="0" borderId="114" xfId="0" applyFont="1" applyBorder="1" applyAlignment="1">
      <alignment horizontal="center" vertical="center"/>
    </xf>
    <xf numFmtId="169" fontId="28" fillId="37" borderId="34" xfId="20" applyBorder="1"/>
    <xf numFmtId="169" fontId="28" fillId="37" borderId="116" xfId="20" applyBorder="1"/>
    <xf numFmtId="169" fontId="28" fillId="37" borderId="59" xfId="20" applyBorder="1"/>
    <xf numFmtId="0" fontId="4" fillId="3" borderId="69" xfId="0" applyFont="1" applyFill="1" applyBorder="1" applyAlignment="1">
      <alignment horizontal="center" vertical="center"/>
    </xf>
    <xf numFmtId="0" fontId="4" fillId="3" borderId="0" xfId="0" applyFont="1" applyFill="1" applyAlignment="1">
      <alignment vertical="center"/>
    </xf>
    <xf numFmtId="0" fontId="4" fillId="0" borderId="75" xfId="0" applyFont="1" applyBorder="1" applyAlignment="1">
      <alignment horizontal="center" vertical="center"/>
    </xf>
    <xf numFmtId="0" fontId="4" fillId="3" borderId="103" xfId="0" applyFont="1" applyFill="1" applyBorder="1" applyAlignment="1">
      <alignment vertical="center"/>
    </xf>
    <xf numFmtId="0" fontId="14" fillId="3" borderId="117" xfId="0" applyFont="1" applyFill="1" applyBorder="1" applyAlignment="1">
      <alignment horizontal="left"/>
    </xf>
    <xf numFmtId="0" fontId="14" fillId="3" borderId="118" xfId="0" applyFont="1" applyFill="1" applyBorder="1" applyAlignment="1">
      <alignment horizontal="left"/>
    </xf>
    <xf numFmtId="0" fontId="4" fillId="0" borderId="105" xfId="0" applyFont="1" applyBorder="1" applyAlignment="1">
      <alignment horizontal="center" vertical="center" wrapText="1"/>
    </xf>
    <xf numFmtId="0" fontId="4" fillId="0" borderId="119" xfId="0" applyFont="1" applyBorder="1" applyAlignment="1">
      <alignment horizontal="center" vertical="center" wrapText="1"/>
    </xf>
    <xf numFmtId="0" fontId="6" fillId="3" borderId="120" xfId="0" applyFont="1" applyFill="1" applyBorder="1" applyAlignment="1">
      <alignment vertical="center"/>
    </xf>
    <xf numFmtId="0" fontId="4" fillId="3" borderId="24" xfId="0" applyFont="1" applyFill="1" applyBorder="1" applyAlignment="1">
      <alignment vertical="center"/>
    </xf>
    <xf numFmtId="0" fontId="4" fillId="0" borderId="121" xfId="0" applyFont="1" applyBorder="1" applyAlignment="1">
      <alignment horizontal="center" vertical="center"/>
    </xf>
    <xf numFmtId="0" fontId="6" fillId="0" borderId="26"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21" xfId="0" applyBorder="1"/>
    <xf numFmtId="0" fontId="0" fillId="0" borderId="121" xfId="0" applyBorder="1" applyAlignment="1">
      <alignment horizontal="center"/>
    </xf>
    <xf numFmtId="0" fontId="4" fillId="0" borderId="104" xfId="0" applyFont="1" applyBorder="1" applyAlignment="1">
      <alignment vertical="center" wrapText="1"/>
    </xf>
    <xf numFmtId="167" fontId="4" fillId="0" borderId="105" xfId="0" applyNumberFormat="1" applyFont="1" applyBorder="1" applyAlignment="1">
      <alignment horizontal="center" vertical="center"/>
    </xf>
    <xf numFmtId="167" fontId="4" fillId="0" borderId="119" xfId="0" applyNumberFormat="1" applyFont="1" applyBorder="1" applyAlignment="1">
      <alignment horizontal="center" vertical="center"/>
    </xf>
    <xf numFmtId="167" fontId="14" fillId="0" borderId="105" xfId="0" applyNumberFormat="1" applyFont="1" applyBorder="1" applyAlignment="1">
      <alignment horizontal="center" vertical="center"/>
    </xf>
    <xf numFmtId="0" fontId="14" fillId="0" borderId="104" xfId="0" applyFont="1" applyBorder="1" applyAlignment="1">
      <alignment vertical="center" wrapText="1"/>
    </xf>
    <xf numFmtId="0" fontId="0" fillId="0" borderId="25" xfId="0" applyBorder="1"/>
    <xf numFmtId="0" fontId="6" fillId="36" borderId="122"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1" xfId="0" applyFont="1" applyFill="1" applyBorder="1" applyAlignment="1">
      <alignment horizontal="left" vertical="center" wrapText="1"/>
    </xf>
    <xf numFmtId="0" fontId="6" fillId="36" borderId="105"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4" fillId="0" borderId="121" xfId="0" applyFont="1" applyBorder="1" applyAlignment="1">
      <alignment horizontal="right" vertical="center" wrapText="1"/>
    </xf>
    <xf numFmtId="0" fontId="4" fillId="0" borderId="105" xfId="0" applyFont="1" applyBorder="1" applyAlignment="1">
      <alignment horizontal="left" vertical="center" wrapText="1"/>
    </xf>
    <xf numFmtId="0" fontId="111" fillId="0" borderId="121" xfId="0" applyFont="1" applyBorder="1" applyAlignment="1">
      <alignment horizontal="right" vertical="center" wrapText="1"/>
    </xf>
    <xf numFmtId="0" fontId="111" fillId="0" borderId="105" xfId="0" applyFont="1" applyBorder="1" applyAlignment="1">
      <alignment horizontal="left" vertical="center" wrapText="1"/>
    </xf>
    <xf numFmtId="0" fontId="6" fillId="0" borderId="121"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11" fillId="0" borderId="0" xfId="0" applyFont="1" applyAlignment="1">
      <alignment horizontal="left" vertical="center"/>
    </xf>
    <xf numFmtId="49" fontId="112" fillId="0" borderId="25" xfId="5" applyNumberFormat="1" applyFont="1" applyBorder="1" applyAlignment="1" applyProtection="1">
      <alignment horizontal="left" vertical="center"/>
      <protection locked="0"/>
    </xf>
    <xf numFmtId="0" fontId="113" fillId="0" borderId="26" xfId="9" applyFont="1" applyBorder="1" applyAlignment="1" applyProtection="1">
      <alignment horizontal="left" vertical="center" wrapText="1"/>
      <protection locked="0"/>
    </xf>
    <xf numFmtId="0" fontId="22" fillId="0" borderId="121" xfId="0" applyFont="1" applyBorder="1" applyAlignment="1">
      <alignment horizontal="center" vertical="center" wrapText="1"/>
    </xf>
    <xf numFmtId="3" fontId="23" fillId="36" borderId="105" xfId="0" applyNumberFormat="1" applyFont="1" applyFill="1" applyBorder="1" applyAlignment="1">
      <alignment vertical="center" wrapText="1"/>
    </xf>
    <xf numFmtId="14" fontId="7" fillId="3" borderId="105" xfId="8" quotePrefix="1" applyNumberFormat="1" applyFont="1" applyFill="1" applyBorder="1" applyAlignment="1" applyProtection="1">
      <alignment horizontal="left" vertical="center" wrapText="1" indent="2"/>
      <protection locked="0"/>
    </xf>
    <xf numFmtId="3" fontId="23" fillId="0" borderId="105" xfId="0" applyNumberFormat="1" applyFont="1" applyBorder="1" applyAlignment="1">
      <alignment vertical="center" wrapText="1"/>
    </xf>
    <xf numFmtId="14" fontId="7" fillId="3" borderId="105" xfId="8" quotePrefix="1" applyNumberFormat="1" applyFont="1" applyFill="1" applyBorder="1" applyAlignment="1" applyProtection="1">
      <alignment horizontal="left" vertical="center" wrapText="1" indent="3"/>
      <protection locked="0"/>
    </xf>
    <xf numFmtId="0" fontId="11" fillId="0" borderId="105" xfId="17" applyFill="1" applyBorder="1" applyAlignment="1" applyProtection="1"/>
    <xf numFmtId="49" fontId="111" fillId="0" borderId="121" xfId="0" applyNumberFormat="1" applyFont="1" applyBorder="1" applyAlignment="1">
      <alignment horizontal="right" vertical="center" wrapText="1"/>
    </xf>
    <xf numFmtId="0" fontId="7" fillId="3" borderId="105" xfId="20960" applyFont="1" applyFill="1" applyBorder="1"/>
    <xf numFmtId="0" fontId="105" fillId="0" borderId="105" xfId="20960" applyFont="1" applyBorder="1" applyAlignment="1">
      <alignment horizontal="center" vertical="center"/>
    </xf>
    <xf numFmtId="0" fontId="4" fillId="0" borderId="105" xfId="0" applyFont="1" applyBorder="1"/>
    <xf numFmtId="0" fontId="11" fillId="0" borderId="105" xfId="17" applyFill="1" applyBorder="1" applyAlignment="1" applyProtection="1">
      <alignment horizontal="left" vertical="center" wrapText="1"/>
    </xf>
    <xf numFmtId="49" fontId="111" fillId="0" borderId="105" xfId="0" applyNumberFormat="1" applyFont="1" applyBorder="1" applyAlignment="1">
      <alignment horizontal="right" vertical="center" wrapText="1"/>
    </xf>
    <xf numFmtId="0" fontId="11" fillId="0" borderId="105" xfId="17" applyFill="1" applyBorder="1" applyAlignment="1" applyProtection="1">
      <alignment horizontal="left" vertical="center"/>
    </xf>
    <xf numFmtId="0" fontId="11" fillId="0" borderId="105" xfId="17" applyBorder="1" applyAlignment="1" applyProtection="1"/>
    <xf numFmtId="0" fontId="114" fillId="79" borderId="106" xfId="21412" applyFont="1" applyFill="1" applyBorder="1" applyAlignment="1" applyProtection="1">
      <alignment vertical="center" wrapText="1"/>
      <protection locked="0"/>
    </xf>
    <xf numFmtId="0" fontId="115" fillId="70" borderId="100" xfId="21412" applyFont="1" applyFill="1" applyBorder="1" applyAlignment="1" applyProtection="1">
      <alignment horizontal="center" vertical="center"/>
      <protection locked="0"/>
    </xf>
    <xf numFmtId="0" fontId="114" fillId="80" borderId="105" xfId="21412" applyFont="1" applyFill="1" applyBorder="1" applyAlignment="1" applyProtection="1">
      <alignment horizontal="center" vertical="center"/>
      <protection locked="0"/>
    </xf>
    <xf numFmtId="0" fontId="114" fillId="79" borderId="106" xfId="21412" applyFont="1" applyFill="1" applyBorder="1" applyProtection="1">
      <alignment vertical="center"/>
      <protection locked="0"/>
    </xf>
    <xf numFmtId="0" fontId="116" fillId="70" borderId="100" xfId="21412" applyFont="1" applyFill="1" applyBorder="1" applyAlignment="1" applyProtection="1">
      <alignment horizontal="center" vertical="center"/>
      <protection locked="0"/>
    </xf>
    <xf numFmtId="0" fontId="116" fillId="3" borderId="100" xfId="21412" applyFont="1" applyFill="1" applyBorder="1" applyAlignment="1" applyProtection="1">
      <alignment horizontal="center" vertical="center"/>
      <protection locked="0"/>
    </xf>
    <xf numFmtId="0" fontId="116" fillId="0" borderId="100" xfId="21412" applyFont="1" applyBorder="1" applyAlignment="1" applyProtection="1">
      <alignment horizontal="center" vertical="center"/>
      <protection locked="0"/>
    </xf>
    <xf numFmtId="0" fontId="117" fillId="80" borderId="105" xfId="21412" applyFont="1" applyFill="1" applyBorder="1" applyAlignment="1" applyProtection="1">
      <alignment horizontal="center" vertical="center"/>
      <protection locked="0"/>
    </xf>
    <xf numFmtId="0" fontId="114" fillId="79" borderId="106" xfId="21412" applyFont="1" applyFill="1" applyBorder="1" applyAlignment="1" applyProtection="1">
      <alignment horizontal="center" vertical="center"/>
      <protection locked="0"/>
    </xf>
    <xf numFmtId="0" fontId="64" fillId="79" borderId="106" xfId="21412" applyFont="1" applyFill="1" applyBorder="1" applyProtection="1">
      <alignment vertical="center"/>
      <protection locked="0"/>
    </xf>
    <xf numFmtId="0" fontId="116" fillId="70" borderId="105" xfId="21412" applyFont="1" applyFill="1" applyBorder="1" applyAlignment="1" applyProtection="1">
      <alignment horizontal="center" vertical="center"/>
      <protection locked="0"/>
    </xf>
    <xf numFmtId="0" fontId="38" fillId="70" borderId="105" xfId="21412" applyFont="1" applyFill="1" applyBorder="1" applyAlignment="1" applyProtection="1">
      <alignment horizontal="center" vertical="center"/>
      <protection locked="0"/>
    </xf>
    <xf numFmtId="0" fontId="115" fillId="0" borderId="104" xfId="21412" applyFont="1" applyBorder="1" applyAlignment="1" applyProtection="1">
      <alignment horizontal="left" vertical="center" wrapText="1"/>
      <protection locked="0"/>
    </xf>
    <xf numFmtId="0" fontId="114" fillId="80" borderId="104" xfId="21412" applyFont="1" applyFill="1" applyBorder="1" applyAlignment="1" applyProtection="1">
      <alignment vertical="top" wrapText="1"/>
      <protection locked="0"/>
    </xf>
    <xf numFmtId="0" fontId="115" fillId="70" borderId="104" xfId="21412" applyFont="1" applyFill="1" applyBorder="1" applyAlignment="1" applyProtection="1">
      <alignment vertical="center" wrapText="1"/>
      <protection locked="0"/>
    </xf>
    <xf numFmtId="0" fontId="115" fillId="70" borderId="104" xfId="21412" applyFont="1" applyFill="1" applyBorder="1" applyAlignment="1" applyProtection="1">
      <alignment horizontal="left" vertical="center" wrapText="1"/>
      <protection locked="0"/>
    </xf>
    <xf numFmtId="0" fontId="115" fillId="0" borderId="104" xfId="21412" applyFont="1" applyBorder="1" applyAlignment="1" applyProtection="1">
      <alignment vertical="center" wrapText="1"/>
      <protection locked="0"/>
    </xf>
    <xf numFmtId="0" fontId="115" fillId="3" borderId="104" xfId="21412" applyFont="1" applyFill="1" applyBorder="1" applyAlignment="1" applyProtection="1">
      <alignment horizontal="left" vertical="center" wrapText="1"/>
      <protection locked="0"/>
    </xf>
    <xf numFmtId="0" fontId="114" fillId="80" borderId="104" xfId="21412" applyFont="1" applyFill="1" applyBorder="1" applyAlignment="1" applyProtection="1">
      <alignment vertical="center" wrapText="1"/>
      <protection locked="0"/>
    </xf>
    <xf numFmtId="10" fontId="6" fillId="36" borderId="105" xfId="0" applyNumberFormat="1" applyFont="1" applyFill="1" applyBorder="1" applyAlignment="1">
      <alignment horizontal="center" vertical="center" wrapText="1"/>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1" xfId="0" applyFont="1" applyBorder="1" applyAlignment="1">
      <alignment horizontal="right" vertical="center" wrapText="1"/>
    </xf>
    <xf numFmtId="0" fontId="7" fillId="0" borderId="105" xfId="0" applyFont="1" applyBorder="1" applyAlignment="1">
      <alignment vertical="center" wrapText="1"/>
    </xf>
    <xf numFmtId="0" fontId="4" fillId="0" borderId="105" xfId="0" applyFont="1" applyBorder="1" applyAlignment="1">
      <alignment vertical="center" wrapText="1"/>
    </xf>
    <xf numFmtId="0" fontId="4" fillId="0" borderId="105" xfId="0" applyFont="1" applyBorder="1" applyAlignment="1">
      <alignment horizontal="left" vertical="center" wrapText="1" indent="2"/>
    </xf>
    <xf numFmtId="3" fontId="23" fillId="36" borderId="106"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6"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1" xfId="0" applyNumberFormat="1" applyFont="1" applyFill="1" applyBorder="1" applyAlignment="1">
      <alignment vertical="center" wrapText="1"/>
    </xf>
    <xf numFmtId="0" fontId="6" fillId="0" borderId="26" xfId="0" applyFont="1" applyBorder="1" applyAlignment="1">
      <alignment vertical="center" wrapText="1"/>
    </xf>
    <xf numFmtId="0" fontId="4" fillId="0" borderId="119" xfId="0" applyFont="1" applyBorder="1"/>
    <xf numFmtId="0" fontId="4" fillId="0" borderId="27" xfId="0" applyFont="1" applyBorder="1"/>
    <xf numFmtId="0" fontId="9" fillId="0" borderId="119" xfId="0" applyFont="1" applyBorder="1"/>
    <xf numFmtId="0" fontId="9" fillId="0" borderId="119" xfId="0" applyFont="1" applyBorder="1" applyAlignment="1">
      <alignment wrapText="1"/>
    </xf>
    <xf numFmtId="0" fontId="10" fillId="0" borderId="21" xfId="0" applyFont="1" applyBorder="1" applyAlignment="1">
      <alignment horizontal="center"/>
    </xf>
    <xf numFmtId="0" fontId="10" fillId="0" borderId="119" xfId="0" applyFont="1" applyBorder="1" applyAlignment="1">
      <alignment horizontal="center" vertical="center" wrapText="1"/>
    </xf>
    <xf numFmtId="0" fontId="2" fillId="0" borderId="20" xfId="0" applyFont="1" applyBorder="1" applyAlignment="1">
      <alignment horizontal="left" vertical="center" wrapText="1" indent="1"/>
    </xf>
    <xf numFmtId="0" fontId="9" fillId="0" borderId="121" xfId="0" applyFont="1" applyBorder="1" applyAlignment="1">
      <alignment horizontal="center" vertical="center" wrapText="1"/>
    </xf>
    <xf numFmtId="0" fontId="15" fillId="0" borderId="105" xfId="0" applyFont="1" applyBorder="1" applyAlignment="1">
      <alignment horizontal="center" vertical="center" wrapText="1"/>
    </xf>
    <xf numFmtId="0" fontId="16" fillId="0" borderId="105" xfId="0" applyFont="1" applyBorder="1" applyAlignment="1">
      <alignment horizontal="left" vertical="center" wrapText="1"/>
    </xf>
    <xf numFmtId="0" fontId="9" fillId="2" borderId="121" xfId="0" applyFont="1" applyFill="1" applyBorder="1" applyAlignment="1">
      <alignment horizontal="right" vertical="center"/>
    </xf>
    <xf numFmtId="0" fontId="9" fillId="2" borderId="105" xfId="0" applyFont="1" applyFill="1" applyBorder="1" applyAlignment="1">
      <alignment vertical="center"/>
    </xf>
    <xf numFmtId="193" fontId="9" fillId="2" borderId="105" xfId="0" applyNumberFormat="1" applyFont="1" applyFill="1" applyBorder="1" applyAlignment="1" applyProtection="1">
      <alignment vertical="center"/>
      <protection locked="0"/>
    </xf>
    <xf numFmtId="193" fontId="17" fillId="2" borderId="105" xfId="0" applyNumberFormat="1" applyFont="1" applyFill="1" applyBorder="1" applyAlignment="1" applyProtection="1">
      <alignment vertical="center"/>
      <protection locked="0"/>
    </xf>
    <xf numFmtId="193" fontId="17" fillId="2" borderId="119" xfId="0" applyNumberFormat="1" applyFont="1" applyFill="1" applyBorder="1" applyAlignment="1" applyProtection="1">
      <alignment vertical="center"/>
      <protection locked="0"/>
    </xf>
    <xf numFmtId="193" fontId="9" fillId="2" borderId="119" xfId="0" applyNumberFormat="1" applyFont="1" applyFill="1" applyBorder="1" applyAlignment="1" applyProtection="1">
      <alignment vertical="center"/>
      <protection locked="0"/>
    </xf>
    <xf numFmtId="0" fontId="15" fillId="0" borderId="121" xfId="0" applyFont="1" applyBorder="1" applyAlignment="1">
      <alignment horizontal="center" vertical="center" wrapText="1"/>
    </xf>
    <xf numFmtId="14" fontId="4" fillId="0" borderId="0" xfId="0" applyNumberFormat="1" applyFont="1"/>
    <xf numFmtId="10" fontId="4" fillId="0" borderId="105" xfId="20961" applyNumberFormat="1" applyFont="1" applyBorder="1" applyAlignment="1" applyProtection="1">
      <alignment vertical="center" wrapText="1"/>
      <protection locked="0"/>
    </xf>
    <xf numFmtId="10" fontId="4" fillId="0" borderId="119" xfId="20961" applyNumberFormat="1" applyFont="1" applyBorder="1" applyAlignment="1" applyProtection="1">
      <alignment vertical="center" wrapText="1"/>
      <protection locked="0"/>
    </xf>
    <xf numFmtId="0" fontId="4" fillId="3" borderId="58" xfId="0" applyFont="1" applyFill="1" applyBorder="1"/>
    <xf numFmtId="0" fontId="4" fillId="3" borderId="124" xfId="0" applyFont="1" applyFill="1" applyBorder="1" applyAlignment="1">
      <alignment wrapText="1"/>
    </xf>
    <xf numFmtId="0" fontId="4" fillId="3" borderId="125" xfId="0" applyFont="1" applyFill="1" applyBorder="1"/>
    <xf numFmtId="0" fontId="6" fillId="3" borderId="11" xfId="0" applyFont="1" applyFill="1" applyBorder="1" applyAlignment="1">
      <alignment horizontal="center" wrapText="1"/>
    </xf>
    <xf numFmtId="0" fontId="4" fillId="0" borderId="105" xfId="0" applyFont="1" applyBorder="1" applyAlignment="1">
      <alignment horizontal="center"/>
    </xf>
    <xf numFmtId="0" fontId="4" fillId="3" borderId="69"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8" xfId="0" applyFont="1" applyFill="1" applyBorder="1" applyAlignment="1">
      <alignment horizontal="center" vertical="center" wrapText="1"/>
    </xf>
    <xf numFmtId="0" fontId="4" fillId="0" borderId="121" xfId="0" applyFont="1" applyBorder="1"/>
    <xf numFmtId="0" fontId="4" fillId="0" borderId="105" xfId="0" applyFont="1" applyBorder="1" applyAlignment="1">
      <alignment wrapText="1"/>
    </xf>
    <xf numFmtId="164" fontId="4" fillId="0" borderId="105" xfId="7" applyNumberFormat="1" applyFont="1" applyBorder="1"/>
    <xf numFmtId="164" fontId="4" fillId="0" borderId="119" xfId="7" applyNumberFormat="1" applyFont="1" applyBorder="1"/>
    <xf numFmtId="0" fontId="14" fillId="0" borderId="105" xfId="0" applyFont="1" applyBorder="1" applyAlignment="1">
      <alignment horizontal="left" wrapText="1" indent="2"/>
    </xf>
    <xf numFmtId="169" fontId="28" fillId="37" borderId="105" xfId="20" applyBorder="1"/>
    <xf numFmtId="164" fontId="4" fillId="0" borderId="105" xfId="7" applyNumberFormat="1" applyFont="1" applyBorder="1" applyAlignment="1">
      <alignment vertical="center"/>
    </xf>
    <xf numFmtId="0" fontId="6" fillId="0" borderId="121" xfId="0" applyFont="1" applyBorder="1"/>
    <xf numFmtId="0" fontId="6" fillId="0" borderId="105" xfId="0" applyFont="1" applyBorder="1" applyAlignment="1">
      <alignment wrapText="1"/>
    </xf>
    <xf numFmtId="164" fontId="6" fillId="0" borderId="119" xfId="7" applyNumberFormat="1" applyFont="1" applyBorder="1"/>
    <xf numFmtId="0" fontId="3" fillId="3" borderId="69"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8" xfId="7" applyNumberFormat="1" applyFont="1" applyFill="1" applyBorder="1"/>
    <xf numFmtId="164" fontId="4" fillId="0" borderId="105" xfId="7" applyNumberFormat="1" applyFont="1" applyFill="1" applyBorder="1"/>
    <xf numFmtId="164" fontId="4" fillId="0" borderId="105" xfId="7" applyNumberFormat="1" applyFont="1" applyFill="1" applyBorder="1" applyAlignment="1">
      <alignment vertical="center"/>
    </xf>
    <xf numFmtId="0" fontId="14" fillId="0" borderId="105" xfId="0" applyFont="1" applyBorder="1" applyAlignment="1">
      <alignment horizontal="left" wrapText="1" indent="4"/>
    </xf>
    <xf numFmtId="0" fontId="4" fillId="3" borderId="0" xfId="0" applyFont="1" applyFill="1" applyAlignment="1">
      <alignment wrapText="1"/>
    </xf>
    <xf numFmtId="0" fontId="4" fillId="3" borderId="98" xfId="0" applyFont="1" applyFill="1" applyBorder="1"/>
    <xf numFmtId="0" fontId="6" fillId="0" borderId="25" xfId="0" applyFont="1" applyBorder="1"/>
    <xf numFmtId="0" fontId="6" fillId="0" borderId="26" xfId="0" applyFont="1" applyBorder="1" applyAlignment="1">
      <alignment wrapText="1"/>
    </xf>
    <xf numFmtId="169" fontId="28" fillId="37" borderId="122" xfId="20" applyBorder="1"/>
    <xf numFmtId="10" fontId="6" fillId="0" borderId="27" xfId="20961" applyNumberFormat="1" applyFont="1" applyBorder="1"/>
    <xf numFmtId="0" fontId="9" fillId="2" borderId="112" xfId="0" applyFont="1" applyFill="1" applyBorder="1" applyAlignment="1">
      <alignment horizontal="right" vertical="center"/>
    </xf>
    <xf numFmtId="0" fontId="9" fillId="2" borderId="100" xfId="0" applyFont="1" applyFill="1" applyBorder="1" applyAlignment="1">
      <alignment vertical="center"/>
    </xf>
    <xf numFmtId="0" fontId="9" fillId="0" borderId="105" xfId="0" applyFont="1" applyBorder="1" applyAlignment="1">
      <alignment horizontal="left" vertical="center" wrapText="1"/>
    </xf>
    <xf numFmtId="0" fontId="6" fillId="3" borderId="0" xfId="0" applyFont="1" applyFill="1" applyAlignment="1">
      <alignment horizontal="center"/>
    </xf>
    <xf numFmtId="0" fontId="118" fillId="0" borderId="0" xfId="11" applyFont="1"/>
    <xf numFmtId="0" fontId="119" fillId="0" borderId="0" xfId="0" applyFont="1"/>
    <xf numFmtId="0" fontId="120" fillId="0" borderId="0" xfId="11" applyFont="1"/>
    <xf numFmtId="14" fontId="119" fillId="0" borderId="0" xfId="0" applyNumberFormat="1" applyFont="1"/>
    <xf numFmtId="0" fontId="122" fillId="0" borderId="105" xfId="0" applyFont="1" applyBorder="1" applyAlignment="1">
      <alignment horizontal="center" vertical="center" wrapText="1"/>
    </xf>
    <xf numFmtId="49" fontId="123" fillId="3" borderId="105" xfId="5" applyNumberFormat="1" applyFont="1" applyFill="1" applyBorder="1" applyAlignment="1" applyProtection="1">
      <alignment horizontal="right" vertical="center"/>
      <protection locked="0"/>
    </xf>
    <xf numFmtId="0" fontId="123" fillId="3" borderId="105" xfId="13" applyFont="1" applyFill="1" applyBorder="1" applyAlignment="1" applyProtection="1">
      <alignment horizontal="left" vertical="center" wrapText="1"/>
      <protection locked="0"/>
    </xf>
    <xf numFmtId="0" fontId="122" fillId="0" borderId="105" xfId="0" applyFont="1" applyBorder="1"/>
    <xf numFmtId="0" fontId="123" fillId="0" borderId="105" xfId="13" applyFont="1" applyBorder="1" applyAlignment="1" applyProtection="1">
      <alignment horizontal="left" vertical="center" wrapText="1"/>
      <protection locked="0"/>
    </xf>
    <xf numFmtId="49" fontId="123" fillId="0" borderId="105" xfId="5" applyNumberFormat="1" applyFont="1" applyBorder="1" applyAlignment="1" applyProtection="1">
      <alignment horizontal="right" vertical="center"/>
      <protection locked="0"/>
    </xf>
    <xf numFmtId="49" fontId="124" fillId="0" borderId="105" xfId="5" applyNumberFormat="1" applyFont="1" applyBorder="1" applyAlignment="1" applyProtection="1">
      <alignment horizontal="right" vertical="center"/>
      <protection locked="0"/>
    </xf>
    <xf numFmtId="0" fontId="119" fillId="0" borderId="0" xfId="0" applyFont="1" applyAlignment="1">
      <alignment wrapText="1"/>
    </xf>
    <xf numFmtId="0" fontId="119" fillId="0" borderId="105" xfId="0" applyFont="1" applyBorder="1" applyAlignment="1">
      <alignment horizontal="center" vertical="center"/>
    </xf>
    <xf numFmtId="0" fontId="119" fillId="0" borderId="105" xfId="0" applyFont="1" applyBorder="1" applyAlignment="1">
      <alignment horizontal="center" vertical="center" wrapText="1"/>
    </xf>
    <xf numFmtId="49" fontId="123" fillId="3" borderId="105" xfId="5" applyNumberFormat="1" applyFont="1" applyFill="1" applyBorder="1" applyAlignment="1" applyProtection="1">
      <alignment horizontal="right" vertical="center" wrapText="1"/>
      <protection locked="0"/>
    </xf>
    <xf numFmtId="0" fontId="119" fillId="0" borderId="105" xfId="0" applyFont="1" applyBorder="1"/>
    <xf numFmtId="49" fontId="123" fillId="0" borderId="105" xfId="5" applyNumberFormat="1" applyFont="1" applyBorder="1" applyAlignment="1" applyProtection="1">
      <alignment horizontal="right" vertical="center" wrapText="1"/>
      <protection locked="0"/>
    </xf>
    <xf numFmtId="49" fontId="124" fillId="0" borderId="105" xfId="5" applyNumberFormat="1" applyFont="1" applyBorder="1" applyAlignment="1" applyProtection="1">
      <alignment horizontal="right" vertical="center" wrapText="1"/>
      <protection locked="0"/>
    </xf>
    <xf numFmtId="0" fontId="122" fillId="0" borderId="0" xfId="0" applyFont="1"/>
    <xf numFmtId="0" fontId="119" fillId="0" borderId="105" xfId="0" applyFont="1" applyBorder="1" applyAlignment="1">
      <alignment wrapText="1"/>
    </xf>
    <xf numFmtId="0" fontId="119" fillId="0" borderId="105" xfId="0" applyFont="1" applyBorder="1" applyAlignment="1">
      <alignment horizontal="left" indent="8"/>
    </xf>
    <xf numFmtId="0" fontId="118" fillId="0" borderId="105" xfId="0" applyFont="1" applyBorder="1" applyAlignment="1">
      <alignment horizontal="left" vertical="center" wrapText="1"/>
    </xf>
    <xf numFmtId="0" fontId="119" fillId="0" borderId="0" xfId="0" applyFont="1" applyAlignment="1">
      <alignment horizontal="left"/>
    </xf>
    <xf numFmtId="0" fontId="121" fillId="0" borderId="105" xfId="0" applyFont="1" applyBorder="1" applyAlignment="1">
      <alignment horizontal="left" indent="1"/>
    </xf>
    <xf numFmtId="0" fontId="121" fillId="0" borderId="105" xfId="0" applyFont="1" applyBorder="1" applyAlignment="1">
      <alignment horizontal="left" wrapText="1" indent="1"/>
    </xf>
    <xf numFmtId="0" fontId="118" fillId="0" borderId="105" xfId="0" applyFont="1" applyBorder="1" applyAlignment="1">
      <alignment horizontal="left" indent="1"/>
    </xf>
    <xf numFmtId="0" fontId="118" fillId="0" borderId="105" xfId="0" applyFont="1" applyBorder="1" applyAlignment="1">
      <alignment horizontal="left" wrapText="1" indent="2"/>
    </xf>
    <xf numFmtId="0" fontId="121" fillId="0" borderId="105" xfId="0" applyFont="1" applyBorder="1" applyAlignment="1">
      <alignment horizontal="left" vertical="center" indent="1"/>
    </xf>
    <xf numFmtId="0" fontId="119" fillId="0" borderId="105" xfId="0" applyFont="1" applyBorder="1" applyAlignment="1">
      <alignment horizontal="left" wrapText="1"/>
    </xf>
    <xf numFmtId="0" fontId="119" fillId="0" borderId="105" xfId="0" applyFont="1" applyBorder="1" applyAlignment="1">
      <alignment horizontal="left" wrapText="1" indent="2"/>
    </xf>
    <xf numFmtId="0" fontId="122" fillId="0" borderId="7" xfId="0" applyFont="1" applyBorder="1"/>
    <xf numFmtId="0" fontId="119" fillId="0" borderId="0" xfId="0" applyFont="1" applyAlignment="1">
      <alignment horizontal="center" vertical="center"/>
    </xf>
    <xf numFmtId="0" fontId="119" fillId="0" borderId="0" xfId="0" applyFont="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5" xfId="0" applyNumberFormat="1" applyFont="1" applyBorder="1" applyAlignment="1">
      <alignment horizontal="center" vertical="center" wrapText="1"/>
    </xf>
    <xf numFmtId="0" fontId="119" fillId="0" borderId="105" xfId="0" applyFont="1" applyBorder="1" applyAlignment="1">
      <alignment horizontal="center"/>
    </xf>
    <xf numFmtId="0" fontId="119" fillId="0" borderId="105" xfId="0" applyFont="1" applyBorder="1" applyAlignment="1">
      <alignment horizontal="left" indent="1"/>
    </xf>
    <xf numFmtId="0" fontId="119" fillId="0" borderId="7" xfId="0" applyFont="1" applyBorder="1"/>
    <xf numFmtId="0" fontId="119" fillId="0" borderId="105" xfId="0" applyFont="1" applyBorder="1" applyAlignment="1">
      <alignment horizontal="left" indent="2"/>
    </xf>
    <xf numFmtId="49" fontId="119" fillId="0" borderId="105" xfId="0" applyNumberFormat="1" applyFont="1" applyBorder="1" applyAlignment="1">
      <alignment horizontal="left" indent="3"/>
    </xf>
    <xf numFmtId="49" fontId="119" fillId="0" borderId="105" xfId="0" applyNumberFormat="1" applyFont="1" applyBorder="1" applyAlignment="1">
      <alignment horizontal="left" indent="1"/>
    </xf>
    <xf numFmtId="49" fontId="119" fillId="0" borderId="105" xfId="0" applyNumberFormat="1" applyFont="1" applyBorder="1" applyAlignment="1">
      <alignment horizontal="left" wrapText="1" indent="2"/>
    </xf>
    <xf numFmtId="49" fontId="119" fillId="0" borderId="105" xfId="0" applyNumberFormat="1" applyFont="1" applyBorder="1" applyAlignment="1">
      <alignment horizontal="left" vertical="top" wrapText="1" indent="2"/>
    </xf>
    <xf numFmtId="49" fontId="119" fillId="0" borderId="105" xfId="0" applyNumberFormat="1" applyFont="1" applyBorder="1" applyAlignment="1">
      <alignment horizontal="left" wrapText="1" indent="3"/>
    </xf>
    <xf numFmtId="0" fontId="119" fillId="0" borderId="105" xfId="0" applyFont="1" applyBorder="1" applyAlignment="1">
      <alignment horizontal="left" wrapText="1" indent="1"/>
    </xf>
    <xf numFmtId="0" fontId="121" fillId="0" borderId="135" xfId="0" applyFont="1" applyBorder="1" applyAlignment="1">
      <alignment horizontal="left" vertical="center" wrapText="1"/>
    </xf>
    <xf numFmtId="0" fontId="119" fillId="0" borderId="100" xfId="0" applyFont="1" applyBorder="1" applyAlignment="1">
      <alignment horizontal="center" vertical="center" wrapText="1"/>
    </xf>
    <xf numFmtId="0" fontId="121" fillId="0" borderId="105" xfId="0" applyFont="1" applyBorder="1" applyAlignment="1">
      <alignment horizontal="left" vertical="center" wrapText="1"/>
    </xf>
    <xf numFmtId="0" fontId="127" fillId="0" borderId="0" xfId="0" applyFont="1"/>
    <xf numFmtId="0" fontId="127" fillId="0" borderId="0" xfId="0" applyFont="1" applyAlignment="1">
      <alignment horizontal="center" vertical="center"/>
    </xf>
    <xf numFmtId="2" fontId="108" fillId="3" borderId="105" xfId="5" applyNumberFormat="1" applyFont="1" applyFill="1" applyBorder="1" applyAlignment="1" applyProtection="1">
      <alignment horizontal="right" vertical="center"/>
      <protection locked="0"/>
    </xf>
    <xf numFmtId="0" fontId="130" fillId="0" borderId="105" xfId="0" applyFont="1" applyBorder="1"/>
    <xf numFmtId="0" fontId="128" fillId="0" borderId="105" xfId="0" applyFont="1" applyBorder="1" applyAlignment="1">
      <alignment horizontal="left" vertical="top" wrapText="1"/>
    </xf>
    <xf numFmtId="0" fontId="128" fillId="0" borderId="105" xfId="0" applyFont="1" applyBorder="1"/>
    <xf numFmtId="0" fontId="128" fillId="0" borderId="105" xfId="0" applyFont="1" applyBorder="1" applyAlignment="1">
      <alignment horizontal="left" wrapText="1" indent="2"/>
    </xf>
    <xf numFmtId="0" fontId="128" fillId="0" borderId="105" xfId="0" applyFont="1" applyBorder="1" applyAlignment="1">
      <alignment horizontal="left" vertical="top" wrapText="1" indent="2"/>
    </xf>
    <xf numFmtId="0" fontId="130" fillId="0" borderId="7" xfId="0" applyFont="1" applyBorder="1"/>
    <xf numFmtId="0" fontId="128" fillId="0" borderId="105" xfId="0" applyFont="1" applyBorder="1" applyAlignment="1">
      <alignment horizontal="left" indent="1"/>
    </xf>
    <xf numFmtId="0" fontId="128" fillId="0" borderId="105" xfId="0" applyFont="1" applyBorder="1" applyAlignment="1">
      <alignment horizontal="left" indent="2"/>
    </xf>
    <xf numFmtId="0" fontId="11" fillId="0" borderId="105" xfId="17" applyFill="1" applyBorder="1" applyAlignment="1" applyProtection="1">
      <alignment wrapText="1"/>
    </xf>
    <xf numFmtId="49" fontId="119" fillId="0" borderId="105" xfId="0" applyNumberFormat="1" applyFont="1" applyBorder="1" applyAlignment="1">
      <alignment horizontal="left" wrapText="1" indent="1"/>
    </xf>
    <xf numFmtId="0" fontId="128" fillId="0" borderId="105" xfId="0" applyFont="1" applyBorder="1" applyAlignment="1">
      <alignment horizontal="left" vertical="center" wrapText="1" indent="2"/>
    </xf>
    <xf numFmtId="0" fontId="119" fillId="0" borderId="0" xfId="0" applyFont="1" applyAlignment="1">
      <alignment horizontal="left" vertical="top" wrapText="1"/>
    </xf>
    <xf numFmtId="0" fontId="125" fillId="0" borderId="105" xfId="13" applyFont="1" applyBorder="1" applyAlignment="1" applyProtection="1">
      <alignment horizontal="left" vertical="center" wrapText="1"/>
      <protection locked="0"/>
    </xf>
    <xf numFmtId="0" fontId="2" fillId="0" borderId="21" xfId="0" applyFont="1" applyBorder="1" applyAlignment="1">
      <alignment horizontal="left" vertical="center" wrapText="1" indent="1"/>
    </xf>
    <xf numFmtId="169" fontId="28" fillId="37" borderId="0" xfId="20"/>
    <xf numFmtId="193" fontId="4" fillId="0" borderId="105" xfId="0" applyNumberFormat="1" applyFont="1" applyBorder="1" applyAlignment="1" applyProtection="1">
      <alignment vertical="center" wrapText="1"/>
      <protection locked="0"/>
    </xf>
    <xf numFmtId="193" fontId="4" fillId="0" borderId="119" xfId="0" applyNumberFormat="1" applyFont="1" applyBorder="1" applyAlignment="1" applyProtection="1">
      <alignment vertical="center" wrapText="1"/>
      <protection locked="0"/>
    </xf>
    <xf numFmtId="10" fontId="4" fillId="0" borderId="105" xfId="20961" applyNumberFormat="1" applyFont="1" applyFill="1" applyBorder="1" applyAlignment="1" applyProtection="1">
      <alignment vertical="center" wrapText="1"/>
      <protection locked="0"/>
    </xf>
    <xf numFmtId="10" fontId="4" fillId="0" borderId="119" xfId="20961" applyNumberFormat="1" applyFont="1" applyFill="1" applyBorder="1" applyAlignment="1" applyProtection="1">
      <alignment vertical="center" wrapText="1"/>
      <protection locked="0"/>
    </xf>
    <xf numFmtId="10" fontId="17" fillId="2" borderId="119" xfId="20961" applyNumberFormat="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93" fontId="9" fillId="0" borderId="105" xfId="0" applyNumberFormat="1" applyFont="1" applyBorder="1" applyAlignment="1" applyProtection="1">
      <alignment vertical="center"/>
      <protection locked="0"/>
    </xf>
    <xf numFmtId="193" fontId="9" fillId="0" borderId="119" xfId="0" applyNumberFormat="1" applyFont="1" applyBorder="1" applyAlignment="1" applyProtection="1">
      <alignment vertical="center"/>
      <protection locked="0"/>
    </xf>
    <xf numFmtId="193" fontId="17" fillId="0" borderId="105" xfId="0" applyNumberFormat="1" applyFont="1" applyBorder="1" applyAlignment="1" applyProtection="1">
      <alignment vertical="center"/>
      <protection locked="0"/>
    </xf>
    <xf numFmtId="193" fontId="17" fillId="0" borderId="119" xfId="0" applyNumberFormat="1" applyFont="1" applyBorder="1" applyAlignment="1" applyProtection="1">
      <alignment vertical="center"/>
      <protection locked="0"/>
    </xf>
    <xf numFmtId="9" fontId="17" fillId="0" borderId="26" xfId="20961" applyFont="1" applyFill="1" applyBorder="1" applyAlignment="1" applyProtection="1">
      <alignment vertical="center"/>
      <protection locked="0"/>
    </xf>
    <xf numFmtId="9" fontId="17" fillId="0" borderId="27" xfId="20961" applyFont="1" applyFill="1" applyBorder="1" applyAlignment="1" applyProtection="1">
      <alignment vertical="center"/>
      <protection locked="0"/>
    </xf>
    <xf numFmtId="193" fontId="9" fillId="36" borderId="119" xfId="0" applyNumberFormat="1" applyFont="1" applyFill="1" applyBorder="1" applyAlignment="1">
      <alignment horizontal="right"/>
    </xf>
    <xf numFmtId="193" fontId="9" fillId="0" borderId="119" xfId="0" applyNumberFormat="1" applyFont="1" applyBorder="1" applyAlignment="1">
      <alignment horizontal="right"/>
    </xf>
    <xf numFmtId="0" fontId="104" fillId="0" borderId="105" xfId="0" applyFont="1" applyBorder="1"/>
    <xf numFmtId="0" fontId="132" fillId="70" borderId="105" xfId="17" applyFont="1" applyFill="1" applyBorder="1" applyAlignment="1" applyProtection="1">
      <alignment horizontal="left" vertical="center"/>
      <protection locked="0"/>
    </xf>
    <xf numFmtId="193" fontId="9" fillId="36" borderId="119" xfId="7" applyNumberFormat="1" applyFont="1" applyFill="1" applyBorder="1" applyAlignment="1" applyProtection="1">
      <alignment horizontal="right"/>
    </xf>
    <xf numFmtId="193" fontId="9" fillId="0" borderId="119" xfId="7" applyNumberFormat="1" applyFont="1" applyFill="1" applyBorder="1" applyAlignment="1" applyProtection="1">
      <alignment horizontal="right"/>
    </xf>
    <xf numFmtId="193" fontId="21" fillId="0" borderId="119" xfId="0" applyNumberFormat="1" applyFont="1" applyBorder="1" applyAlignment="1">
      <alignment horizontal="center"/>
    </xf>
    <xf numFmtId="193" fontId="20" fillId="0" borderId="119" xfId="0" applyNumberFormat="1" applyFont="1" applyBorder="1" applyAlignment="1" applyProtection="1">
      <alignment horizontal="right"/>
      <protection locked="0"/>
    </xf>
    <xf numFmtId="193" fontId="9" fillId="36" borderId="119" xfId="7" applyNumberFormat="1" applyFont="1" applyFill="1" applyBorder="1" applyAlignment="1" applyProtection="1"/>
    <xf numFmtId="0" fontId="13" fillId="0" borderId="106" xfId="0" applyFont="1" applyBorder="1" applyAlignment="1">
      <alignment wrapText="1"/>
    </xf>
    <xf numFmtId="0" fontId="9" fillId="0" borderId="106" xfId="0" applyFont="1" applyBorder="1" applyAlignment="1">
      <alignment wrapText="1"/>
    </xf>
    <xf numFmtId="0" fontId="13" fillId="0" borderId="105" xfId="0" applyFont="1" applyBorder="1" applyAlignment="1">
      <alignment wrapText="1"/>
    </xf>
    <xf numFmtId="9" fontId="4" fillId="0" borderId="24" xfId="20961" applyFont="1" applyBorder="1" applyAlignment="1"/>
    <xf numFmtId="9" fontId="4" fillId="0" borderId="119" xfId="0" applyNumberFormat="1" applyFont="1" applyBorder="1"/>
    <xf numFmtId="167" fontId="133" fillId="0" borderId="105" xfId="0" applyNumberFormat="1" applyFont="1" applyBorder="1" applyAlignment="1">
      <alignment horizontal="center" vertical="center"/>
    </xf>
    <xf numFmtId="167" fontId="26" fillId="0" borderId="105" xfId="0" applyNumberFormat="1" applyFont="1" applyBorder="1" applyAlignment="1">
      <alignment horizontal="center" vertical="center"/>
    </xf>
    <xf numFmtId="167" fontId="26" fillId="0" borderId="119" xfId="0" applyNumberFormat="1" applyFont="1" applyBorder="1" applyAlignment="1">
      <alignment horizontal="center" vertical="center"/>
    </xf>
    <xf numFmtId="193" fontId="0" fillId="0" borderId="119" xfId="0" applyNumberFormat="1" applyBorder="1"/>
    <xf numFmtId="193" fontId="0" fillId="0" borderId="119" xfId="0" applyNumberFormat="1" applyBorder="1" applyAlignment="1">
      <alignment wrapText="1"/>
    </xf>
    <xf numFmtId="10" fontId="7" fillId="0" borderId="105" xfId="20961" applyNumberFormat="1" applyFont="1" applyFill="1" applyBorder="1" applyAlignment="1">
      <alignment horizontal="center" vertical="center" wrapText="1"/>
    </xf>
    <xf numFmtId="164" fontId="4" fillId="0" borderId="119" xfId="7" applyNumberFormat="1" applyFont="1" applyFill="1" applyBorder="1" applyAlignment="1">
      <alignment horizontal="right" vertical="center" wrapText="1"/>
    </xf>
    <xf numFmtId="10" fontId="4" fillId="0" borderId="105" xfId="20961" applyNumberFormat="1" applyFont="1" applyFill="1" applyBorder="1" applyAlignment="1">
      <alignment horizontal="center" vertical="center" wrapText="1"/>
    </xf>
    <xf numFmtId="164" fontId="6" fillId="36" borderId="119" xfId="7" applyNumberFormat="1" applyFont="1" applyFill="1" applyBorder="1" applyAlignment="1">
      <alignment horizontal="right" vertical="center" wrapText="1"/>
    </xf>
    <xf numFmtId="10" fontId="111" fillId="0" borderId="105" xfId="20961" applyNumberFormat="1" applyFont="1" applyFill="1" applyBorder="1" applyAlignment="1">
      <alignment horizontal="center" vertical="center" wrapText="1"/>
    </xf>
    <xf numFmtId="164" fontId="111" fillId="0" borderId="119" xfId="7" applyNumberFormat="1" applyFont="1" applyFill="1" applyBorder="1" applyAlignment="1">
      <alignment horizontal="right" vertical="center" wrapText="1"/>
    </xf>
    <xf numFmtId="10" fontId="6" fillId="36" borderId="105" xfId="20961" applyNumberFormat="1" applyFont="1" applyFill="1" applyBorder="1" applyAlignment="1">
      <alignment horizontal="center" vertical="center" wrapText="1"/>
    </xf>
    <xf numFmtId="164" fontId="6" fillId="36" borderId="119" xfId="7"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center" vertical="center"/>
    </xf>
    <xf numFmtId="164" fontId="7" fillId="0" borderId="27" xfId="7" applyNumberFormat="1" applyFont="1" applyFill="1" applyBorder="1" applyAlignment="1" applyProtection="1">
      <alignment horizontal="right" vertical="center"/>
    </xf>
    <xf numFmtId="0" fontId="25" fillId="0" borderId="121" xfId="0" applyFont="1" applyBorder="1" applyAlignment="1">
      <alignment horizontal="center"/>
    </xf>
    <xf numFmtId="0" fontId="25" fillId="0" borderId="139" xfId="0" applyFont="1" applyBorder="1" applyAlignment="1">
      <alignment wrapText="1"/>
    </xf>
    <xf numFmtId="167" fontId="25" fillId="0" borderId="141" xfId="0" applyNumberFormat="1" applyFont="1" applyBorder="1" applyAlignment="1">
      <alignment horizontal="center"/>
    </xf>
    <xf numFmtId="0" fontId="19" fillId="0" borderId="12" xfId="0" applyFont="1" applyBorder="1" applyAlignment="1">
      <alignment horizontal="left" wrapText="1" indent="6"/>
    </xf>
    <xf numFmtId="0" fontId="19" fillId="0" borderId="12" xfId="0" applyFont="1" applyBorder="1" applyAlignment="1">
      <alignment horizontal="left" wrapText="1"/>
    </xf>
    <xf numFmtId="0" fontId="19" fillId="0" borderId="13" xfId="0" applyFont="1" applyBorder="1" applyAlignment="1">
      <alignment horizontal="left" wrapText="1" indent="3"/>
    </xf>
    <xf numFmtId="193" fontId="4" fillId="0" borderId="105" xfId="0" applyNumberFormat="1" applyFont="1" applyBorder="1"/>
    <xf numFmtId="193" fontId="4" fillId="0" borderId="106" xfId="0" applyNumberFormat="1" applyFont="1" applyBorder="1"/>
    <xf numFmtId="167" fontId="4" fillId="0" borderId="119" xfId="0" applyNumberFormat="1" applyFont="1" applyBorder="1"/>
    <xf numFmtId="164" fontId="4" fillId="36" borderId="27" xfId="7" applyNumberFormat="1" applyFont="1" applyFill="1" applyBorder="1"/>
    <xf numFmtId="193" fontId="4" fillId="0" borderId="121" xfId="0" applyNumberFormat="1" applyFont="1" applyBorder="1"/>
    <xf numFmtId="193" fontId="4" fillId="0" borderId="119" xfId="0" applyNumberFormat="1" applyFont="1" applyBorder="1"/>
    <xf numFmtId="193" fontId="4" fillId="0" borderId="24" xfId="0" applyNumberFormat="1" applyFont="1" applyBorder="1"/>
    <xf numFmtId="193" fontId="4" fillId="36" borderId="143" xfId="0" applyNumberFormat="1" applyFont="1" applyFill="1" applyBorder="1"/>
    <xf numFmtId="9" fontId="4" fillId="0" borderId="119" xfId="20961" applyFont="1" applyBorder="1"/>
    <xf numFmtId="164" fontId="4" fillId="0" borderId="106" xfId="7" applyNumberFormat="1" applyFont="1" applyFill="1" applyBorder="1" applyAlignment="1">
      <alignment vertical="center"/>
    </xf>
    <xf numFmtId="164" fontId="4" fillId="0" borderId="119" xfId="7" applyNumberFormat="1" applyFont="1" applyFill="1" applyBorder="1" applyAlignment="1">
      <alignment vertical="center"/>
    </xf>
    <xf numFmtId="164" fontId="6" fillId="0" borderId="105" xfId="7" applyNumberFormat="1" applyFont="1" applyFill="1" applyBorder="1" applyAlignment="1">
      <alignment vertical="center"/>
    </xf>
    <xf numFmtId="164" fontId="6" fillId="0" borderId="119" xfId="7" applyNumberFormat="1" applyFont="1" applyFill="1" applyBorder="1" applyAlignment="1">
      <alignment vertical="center"/>
    </xf>
    <xf numFmtId="164" fontId="6" fillId="0" borderId="26" xfId="7" applyNumberFormat="1" applyFont="1" applyFill="1" applyBorder="1" applyAlignment="1">
      <alignment vertical="center"/>
    </xf>
    <xf numFmtId="164" fontId="6"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1" xfId="7" applyNumberFormat="1" applyFont="1" applyFill="1" applyBorder="1" applyAlignment="1">
      <alignment vertical="center"/>
    </xf>
    <xf numFmtId="164" fontId="4" fillId="0" borderId="113" xfId="7" applyNumberFormat="1" applyFont="1" applyFill="1" applyBorder="1" applyAlignment="1">
      <alignment vertical="center"/>
    </xf>
    <xf numFmtId="10" fontId="4" fillId="0" borderId="99" xfId="20961" applyNumberFormat="1" applyFont="1" applyFill="1" applyBorder="1" applyAlignment="1">
      <alignment vertical="center"/>
    </xf>
    <xf numFmtId="10" fontId="4" fillId="0" borderId="115" xfId="20961" applyNumberFormat="1" applyFont="1" applyFill="1" applyBorder="1" applyAlignment="1">
      <alignment vertical="center"/>
    </xf>
    <xf numFmtId="193" fontId="9" fillId="3" borderId="105" xfId="5" applyNumberFormat="1" applyFont="1" applyFill="1" applyBorder="1" applyProtection="1">
      <protection locked="0"/>
    </xf>
    <xf numFmtId="0" fontId="4" fillId="3" borderId="0" xfId="0" applyFont="1" applyFill="1"/>
    <xf numFmtId="164" fontId="119" fillId="0" borderId="105" xfId="7" applyNumberFormat="1" applyFont="1" applyBorder="1"/>
    <xf numFmtId="164" fontId="122" fillId="0" borderId="105" xfId="7" applyNumberFormat="1" applyFont="1" applyBorder="1"/>
    <xf numFmtId="43" fontId="119" fillId="0" borderId="0" xfId="0" applyNumberFormat="1" applyFont="1"/>
    <xf numFmtId="164" fontId="118" fillId="36" borderId="105" xfId="7" applyNumberFormat="1" applyFont="1" applyFill="1" applyBorder="1"/>
    <xf numFmtId="164" fontId="119" fillId="81" borderId="105" xfId="7" applyNumberFormat="1" applyFont="1" applyFill="1" applyBorder="1"/>
    <xf numFmtId="164" fontId="122" fillId="81" borderId="105" xfId="7" applyNumberFormat="1" applyFont="1" applyFill="1" applyBorder="1"/>
    <xf numFmtId="164" fontId="119" fillId="0" borderId="105" xfId="7" applyNumberFormat="1" applyFont="1" applyBorder="1" applyAlignment="1">
      <alignment horizontal="left" indent="1"/>
    </xf>
    <xf numFmtId="164" fontId="119" fillId="82" borderId="105" xfId="7" applyNumberFormat="1" applyFont="1" applyFill="1" applyBorder="1"/>
    <xf numFmtId="164" fontId="122" fillId="0" borderId="7" xfId="7" applyNumberFormat="1" applyFont="1" applyBorder="1"/>
    <xf numFmtId="164" fontId="118" fillId="0" borderId="105" xfId="7" applyNumberFormat="1" applyFont="1" applyBorder="1" applyAlignment="1">
      <alignment horizontal="left" vertical="center" wrapText="1"/>
    </xf>
    <xf numFmtId="164" fontId="119" fillId="0" borderId="105" xfId="7" applyNumberFormat="1" applyFont="1" applyBorder="1" applyAlignment="1">
      <alignment horizontal="center" vertical="center" wrapText="1"/>
    </xf>
    <xf numFmtId="164" fontId="119" fillId="0" borderId="105" xfId="7" applyNumberFormat="1" applyFont="1" applyBorder="1" applyAlignment="1">
      <alignment horizontal="center" vertical="center"/>
    </xf>
    <xf numFmtId="164" fontId="121" fillId="0" borderId="105" xfId="7" applyNumberFormat="1" applyFont="1" applyBorder="1" applyAlignment="1">
      <alignment horizontal="left" vertical="center" wrapText="1"/>
    </xf>
    <xf numFmtId="0" fontId="0" fillId="0" borderId="7" xfId="0" applyBorder="1"/>
    <xf numFmtId="0" fontId="127" fillId="0" borderId="105" xfId="0" applyFont="1" applyBorder="1" applyAlignment="1">
      <alignment horizontal="left" indent="2"/>
    </xf>
    <xf numFmtId="0" fontId="135" fillId="0" borderId="144" xfId="0" applyFont="1" applyBorder="1" applyAlignment="1">
      <alignment vertical="center" wrapText="1" readingOrder="1"/>
    </xf>
    <xf numFmtId="0" fontId="127" fillId="0" borderId="105" xfId="0" applyFont="1" applyBorder="1"/>
    <xf numFmtId="0" fontId="135" fillId="0" borderId="145" xfId="0" applyFont="1" applyBorder="1" applyAlignment="1">
      <alignment vertical="center" wrapText="1" readingOrder="1"/>
    </xf>
    <xf numFmtId="0" fontId="127" fillId="0" borderId="105" xfId="0" applyFont="1" applyBorder="1" applyAlignment="1">
      <alignment horizontal="left" indent="3"/>
    </xf>
    <xf numFmtId="0" fontId="135" fillId="0" borderId="145" xfId="0" applyFont="1" applyBorder="1" applyAlignment="1">
      <alignment horizontal="left" vertical="center" wrapText="1" indent="1" readingOrder="1"/>
    </xf>
    <xf numFmtId="0" fontId="127" fillId="0" borderId="100" xfId="0" applyFont="1" applyBorder="1" applyAlignment="1">
      <alignment horizontal="left" indent="2"/>
    </xf>
    <xf numFmtId="0" fontId="135" fillId="0" borderId="146" xfId="0" applyFont="1" applyBorder="1" applyAlignment="1">
      <alignment vertical="center" wrapText="1" readingOrder="1"/>
    </xf>
    <xf numFmtId="0" fontId="136" fillId="0" borderId="105" xfId="0" applyFont="1" applyBorder="1" applyAlignment="1">
      <alignment vertical="center" wrapText="1" readingOrder="1"/>
    </xf>
    <xf numFmtId="0" fontId="108" fillId="0" borderId="0" xfId="0" applyFont="1"/>
    <xf numFmtId="49" fontId="108" fillId="0" borderId="105" xfId="0" applyNumberFormat="1" applyFont="1" applyBorder="1" applyAlignment="1">
      <alignment horizontal="right" vertical="center"/>
    </xf>
    <xf numFmtId="49" fontId="108" fillId="0" borderId="90" xfId="0" applyNumberFormat="1" applyFont="1" applyBorder="1" applyAlignment="1">
      <alignment horizontal="right" vertical="center"/>
    </xf>
    <xf numFmtId="0" fontId="108" fillId="0" borderId="0" xfId="0" applyFont="1" applyAlignment="1">
      <alignment horizontal="left"/>
    </xf>
    <xf numFmtId="49" fontId="108" fillId="0" borderId="7" xfId="0" applyNumberFormat="1" applyFont="1" applyBorder="1" applyAlignment="1">
      <alignment horizontal="right" vertical="center"/>
    </xf>
    <xf numFmtId="49" fontId="108" fillId="0" borderId="82" xfId="0" applyNumberFormat="1" applyFont="1" applyBorder="1" applyAlignment="1">
      <alignment horizontal="right" vertical="center"/>
    </xf>
    <xf numFmtId="49" fontId="108" fillId="0" borderId="85" xfId="0" applyNumberFormat="1" applyFont="1" applyBorder="1" applyAlignment="1">
      <alignment horizontal="right" vertical="center"/>
    </xf>
    <xf numFmtId="0" fontId="108" fillId="0" borderId="92" xfId="0" applyFont="1" applyBorder="1" applyAlignment="1">
      <alignment horizontal="right" vertical="center"/>
    </xf>
    <xf numFmtId="0" fontId="108" fillId="0" borderId="92" xfId="0" applyFont="1" applyBorder="1" applyAlignment="1">
      <alignment horizontal="left" vertical="center"/>
    </xf>
    <xf numFmtId="0" fontId="108" fillId="0" borderId="90" xfId="0" applyFont="1" applyBorder="1" applyAlignment="1">
      <alignment horizontal="right" vertical="center"/>
    </xf>
    <xf numFmtId="0" fontId="108" fillId="0" borderId="90" xfId="0" applyFont="1" applyBorder="1" applyAlignment="1">
      <alignment vertical="center" wrapText="1"/>
    </xf>
    <xf numFmtId="0" fontId="108" fillId="0" borderId="90" xfId="0" applyFont="1" applyBorder="1" applyAlignment="1">
      <alignment horizontal="left" vertical="center" wrapText="1"/>
    </xf>
    <xf numFmtId="0" fontId="108" fillId="3" borderId="105" xfId="5" applyFont="1" applyFill="1" applyBorder="1" applyAlignment="1" applyProtection="1">
      <alignment horizontal="right" vertical="center"/>
      <protection locked="0"/>
    </xf>
    <xf numFmtId="0" fontId="108" fillId="0" borderId="105" xfId="0" applyFont="1" applyBorder="1" applyAlignment="1">
      <alignment vertical="center" wrapText="1"/>
    </xf>
    <xf numFmtId="0" fontId="108" fillId="0" borderId="105" xfId="0" applyFont="1" applyBorder="1" applyAlignment="1">
      <alignment horizontal="left" vertical="center" wrapText="1"/>
    </xf>
    <xf numFmtId="0" fontId="128" fillId="0" borderId="105" xfId="0" applyFont="1" applyBorder="1" applyAlignment="1">
      <alignment horizontal="left" vertical="center" wrapText="1"/>
    </xf>
    <xf numFmtId="0" fontId="108" fillId="0" borderId="105" xfId="0" applyFont="1" applyBorder="1" applyAlignment="1">
      <alignment vertical="center"/>
    </xf>
    <xf numFmtId="0" fontId="128" fillId="0" borderId="105" xfId="0" applyFont="1" applyBorder="1" applyAlignment="1">
      <alignment vertical="center" wrapText="1"/>
    </xf>
    <xf numFmtId="0" fontId="108" fillId="0" borderId="104" xfId="0" applyFont="1" applyBorder="1" applyAlignment="1">
      <alignment horizontal="left" vertical="center" wrapText="1"/>
    </xf>
    <xf numFmtId="0" fontId="108" fillId="0" borderId="105" xfId="0" applyFont="1" applyBorder="1" applyAlignment="1">
      <alignment horizontal="right" vertical="center"/>
    </xf>
    <xf numFmtId="0" fontId="129" fillId="0" borderId="0" xfId="0" applyFont="1"/>
    <xf numFmtId="0" fontId="108" fillId="0" borderId="105" xfId="12672" applyFont="1" applyBorder="1" applyAlignment="1">
      <alignment horizontal="left" vertical="center" wrapText="1"/>
    </xf>
    <xf numFmtId="0" fontId="108" fillId="0" borderId="100" xfId="0" applyFont="1" applyBorder="1" applyAlignment="1">
      <alignment horizontal="left" vertical="top" wrapText="1"/>
    </xf>
    <xf numFmtId="0" fontId="108" fillId="0" borderId="105" xfId="12672" applyFont="1" applyBorder="1" applyAlignment="1">
      <alignment horizontal="left" vertical="center" wrapText="1" indent="2"/>
    </xf>
    <xf numFmtId="49" fontId="107" fillId="0" borderId="105" xfId="0" applyNumberFormat="1" applyFont="1" applyBorder="1" applyAlignment="1">
      <alignment horizontal="right" vertical="center"/>
    </xf>
    <xf numFmtId="0" fontId="119" fillId="0" borderId="0" xfId="0" applyFont="1" applyAlignment="1">
      <alignment horizontal="left" indent="1"/>
    </xf>
    <xf numFmtId="0" fontId="119" fillId="0" borderId="0" xfId="0" applyFont="1" applyAlignment="1">
      <alignment horizontal="left" indent="2"/>
    </xf>
    <xf numFmtId="49" fontId="128" fillId="0" borderId="105" xfId="0" applyNumberFormat="1" applyFont="1" applyBorder="1" applyAlignment="1">
      <alignment horizontal="left" indent="3"/>
    </xf>
    <xf numFmtId="49" fontId="119" fillId="0" borderId="0" xfId="0" applyNumberFormat="1" applyFont="1" applyAlignment="1">
      <alignment horizontal="left" indent="3"/>
    </xf>
    <xf numFmtId="49" fontId="128" fillId="0" borderId="105" xfId="0" applyNumberFormat="1" applyFont="1" applyBorder="1" applyAlignment="1">
      <alignment horizontal="left" vertical="center" indent="1"/>
    </xf>
    <xf numFmtId="49" fontId="119" fillId="0" borderId="0" xfId="0" applyNumberFormat="1" applyFont="1" applyAlignment="1">
      <alignment horizontal="left" indent="1"/>
    </xf>
    <xf numFmtId="49" fontId="128" fillId="0" borderId="105" xfId="0" applyNumberFormat="1" applyFont="1" applyBorder="1" applyAlignment="1">
      <alignment horizontal="left" vertical="top" wrapText="1" indent="2"/>
    </xf>
    <xf numFmtId="49" fontId="128" fillId="0" borderId="105" xfId="0" applyNumberFormat="1" applyFont="1" applyBorder="1" applyAlignment="1">
      <alignment horizontal="left" vertical="top" wrapText="1"/>
    </xf>
    <xf numFmtId="49" fontId="119" fillId="0" borderId="0" xfId="0" applyNumberFormat="1" applyFont="1" applyAlignment="1">
      <alignment horizontal="left" wrapText="1" indent="2"/>
    </xf>
    <xf numFmtId="49" fontId="128" fillId="0" borderId="105" xfId="0" applyNumberFormat="1" applyFont="1" applyBorder="1" applyAlignment="1">
      <alignment horizontal="left" wrapText="1" indent="3"/>
    </xf>
    <xf numFmtId="49" fontId="119" fillId="0" borderId="0" xfId="0" applyNumberFormat="1" applyFont="1" applyAlignment="1">
      <alignment horizontal="left" wrapText="1" indent="3"/>
    </xf>
    <xf numFmtId="49" fontId="128" fillId="0" borderId="105" xfId="0" applyNumberFormat="1" applyFont="1" applyBorder="1" applyAlignment="1">
      <alignment horizontal="left" wrapText="1" indent="2"/>
    </xf>
    <xf numFmtId="49" fontId="128" fillId="0" borderId="105" xfId="0" applyNumberFormat="1" applyFont="1" applyBorder="1" applyAlignment="1">
      <alignment horizontal="left" vertical="center" wrapText="1" indent="3"/>
    </xf>
    <xf numFmtId="49" fontId="128" fillId="0" borderId="105" xfId="0" applyNumberFormat="1" applyFont="1" applyBorder="1" applyAlignment="1">
      <alignment vertical="top" wrapText="1"/>
    </xf>
    <xf numFmtId="0" fontId="119" fillId="0" borderId="0" xfId="0" applyFont="1" applyAlignment="1">
      <alignment horizontal="left" wrapText="1" indent="1"/>
    </xf>
    <xf numFmtId="49" fontId="108" fillId="0" borderId="0" xfId="0" applyNumberFormat="1" applyFont="1" applyAlignment="1">
      <alignment horizontal="right" vertical="center"/>
    </xf>
    <xf numFmtId="0" fontId="118" fillId="0" borderId="105" xfId="0" applyFont="1" applyBorder="1" applyAlignment="1">
      <alignment vertical="center" wrapText="1"/>
    </xf>
    <xf numFmtId="0" fontId="118" fillId="0" borderId="105" xfId="0" applyFont="1" applyBorder="1" applyAlignment="1">
      <alignment horizontal="left" vertical="center" wrapText="1" indent="1"/>
    </xf>
    <xf numFmtId="0" fontId="118" fillId="0" borderId="105" xfId="0" applyFont="1" applyBorder="1" applyAlignment="1">
      <alignment horizontal="left" vertical="center" indent="1"/>
    </xf>
    <xf numFmtId="0" fontId="135" fillId="0" borderId="145" xfId="0" applyFont="1" applyBorder="1" applyAlignment="1">
      <alignment horizontal="left" vertical="center" wrapText="1" readingOrder="1"/>
    </xf>
    <xf numFmtId="0" fontId="127" fillId="0" borderId="105" xfId="0" applyFont="1" applyBorder="1" applyAlignment="1">
      <alignment horizontal="left" vertical="center" wrapText="1"/>
    </xf>
    <xf numFmtId="0" fontId="108" fillId="0" borderId="0" xfId="0" applyFont="1" applyAlignment="1">
      <alignment vertical="center" wrapText="1"/>
    </xf>
    <xf numFmtId="0" fontId="108" fillId="0" borderId="0" xfId="0" applyFont="1" applyAlignment="1">
      <alignment horizontal="left" vertical="center" wrapText="1"/>
    </xf>
    <xf numFmtId="43" fontId="127" fillId="0" borderId="105" xfId="7" applyFont="1" applyBorder="1"/>
    <xf numFmtId="43" fontId="127" fillId="0" borderId="100" xfId="7" applyFont="1" applyBorder="1"/>
    <xf numFmtId="164" fontId="127" fillId="0" borderId="105" xfId="7" applyNumberFormat="1" applyFont="1" applyBorder="1"/>
    <xf numFmtId="164" fontId="127" fillId="0" borderId="100" xfId="7" applyNumberFormat="1" applyFont="1" applyBorder="1"/>
    <xf numFmtId="9" fontId="127" fillId="0" borderId="105" xfId="20961" applyFont="1" applyBorder="1"/>
    <xf numFmtId="9" fontId="127" fillId="0" borderId="100" xfId="20961" applyFont="1" applyBorder="1"/>
    <xf numFmtId="9" fontId="137" fillId="0" borderId="105" xfId="20961" applyFont="1" applyBorder="1"/>
    <xf numFmtId="43" fontId="137" fillId="0" borderId="105" xfId="7" applyFont="1" applyBorder="1"/>
    <xf numFmtId="164" fontId="122" fillId="82" borderId="105" xfId="7" applyNumberFormat="1" applyFont="1" applyFill="1" applyBorder="1"/>
    <xf numFmtId="43" fontId="0" fillId="0" borderId="0" xfId="7" applyFont="1"/>
    <xf numFmtId="193" fontId="20" fillId="0" borderId="147" xfId="0" applyNumberFormat="1" applyFont="1" applyBorder="1" applyAlignment="1" applyProtection="1">
      <alignment horizontal="right"/>
      <protection locked="0"/>
    </xf>
    <xf numFmtId="193" fontId="9" fillId="36" borderId="147" xfId="7" applyNumberFormat="1" applyFont="1" applyFill="1" applyBorder="1" applyAlignment="1" applyProtection="1">
      <alignment horizontal="right"/>
    </xf>
    <xf numFmtId="193" fontId="20" fillId="36" borderId="147" xfId="0" applyNumberFormat="1" applyFont="1" applyFill="1" applyBorder="1" applyAlignment="1">
      <alignment horizontal="right"/>
    </xf>
    <xf numFmtId="193" fontId="9" fillId="0" borderId="147" xfId="7" applyNumberFormat="1" applyFont="1" applyFill="1" applyBorder="1" applyAlignment="1" applyProtection="1">
      <alignment horizontal="right"/>
    </xf>
    <xf numFmtId="193" fontId="21" fillId="0" borderId="147" xfId="0" applyNumberFormat="1" applyFont="1" applyBorder="1" applyAlignment="1">
      <alignment horizontal="center"/>
    </xf>
    <xf numFmtId="193" fontId="20" fillId="0" borderId="147" xfId="0" applyNumberFormat="1" applyFont="1" applyBorder="1" applyAlignment="1" applyProtection="1">
      <alignment horizontal="left" indent="1"/>
      <protection locked="0"/>
    </xf>
    <xf numFmtId="193" fontId="9" fillId="36" borderId="147" xfId="7" applyNumberFormat="1" applyFont="1" applyFill="1" applyBorder="1" applyAlignment="1" applyProtection="1"/>
    <xf numFmtId="193" fontId="20" fillId="0" borderId="147" xfId="0" applyNumberFormat="1" applyFont="1" applyBorder="1" applyProtection="1">
      <protection locked="0"/>
    </xf>
    <xf numFmtId="193" fontId="20" fillId="0" borderId="147" xfId="0" applyNumberFormat="1" applyFont="1" applyBorder="1" applyAlignment="1" applyProtection="1">
      <alignment horizontal="right" vertical="center"/>
      <protection locked="0"/>
    </xf>
    <xf numFmtId="164" fontId="121" fillId="36" borderId="105" xfId="7" applyNumberFormat="1" applyFont="1" applyFill="1" applyBorder="1"/>
    <xf numFmtId="164" fontId="122" fillId="0" borderId="105" xfId="7" applyNumberFormat="1" applyFont="1" applyBorder="1" applyAlignment="1">
      <alignment horizontal="center" vertical="center"/>
    </xf>
    <xf numFmtId="164" fontId="137" fillId="0" borderId="147" xfId="7" applyNumberFormat="1" applyFont="1" applyBorder="1"/>
    <xf numFmtId="164" fontId="119" fillId="0" borderId="0" xfId="0" applyNumberFormat="1" applyFont="1"/>
    <xf numFmtId="14" fontId="119" fillId="0" borderId="0" xfId="0" applyNumberFormat="1" applyFont="1" applyAlignment="1">
      <alignment horizontal="left"/>
    </xf>
    <xf numFmtId="14" fontId="119" fillId="0" borderId="0" xfId="0" applyNumberFormat="1" applyFont="1" applyAlignment="1">
      <alignment horizontal="left" wrapText="1"/>
    </xf>
    <xf numFmtId="14" fontId="4" fillId="0" borderId="0" xfId="0" applyNumberFormat="1" applyFont="1" applyAlignment="1">
      <alignment horizontal="left"/>
    </xf>
    <xf numFmtId="164" fontId="4" fillId="0" borderId="106" xfId="7" applyNumberFormat="1" applyFont="1" applyBorder="1"/>
    <xf numFmtId="164" fontId="4" fillId="36" borderId="26" xfId="7" applyNumberFormat="1" applyFont="1" applyFill="1" applyBorder="1"/>
    <xf numFmtId="14" fontId="7" fillId="0" borderId="0" xfId="0" applyNumberFormat="1" applyFont="1" applyAlignment="1">
      <alignment horizontal="left"/>
    </xf>
    <xf numFmtId="164" fontId="0" fillId="0" borderId="0" xfId="0" applyNumberFormat="1"/>
    <xf numFmtId="43" fontId="0" fillId="0" borderId="0" xfId="0" applyNumberFormat="1"/>
    <xf numFmtId="193" fontId="9" fillId="0" borderId="148" xfId="0" applyNumberFormat="1" applyFont="1" applyBorder="1" applyAlignment="1">
      <alignment horizontal="right"/>
    </xf>
    <xf numFmtId="193" fontId="9" fillId="0" borderId="147" xfId="0" applyNumberFormat="1" applyFont="1" applyBorder="1" applyAlignment="1">
      <alignment horizontal="right"/>
    </xf>
    <xf numFmtId="193" fontId="9" fillId="0" borderId="147" xfId="7" applyNumberFormat="1" applyFont="1" applyFill="1" applyBorder="1" applyAlignment="1" applyProtection="1">
      <alignment horizontal="right"/>
      <protection locked="0"/>
    </xf>
    <xf numFmtId="193" fontId="9" fillId="0" borderId="148" xfId="0" applyNumberFormat="1" applyFont="1" applyBorder="1" applyAlignment="1" applyProtection="1">
      <alignment horizontal="right"/>
      <protection locked="0"/>
    </xf>
    <xf numFmtId="193" fontId="9" fillId="0" borderId="147" xfId="0" applyNumberFormat="1" applyFont="1" applyBorder="1" applyAlignment="1" applyProtection="1">
      <alignment horizontal="right"/>
      <protection locked="0"/>
    </xf>
    <xf numFmtId="193" fontId="9" fillId="36" borderId="147" xfId="0" applyNumberFormat="1" applyFont="1" applyFill="1" applyBorder="1" applyAlignment="1">
      <alignment horizontal="right"/>
    </xf>
    <xf numFmtId="0" fontId="25" fillId="0" borderId="119" xfId="0" applyFont="1" applyBorder="1"/>
    <xf numFmtId="164" fontId="119" fillId="0" borderId="7" xfId="7" applyNumberFormat="1" applyFont="1" applyBorder="1"/>
    <xf numFmtId="164" fontId="119" fillId="83" borderId="147" xfId="0" applyNumberFormat="1" applyFont="1" applyFill="1" applyBorder="1"/>
    <xf numFmtId="193" fontId="0" fillId="0" borderId="0" xfId="0" applyNumberFormat="1"/>
    <xf numFmtId="164" fontId="25" fillId="0" borderId="0" xfId="7" applyNumberFormat="1" applyFont="1"/>
    <xf numFmtId="164" fontId="9" fillId="0" borderId="0" xfId="7" applyNumberFormat="1" applyFont="1"/>
    <xf numFmtId="164" fontId="4" fillId="0" borderId="66" xfId="7" applyNumberFormat="1" applyFont="1" applyBorder="1" applyAlignment="1">
      <alignment horizontal="center" vertical="center" wrapText="1"/>
    </xf>
    <xf numFmtId="164" fontId="25" fillId="0" borderId="140" xfId="7" applyNumberFormat="1" applyFont="1" applyBorder="1" applyAlignment="1">
      <alignment vertical="center"/>
    </xf>
    <xf numFmtId="164" fontId="25" fillId="0" borderId="14" xfId="7" applyNumberFormat="1" applyFont="1" applyBorder="1" applyAlignment="1">
      <alignment vertical="center"/>
    </xf>
    <xf numFmtId="164" fontId="9" fillId="0" borderId="140" xfId="7" applyNumberFormat="1" applyFont="1" applyBorder="1" applyAlignment="1">
      <alignment vertical="center"/>
    </xf>
    <xf numFmtId="164" fontId="19" fillId="0" borderId="14" xfId="7" applyNumberFormat="1" applyFont="1" applyBorder="1" applyAlignment="1">
      <alignment vertical="center"/>
    </xf>
    <xf numFmtId="164" fontId="25" fillId="36" borderId="14" xfId="7" applyNumberFormat="1" applyFont="1" applyFill="1" applyBorder="1" applyAlignment="1">
      <alignment vertical="center"/>
    </xf>
    <xf numFmtId="164" fontId="9" fillId="0" borderId="14" xfId="7" applyNumberFormat="1" applyFont="1" applyBorder="1" applyAlignment="1">
      <alignment vertical="center"/>
    </xf>
    <xf numFmtId="164" fontId="25" fillId="0" borderId="15" xfId="7" applyNumberFormat="1" applyFont="1" applyBorder="1" applyAlignment="1">
      <alignment vertical="center"/>
    </xf>
    <xf numFmtId="164" fontId="9" fillId="0" borderId="15" xfId="7" applyNumberFormat="1" applyFont="1" applyBorder="1" applyAlignment="1">
      <alignment vertical="center"/>
    </xf>
    <xf numFmtId="164" fontId="9" fillId="0" borderId="142" xfId="7" applyNumberFormat="1" applyFont="1" applyBorder="1" applyAlignment="1">
      <alignment vertical="center"/>
    </xf>
    <xf numFmtId="164" fontId="24" fillId="36" borderId="17" xfId="7" applyNumberFormat="1" applyFont="1" applyFill="1" applyBorder="1" applyAlignment="1">
      <alignment vertical="center"/>
    </xf>
    <xf numFmtId="164" fontId="25" fillId="0" borderId="18" xfId="7" applyNumberFormat="1" applyFont="1" applyBorder="1" applyAlignment="1">
      <alignment vertical="center"/>
    </xf>
    <xf numFmtId="164" fontId="19" fillId="0" borderId="15" xfId="7" applyNumberFormat="1" applyFont="1" applyBorder="1" applyAlignment="1">
      <alignment vertical="center"/>
    </xf>
    <xf numFmtId="164" fontId="24" fillId="36" borderId="62" xfId="7" applyNumberFormat="1" applyFont="1" applyFill="1" applyBorder="1" applyAlignment="1">
      <alignment vertical="center"/>
    </xf>
    <xf numFmtId="164" fontId="0" fillId="0" borderId="0" xfId="7" applyNumberFormat="1" applyFont="1"/>
    <xf numFmtId="164" fontId="64" fillId="79" borderId="104" xfId="7" applyNumberFormat="1" applyFont="1" applyFill="1" applyBorder="1" applyAlignment="1" applyProtection="1">
      <alignment vertical="center"/>
      <protection locked="0"/>
    </xf>
    <xf numFmtId="164" fontId="115" fillId="0" borderId="105" xfId="7" applyNumberFormat="1" applyFont="1" applyFill="1" applyBorder="1" applyAlignment="1" applyProtection="1">
      <alignment horizontal="right" vertical="center"/>
      <protection locked="0"/>
    </xf>
    <xf numFmtId="164" fontId="115" fillId="80" borderId="105" xfId="7" applyNumberFormat="1" applyFont="1" applyFill="1" applyBorder="1" applyAlignment="1" applyProtection="1">
      <alignment horizontal="right" vertical="center"/>
    </xf>
    <xf numFmtId="164" fontId="64" fillId="79" borderId="104" xfId="7" applyNumberFormat="1" applyFont="1" applyFill="1" applyBorder="1" applyAlignment="1" applyProtection="1">
      <alignment horizontal="right" vertical="center"/>
      <protection locked="0"/>
    </xf>
    <xf numFmtId="164" fontId="114" fillId="79" borderId="104" xfId="7" applyNumberFormat="1" applyFont="1" applyFill="1" applyBorder="1" applyAlignment="1" applyProtection="1">
      <alignment horizontal="right" vertical="center"/>
      <protection locked="0"/>
    </xf>
    <xf numFmtId="164" fontId="115" fillId="3" borderId="105" xfId="7" applyNumberFormat="1" applyFont="1" applyFill="1" applyBorder="1" applyAlignment="1" applyProtection="1">
      <alignment horizontal="right" vertical="center"/>
      <protection locked="0"/>
    </xf>
    <xf numFmtId="164" fontId="4" fillId="0" borderId="0" xfId="7" applyNumberFormat="1" applyFont="1"/>
    <xf numFmtId="164" fontId="7" fillId="3" borderId="21" xfId="7" applyNumberFormat="1" applyFont="1" applyFill="1" applyBorder="1" applyAlignment="1" applyProtection="1">
      <alignment horizontal="center" vertical="center"/>
      <protection locked="0"/>
    </xf>
    <xf numFmtId="164" fontId="7" fillId="36" borderId="119" xfId="7" applyNumberFormat="1" applyFont="1" applyFill="1" applyBorder="1" applyAlignment="1" applyProtection="1">
      <alignment vertical="top"/>
    </xf>
    <xf numFmtId="164" fontId="7" fillId="3" borderId="119" xfId="7" applyNumberFormat="1" applyFont="1" applyFill="1" applyBorder="1" applyAlignment="1" applyProtection="1">
      <alignment vertical="top"/>
      <protection locked="0"/>
    </xf>
    <xf numFmtId="164" fontId="7" fillId="36" borderId="119" xfId="7" applyNumberFormat="1" applyFont="1" applyFill="1" applyBorder="1" applyAlignment="1" applyProtection="1">
      <alignment vertical="top" wrapText="1"/>
    </xf>
    <xf numFmtId="164" fontId="7" fillId="3" borderId="119" xfId="7" applyNumberFormat="1" applyFont="1" applyFill="1" applyBorder="1" applyAlignment="1" applyProtection="1">
      <alignment vertical="top" wrapText="1"/>
      <protection locked="0"/>
    </xf>
    <xf numFmtId="164" fontId="7" fillId="36" borderId="119" xfId="7" applyNumberFormat="1" applyFont="1" applyFill="1" applyBorder="1" applyAlignment="1" applyProtection="1">
      <alignment vertical="top" wrapText="1"/>
      <protection locked="0"/>
    </xf>
    <xf numFmtId="164" fontId="7" fillId="36" borderId="27" xfId="7" applyNumberFormat="1" applyFont="1" applyFill="1" applyBorder="1" applyAlignment="1" applyProtection="1">
      <alignment vertical="top" wrapText="1"/>
    </xf>
    <xf numFmtId="0" fontId="106" fillId="0" borderId="72" xfId="0" applyFont="1" applyBorder="1" applyAlignment="1">
      <alignment horizontal="left" vertical="center" wrapText="1"/>
    </xf>
    <xf numFmtId="0" fontId="106" fillId="0" borderId="71"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xf>
    <xf numFmtId="0" fontId="4" fillId="0" borderId="24" xfId="0" applyFont="1" applyBorder="1" applyAlignment="1">
      <alignment horizontal="center"/>
    </xf>
    <xf numFmtId="0" fontId="6" fillId="36" borderId="123"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0" xfId="0" applyFont="1" applyFill="1" applyBorder="1" applyAlignment="1">
      <alignment horizontal="center" vertical="center" wrapText="1"/>
    </xf>
    <xf numFmtId="0" fontId="6" fillId="36" borderId="104" xfId="0" applyFont="1" applyFill="1" applyBorder="1" applyAlignment="1">
      <alignment horizontal="center" vertical="center" wrapText="1"/>
    </xf>
    <xf numFmtId="0" fontId="103" fillId="3" borderId="73" xfId="13" applyFont="1" applyFill="1" applyBorder="1" applyAlignment="1" applyProtection="1">
      <alignment horizontal="center" vertical="center" wrapText="1"/>
      <protection locked="0"/>
    </xf>
    <xf numFmtId="0" fontId="103"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6" xfId="1" applyNumberFormat="1" applyFont="1" applyFill="1" applyBorder="1" applyAlignment="1" applyProtection="1">
      <alignment horizontal="center" vertical="center" wrapText="1"/>
      <protection locked="0"/>
    </xf>
    <xf numFmtId="164" fontId="15" fillId="0" borderId="97" xfId="1" applyNumberFormat="1" applyFont="1" applyFill="1" applyBorder="1" applyAlignment="1" applyProtection="1">
      <alignment horizontal="center" vertical="center" wrapText="1"/>
      <protection locked="0"/>
    </xf>
    <xf numFmtId="0" fontId="4" fillId="0" borderId="73"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6"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11" xfId="0" applyFont="1" applyBorder="1" applyAlignment="1">
      <alignment horizontal="center" vertical="center" wrapText="1"/>
    </xf>
    <xf numFmtId="0" fontId="14" fillId="0" borderId="58" xfId="0" applyFont="1" applyBorder="1" applyAlignment="1">
      <alignment horizontal="left" vertical="center"/>
    </xf>
    <xf numFmtId="0" fontId="14" fillId="0" borderId="59"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9" xfId="0" applyFont="1" applyBorder="1" applyAlignment="1">
      <alignment horizontal="center" vertical="center" wrapText="1"/>
    </xf>
    <xf numFmtId="0" fontId="121" fillId="0" borderId="126" xfId="0" applyFont="1" applyBorder="1" applyAlignment="1">
      <alignment horizontal="left" vertical="center" wrapText="1"/>
    </xf>
    <xf numFmtId="0" fontId="121" fillId="0" borderId="127" xfId="0" applyFont="1" applyBorder="1" applyAlignment="1">
      <alignment horizontal="left" vertical="center" wrapText="1"/>
    </xf>
    <xf numFmtId="0" fontId="121" fillId="0" borderId="129" xfId="0" applyFont="1" applyBorder="1" applyAlignment="1">
      <alignment horizontal="left" vertical="center" wrapText="1"/>
    </xf>
    <xf numFmtId="0" fontId="121" fillId="0" borderId="130" xfId="0" applyFont="1" applyBorder="1" applyAlignment="1">
      <alignment horizontal="left" vertical="center" wrapText="1"/>
    </xf>
    <xf numFmtId="0" fontId="121" fillId="0" borderId="132" xfId="0" applyFont="1" applyBorder="1" applyAlignment="1">
      <alignment horizontal="left" vertical="center" wrapText="1"/>
    </xf>
    <xf numFmtId="0" fontId="121" fillId="0" borderId="133" xfId="0" applyFont="1" applyBorder="1" applyAlignment="1">
      <alignment horizontal="left" vertical="center" wrapText="1"/>
    </xf>
    <xf numFmtId="0" fontId="122" fillId="0" borderId="101" xfId="0" applyFont="1" applyBorder="1" applyAlignment="1">
      <alignment horizontal="center" vertical="center" wrapText="1"/>
    </xf>
    <xf numFmtId="0" fontId="122" fillId="0" borderId="118" xfId="0" applyFont="1" applyBorder="1" applyAlignment="1">
      <alignment horizontal="center" vertical="center" wrapText="1"/>
    </xf>
    <xf numFmtId="0" fontId="122" fillId="0" borderId="128" xfId="0" applyFont="1" applyBorder="1" applyAlignment="1">
      <alignment horizontal="center" vertical="center" wrapText="1"/>
    </xf>
    <xf numFmtId="0" fontId="122" fillId="0" borderId="57" xfId="0" applyFont="1" applyBorder="1" applyAlignment="1">
      <alignment horizontal="center" vertical="center" wrapText="1"/>
    </xf>
    <xf numFmtId="0" fontId="122" fillId="0" borderId="131" xfId="0" applyFont="1" applyBorder="1" applyAlignment="1">
      <alignment horizontal="center" vertical="center" wrapText="1"/>
    </xf>
    <xf numFmtId="0" fontId="122" fillId="0" borderId="11" xfId="0" applyFont="1" applyBorder="1" applyAlignment="1">
      <alignment horizontal="center" vertical="center" wrapText="1"/>
    </xf>
    <xf numFmtId="0" fontId="119" fillId="0" borderId="100"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5" xfId="0" applyFont="1" applyBorder="1" applyAlignment="1">
      <alignment horizontal="center" vertical="center" wrapText="1"/>
    </xf>
    <xf numFmtId="0" fontId="126" fillId="0" borderId="105" xfId="0" applyFont="1" applyBorder="1" applyAlignment="1">
      <alignment horizontal="center" vertical="center"/>
    </xf>
    <xf numFmtId="0" fontId="126" fillId="0" borderId="101" xfId="0" applyFont="1" applyBorder="1" applyAlignment="1">
      <alignment horizontal="center" vertical="center"/>
    </xf>
    <xf numFmtId="0" fontId="126" fillId="0" borderId="128" xfId="0" applyFont="1" applyBorder="1" applyAlignment="1">
      <alignment horizontal="center" vertical="center"/>
    </xf>
    <xf numFmtId="0" fontId="126" fillId="0" borderId="57" xfId="0" applyFont="1" applyBorder="1" applyAlignment="1">
      <alignment horizontal="center" vertical="center"/>
    </xf>
    <xf numFmtId="0" fontId="126" fillId="0" borderId="11" xfId="0" applyFont="1" applyBorder="1" applyAlignment="1">
      <alignment horizontal="center" vertical="center"/>
    </xf>
    <xf numFmtId="0" fontId="122" fillId="0" borderId="105" xfId="0" applyFont="1" applyBorder="1" applyAlignment="1">
      <alignment horizontal="center" vertical="center" wrapText="1"/>
    </xf>
    <xf numFmtId="0" fontId="122" fillId="0" borderId="134" xfId="0" applyFont="1" applyBorder="1" applyAlignment="1">
      <alignment horizontal="center" vertical="center" wrapText="1"/>
    </xf>
    <xf numFmtId="0" fontId="122" fillId="0" borderId="135" xfId="0" applyFont="1" applyBorder="1" applyAlignment="1">
      <alignment horizontal="center" vertical="center" wrapText="1"/>
    </xf>
    <xf numFmtId="0" fontId="119" fillId="0" borderId="106" xfId="0" applyFont="1" applyBorder="1" applyAlignment="1">
      <alignment horizontal="center" vertical="center" wrapText="1"/>
    </xf>
    <xf numFmtId="0" fontId="119" fillId="0" borderId="103" xfId="0" applyFont="1" applyBorder="1" applyAlignment="1">
      <alignment horizontal="center" vertical="center" wrapText="1"/>
    </xf>
    <xf numFmtId="0" fontId="119" fillId="0" borderId="104" xfId="0" applyFont="1" applyBorder="1" applyAlignment="1">
      <alignment horizontal="center" vertical="center" wrapText="1"/>
    </xf>
    <xf numFmtId="0" fontId="122" fillId="0" borderId="136" xfId="0" applyFont="1" applyBorder="1" applyAlignment="1">
      <alignment horizontal="center" vertical="center" wrapText="1"/>
    </xf>
    <xf numFmtId="0" fontId="122" fillId="0" borderId="7" xfId="0" applyFont="1" applyBorder="1" applyAlignment="1">
      <alignment horizontal="center" vertical="center" wrapText="1"/>
    </xf>
    <xf numFmtId="0" fontId="119" fillId="0" borderId="136" xfId="0" applyFont="1" applyBorder="1" applyAlignment="1">
      <alignment horizontal="center" vertical="center" wrapText="1"/>
    </xf>
    <xf numFmtId="0" fontId="119" fillId="0" borderId="134" xfId="0" applyFont="1" applyBorder="1" applyAlignment="1">
      <alignment horizontal="center" vertical="center" wrapText="1"/>
    </xf>
    <xf numFmtId="0" fontId="119" fillId="0" borderId="0" xfId="0" applyFont="1" applyAlignment="1">
      <alignment horizontal="center" vertical="center" wrapText="1"/>
    </xf>
    <xf numFmtId="0" fontId="119" fillId="0" borderId="135" xfId="0" applyFont="1" applyBorder="1" applyAlignment="1">
      <alignment horizontal="center" vertical="center" wrapText="1"/>
    </xf>
    <xf numFmtId="0" fontId="119" fillId="0" borderId="11" xfId="0" applyFont="1" applyBorder="1" applyAlignment="1">
      <alignment horizontal="center" vertical="center" wrapText="1"/>
    </xf>
    <xf numFmtId="0" fontId="121" fillId="0" borderId="101" xfId="0" applyFont="1" applyBorder="1" applyAlignment="1">
      <alignment horizontal="left" vertical="top" wrapText="1"/>
    </xf>
    <xf numFmtId="0" fontId="121" fillId="0" borderId="128" xfId="0" applyFont="1" applyBorder="1" applyAlignment="1">
      <alignment horizontal="left" vertical="top" wrapText="1"/>
    </xf>
    <xf numFmtId="0" fontId="121" fillId="0" borderId="134" xfId="0" applyFont="1" applyBorder="1" applyAlignment="1">
      <alignment horizontal="left" vertical="top" wrapText="1"/>
    </xf>
    <xf numFmtId="0" fontId="121" fillId="0" borderId="135" xfId="0" applyFont="1" applyBorder="1" applyAlignment="1">
      <alignment horizontal="left" vertical="top" wrapText="1"/>
    </xf>
    <xf numFmtId="0" fontId="121" fillId="0" borderId="57" xfId="0" applyFont="1" applyBorder="1" applyAlignment="1">
      <alignment horizontal="left" vertical="top" wrapText="1"/>
    </xf>
    <xf numFmtId="0" fontId="121" fillId="0" borderId="11" xfId="0" applyFont="1" applyBorder="1" applyAlignment="1">
      <alignment horizontal="left" vertical="top" wrapText="1"/>
    </xf>
    <xf numFmtId="0" fontId="119" fillId="0" borderId="101" xfId="0" applyFont="1" applyBorder="1" applyAlignment="1">
      <alignment horizontal="center" vertical="center"/>
    </xf>
    <xf numFmtId="0" fontId="119" fillId="0" borderId="118" xfId="0" applyFont="1" applyBorder="1" applyAlignment="1">
      <alignment horizontal="center" vertical="center"/>
    </xf>
    <xf numFmtId="0" fontId="119" fillId="0" borderId="128" xfId="0" applyFont="1" applyBorder="1" applyAlignment="1">
      <alignment horizontal="center" vertical="center"/>
    </xf>
    <xf numFmtId="0" fontId="119" fillId="0" borderId="101" xfId="0" applyFont="1" applyBorder="1" applyAlignment="1">
      <alignment horizontal="center" vertical="center" wrapText="1"/>
    </xf>
    <xf numFmtId="0" fontId="119" fillId="0" borderId="118"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101" xfId="0" applyFont="1" applyBorder="1" applyAlignment="1">
      <alignment horizontal="center" vertical="top" wrapText="1"/>
    </xf>
    <xf numFmtId="0" fontId="119" fillId="0" borderId="118" xfId="0" applyFont="1" applyBorder="1" applyAlignment="1">
      <alignment horizontal="center" vertical="top" wrapText="1"/>
    </xf>
    <xf numFmtId="0" fontId="119" fillId="0" borderId="128" xfId="0" applyFont="1" applyBorder="1" applyAlignment="1">
      <alignment horizontal="center" vertical="top" wrapText="1"/>
    </xf>
    <xf numFmtId="0" fontId="119" fillId="0" borderId="103" xfId="0" applyFont="1" applyBorder="1" applyAlignment="1">
      <alignment horizontal="center" vertical="top" wrapText="1"/>
    </xf>
    <xf numFmtId="0" fontId="119" fillId="0" borderId="104" xfId="0" applyFont="1" applyBorder="1" applyAlignment="1">
      <alignment horizontal="center" vertical="top" wrapText="1"/>
    </xf>
    <xf numFmtId="0" fontId="119" fillId="0" borderId="100" xfId="0" applyFont="1" applyBorder="1" applyAlignment="1">
      <alignment horizontal="center" vertical="top" wrapText="1"/>
    </xf>
    <xf numFmtId="0" fontId="119" fillId="0" borderId="7" xfId="0" applyFont="1" applyBorder="1" applyAlignment="1">
      <alignment horizontal="center" vertical="top" wrapText="1"/>
    </xf>
    <xf numFmtId="0" fontId="121" fillId="0" borderId="137" xfId="0" applyFont="1" applyBorder="1" applyAlignment="1">
      <alignment horizontal="left" vertical="top" wrapText="1"/>
    </xf>
    <xf numFmtId="0" fontId="121" fillId="0" borderId="138" xfId="0" applyFont="1" applyBorder="1" applyAlignment="1">
      <alignment horizontal="left" vertical="top" wrapText="1"/>
    </xf>
    <xf numFmtId="0" fontId="127" fillId="0" borderId="105" xfId="0" applyFont="1" applyBorder="1" applyAlignment="1">
      <alignment horizontal="center" vertical="center" wrapText="1"/>
    </xf>
    <xf numFmtId="0" fontId="134" fillId="0" borderId="105" xfId="0" applyFont="1" applyBorder="1" applyAlignment="1">
      <alignment horizontal="center" vertical="center"/>
    </xf>
    <xf numFmtId="0" fontId="127" fillId="0" borderId="100" xfId="0" applyFont="1" applyBorder="1" applyAlignment="1">
      <alignment horizontal="center" vertical="center" wrapText="1"/>
    </xf>
    <xf numFmtId="0" fontId="108" fillId="0" borderId="106" xfId="0" applyFont="1" applyBorder="1" applyAlignment="1">
      <alignment horizontal="left" vertical="center" wrapText="1"/>
    </xf>
    <xf numFmtId="0" fontId="108" fillId="0" borderId="104" xfId="0" applyFont="1" applyBorder="1" applyAlignment="1">
      <alignment horizontal="left" vertical="center" wrapText="1"/>
    </xf>
    <xf numFmtId="0" fontId="108" fillId="0" borderId="106" xfId="0" applyFont="1" applyBorder="1" applyAlignment="1">
      <alignment horizontal="left"/>
    </xf>
    <xf numFmtId="0" fontId="108" fillId="0" borderId="104" xfId="0" applyFont="1" applyBorder="1" applyAlignment="1">
      <alignment horizontal="left"/>
    </xf>
    <xf numFmtId="0" fontId="108" fillId="3" borderId="106" xfId="0" applyFont="1" applyFill="1" applyBorder="1" applyAlignment="1">
      <alignment vertical="center" wrapText="1"/>
    </xf>
    <xf numFmtId="0" fontId="108" fillId="3" borderId="104" xfId="0" applyFont="1" applyFill="1" applyBorder="1" applyAlignment="1">
      <alignment vertical="center" wrapText="1"/>
    </xf>
    <xf numFmtId="0" fontId="107" fillId="0" borderId="76" xfId="0" applyFont="1" applyBorder="1" applyAlignment="1">
      <alignment horizontal="center" vertical="center"/>
    </xf>
    <xf numFmtId="0" fontId="107" fillId="0" borderId="77" xfId="0" applyFont="1" applyBorder="1" applyAlignment="1">
      <alignment horizontal="center" vertical="center"/>
    </xf>
    <xf numFmtId="0" fontId="107" fillId="0" borderId="78" xfId="0" applyFont="1" applyBorder="1" applyAlignment="1">
      <alignment horizontal="center" vertical="center"/>
    </xf>
    <xf numFmtId="0" fontId="108" fillId="0" borderId="105" xfId="0" applyFont="1" applyBorder="1" applyAlignment="1">
      <alignment horizontal="left"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7" fillId="76" borderId="81" xfId="0" applyFont="1" applyFill="1" applyBorder="1" applyAlignment="1">
      <alignment horizontal="center" vertical="center" wrapText="1"/>
    </xf>
    <xf numFmtId="0" fontId="108" fillId="0" borderId="57" xfId="0" applyFont="1" applyBorder="1" applyAlignment="1">
      <alignment horizontal="left" vertical="center" wrapText="1"/>
    </xf>
    <xf numFmtId="0" fontId="108" fillId="0" borderId="11" xfId="0" applyFont="1" applyBorder="1" applyAlignment="1">
      <alignment horizontal="left" vertical="center" wrapText="1"/>
    </xf>
    <xf numFmtId="0" fontId="108" fillId="0" borderId="106" xfId="0" applyFont="1" applyBorder="1" applyAlignment="1">
      <alignment vertical="center" wrapText="1"/>
    </xf>
    <xf numFmtId="0" fontId="108" fillId="0" borderId="104" xfId="0" applyFont="1" applyBorder="1" applyAlignment="1">
      <alignment vertical="center" wrapText="1"/>
    </xf>
    <xf numFmtId="0" fontId="108" fillId="3" borderId="83" xfId="0" applyFont="1" applyFill="1" applyBorder="1" applyAlignment="1">
      <alignment horizontal="left" vertical="center" wrapText="1"/>
    </xf>
    <xf numFmtId="0" fontId="108" fillId="3" borderId="84" xfId="0" applyFont="1" applyFill="1" applyBorder="1" applyAlignment="1">
      <alignment horizontal="left" vertical="center" wrapText="1"/>
    </xf>
    <xf numFmtId="0" fontId="108" fillId="0" borderId="86" xfId="0" applyFont="1" applyBorder="1" applyAlignment="1">
      <alignment horizontal="left" vertical="center" wrapText="1"/>
    </xf>
    <xf numFmtId="0" fontId="108" fillId="0" borderId="87" xfId="0" applyFont="1" applyBorder="1" applyAlignment="1">
      <alignment horizontal="left" vertical="center" wrapText="1"/>
    </xf>
    <xf numFmtId="0" fontId="108" fillId="0" borderId="57" xfId="0" applyFont="1" applyBorder="1" applyAlignment="1">
      <alignment vertical="center" wrapText="1"/>
    </xf>
    <xf numFmtId="0" fontId="108" fillId="0" borderId="11" xfId="0" applyFont="1" applyBorder="1" applyAlignment="1">
      <alignment vertical="center" wrapText="1"/>
    </xf>
    <xf numFmtId="0" fontId="108" fillId="0" borderId="83" xfId="0" applyFont="1" applyBorder="1" applyAlignment="1">
      <alignment horizontal="left" vertical="center" wrapText="1"/>
    </xf>
    <xf numFmtId="0" fontId="108" fillId="0" borderId="84" xfId="0" applyFont="1" applyBorder="1" applyAlignment="1">
      <alignment horizontal="left" vertical="center" wrapText="1"/>
    </xf>
    <xf numFmtId="0" fontId="108" fillId="0" borderId="83" xfId="0" applyFont="1" applyBorder="1" applyAlignment="1">
      <alignment vertical="center" wrapText="1"/>
    </xf>
    <xf numFmtId="0" fontId="108" fillId="0" borderId="84" xfId="0" applyFont="1" applyBorder="1" applyAlignment="1">
      <alignment vertical="center" wrapText="1"/>
    </xf>
    <xf numFmtId="0" fontId="108" fillId="3" borderId="106" xfId="0" applyFont="1" applyFill="1" applyBorder="1" applyAlignment="1">
      <alignment horizontal="left" vertical="center" wrapText="1"/>
    </xf>
    <xf numFmtId="0" fontId="108" fillId="3" borderId="104" xfId="0" applyFont="1" applyFill="1" applyBorder="1" applyAlignment="1">
      <alignment horizontal="left" vertical="center" wrapText="1"/>
    </xf>
    <xf numFmtId="0" fontId="107" fillId="76" borderId="88" xfId="0" applyFont="1" applyFill="1" applyBorder="1" applyAlignment="1">
      <alignment horizontal="center" vertical="center" wrapText="1"/>
    </xf>
    <xf numFmtId="0" fontId="107" fillId="76" borderId="0" xfId="0" applyFont="1" applyFill="1" applyAlignment="1">
      <alignment horizontal="center" vertical="center" wrapText="1"/>
    </xf>
    <xf numFmtId="0" fontId="107" fillId="76" borderId="89" xfId="0" applyFont="1" applyFill="1" applyBorder="1" applyAlignment="1">
      <alignment horizontal="center" vertical="center" wrapText="1"/>
    </xf>
    <xf numFmtId="0" fontId="108" fillId="78" borderId="106" xfId="0" applyFont="1" applyFill="1" applyBorder="1" applyAlignment="1">
      <alignment vertical="center" wrapText="1"/>
    </xf>
    <xf numFmtId="0" fontId="108" fillId="78" borderId="104" xfId="0" applyFont="1" applyFill="1" applyBorder="1" applyAlignment="1">
      <alignment vertical="center" wrapText="1"/>
    </xf>
    <xf numFmtId="0" fontId="107" fillId="76" borderId="93" xfId="0" applyFont="1" applyFill="1" applyBorder="1" applyAlignment="1">
      <alignment horizontal="center" vertical="center"/>
    </xf>
    <xf numFmtId="0" fontId="107" fillId="76" borderId="94" xfId="0" applyFont="1" applyFill="1" applyBorder="1" applyAlignment="1">
      <alignment horizontal="center" vertical="center"/>
    </xf>
    <xf numFmtId="0" fontId="107" fillId="76" borderId="95" xfId="0" applyFont="1" applyFill="1" applyBorder="1" applyAlignment="1">
      <alignment horizontal="center" vertical="center"/>
    </xf>
    <xf numFmtId="0" fontId="107" fillId="76" borderId="105" xfId="0" applyFont="1" applyFill="1" applyBorder="1" applyAlignment="1">
      <alignment horizontal="center" vertical="center" wrapText="1"/>
    </xf>
    <xf numFmtId="0" fontId="107" fillId="0" borderId="105" xfId="0" applyFont="1" applyBorder="1" applyAlignment="1">
      <alignment horizontal="center" vertical="center"/>
    </xf>
    <xf numFmtId="0" fontId="108" fillId="0" borderId="106" xfId="13" applyFont="1" applyBorder="1" applyAlignment="1" applyProtection="1">
      <alignment horizontal="left" vertical="top" wrapText="1"/>
      <protection locked="0"/>
    </xf>
    <xf numFmtId="0" fontId="108" fillId="0" borderId="104" xfId="13" applyFont="1" applyBorder="1" applyAlignment="1" applyProtection="1">
      <alignment horizontal="left" vertical="top" wrapText="1"/>
      <protection locked="0"/>
    </xf>
    <xf numFmtId="0" fontId="108" fillId="3" borderId="106" xfId="13" applyFont="1" applyFill="1" applyBorder="1" applyAlignment="1" applyProtection="1">
      <alignment horizontal="left" vertical="top" wrapText="1"/>
      <protection locked="0"/>
    </xf>
    <xf numFmtId="0" fontId="108" fillId="3" borderId="104" xfId="13" applyFont="1" applyFill="1" applyBorder="1" applyAlignment="1" applyProtection="1">
      <alignment horizontal="left" vertical="top" wrapText="1"/>
      <protection locked="0"/>
    </xf>
    <xf numFmtId="0" fontId="107" fillId="0" borderId="91" xfId="0" applyFont="1" applyBorder="1" applyAlignment="1">
      <alignment horizontal="center" vertical="center"/>
    </xf>
    <xf numFmtId="0" fontId="107" fillId="76" borderId="106" xfId="0" applyFont="1" applyFill="1" applyBorder="1" applyAlignment="1">
      <alignment horizontal="center" vertical="center" wrapText="1"/>
    </xf>
    <xf numFmtId="0" fontId="107" fillId="76" borderId="104" xfId="0" applyFont="1" applyFill="1" applyBorder="1" applyAlignment="1">
      <alignment horizontal="center" vertical="center" wrapText="1"/>
    </xf>
    <xf numFmtId="0" fontId="108" fillId="0" borderId="106" xfId="0" applyFont="1" applyBorder="1" applyAlignment="1">
      <alignment horizontal="left" vertical="top" wrapText="1"/>
    </xf>
    <xf numFmtId="0" fontId="108" fillId="0" borderId="104" xfId="0" applyFont="1" applyBorder="1" applyAlignment="1">
      <alignment horizontal="left" vertical="top" wrapText="1"/>
    </xf>
    <xf numFmtId="0" fontId="108" fillId="0" borderId="100" xfId="12672" applyFont="1" applyBorder="1" applyAlignment="1">
      <alignment horizontal="left" vertical="center" wrapText="1"/>
    </xf>
    <xf numFmtId="0" fontId="108" fillId="0" borderId="136" xfId="12672" applyFont="1" applyBorder="1" applyAlignment="1">
      <alignment horizontal="left" vertical="center" wrapText="1"/>
    </xf>
    <xf numFmtId="0" fontId="108" fillId="0" borderId="7" xfId="12672" applyFont="1" applyBorder="1" applyAlignment="1">
      <alignment horizontal="left" vertical="center" wrapText="1"/>
    </xf>
    <xf numFmtId="49" fontId="108" fillId="0" borderId="100" xfId="0" applyNumberFormat="1" applyFont="1" applyBorder="1" applyAlignment="1">
      <alignment horizontal="center" vertical="center"/>
    </xf>
    <xf numFmtId="49" fontId="108" fillId="0" borderId="136" xfId="0" applyNumberFormat="1" applyFont="1" applyBorder="1" applyAlignment="1">
      <alignment horizontal="center" vertical="center"/>
    </xf>
    <xf numFmtId="49" fontId="108" fillId="0" borderId="7" xfId="0" applyNumberFormat="1" applyFont="1" applyBorder="1" applyAlignment="1">
      <alignment horizontal="center" vertical="center"/>
    </xf>
    <xf numFmtId="0" fontId="108" fillId="0" borderId="105" xfId="0" applyFont="1" applyBorder="1" applyAlignment="1">
      <alignment horizontal="left" vertical="top"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1" defaultTableStyle="TableStyleMedium2" defaultPivotStyle="PivotStyleMedium9">
    <tableStyle name="Invisible" pivot="0" table="0" count="0" xr9:uid="{247944A4-6F17-4939-A0CF-F84C52C6E14D}"/>
  </tableStyles>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zoomScale="85" zoomScaleNormal="85" workbookViewId="0">
      <pane xSplit="1" ySplit="7" topLeftCell="B8" activePane="bottomRight" state="frozen"/>
      <selection activeCell="B2" sqref="B2"/>
      <selection pane="topRight" activeCell="B2" sqref="B2"/>
      <selection pane="bottomLeft" activeCell="B2" sqref="B2"/>
      <selection pane="bottomRight" activeCell="B2" sqref="B2"/>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67" t="s">
        <v>254</v>
      </c>
      <c r="C1" s="83"/>
    </row>
    <row r="2" spans="1:3" s="164" customFormat="1" ht="15.75">
      <c r="A2" s="208">
        <v>1</v>
      </c>
      <c r="B2" s="165" t="s">
        <v>255</v>
      </c>
      <c r="C2" s="489" t="s">
        <v>957</v>
      </c>
    </row>
    <row r="3" spans="1:3" s="164" customFormat="1" ht="15.75">
      <c r="A3" s="208">
        <v>2</v>
      </c>
      <c r="B3" s="166" t="s">
        <v>256</v>
      </c>
      <c r="C3" s="489" t="s">
        <v>958</v>
      </c>
    </row>
    <row r="4" spans="1:3" s="164" customFormat="1" ht="15.75">
      <c r="A4" s="208">
        <v>3</v>
      </c>
      <c r="B4" s="166" t="s">
        <v>257</v>
      </c>
      <c r="C4" s="489" t="s">
        <v>959</v>
      </c>
    </row>
    <row r="5" spans="1:3" s="164" customFormat="1" ht="15.75">
      <c r="A5" s="209">
        <v>4</v>
      </c>
      <c r="B5" s="169" t="s">
        <v>258</v>
      </c>
      <c r="C5" s="490" t="s">
        <v>960</v>
      </c>
    </row>
    <row r="6" spans="1:3" s="168" customFormat="1" ht="65.25" customHeight="1">
      <c r="A6" s="688" t="s">
        <v>490</v>
      </c>
      <c r="B6" s="689"/>
      <c r="C6" s="689"/>
    </row>
    <row r="7" spans="1:3">
      <c r="A7" s="309" t="s">
        <v>404</v>
      </c>
      <c r="B7" s="310" t="s">
        <v>259</v>
      </c>
    </row>
    <row r="8" spans="1:3">
      <c r="A8" s="311">
        <v>1</v>
      </c>
      <c r="B8" s="307" t="s">
        <v>223</v>
      </c>
    </row>
    <row r="9" spans="1:3">
      <c r="A9" s="311">
        <v>2</v>
      </c>
      <c r="B9" s="307" t="s">
        <v>260</v>
      </c>
    </row>
    <row r="10" spans="1:3">
      <c r="A10" s="311">
        <v>3</v>
      </c>
      <c r="B10" s="307" t="s">
        <v>261</v>
      </c>
    </row>
    <row r="11" spans="1:3">
      <c r="A11" s="311">
        <v>4</v>
      </c>
      <c r="B11" s="307" t="s">
        <v>262</v>
      </c>
    </row>
    <row r="12" spans="1:3">
      <c r="A12" s="311">
        <v>5</v>
      </c>
      <c r="B12" s="307" t="s">
        <v>187</v>
      </c>
    </row>
    <row r="13" spans="1:3">
      <c r="A13" s="311">
        <v>6</v>
      </c>
      <c r="B13" s="312" t="s">
        <v>149</v>
      </c>
    </row>
    <row r="14" spans="1:3">
      <c r="A14" s="311">
        <v>7</v>
      </c>
      <c r="B14" s="307" t="s">
        <v>263</v>
      </c>
    </row>
    <row r="15" spans="1:3">
      <c r="A15" s="311">
        <v>8</v>
      </c>
      <c r="B15" s="307" t="s">
        <v>266</v>
      </c>
    </row>
    <row r="16" spans="1:3">
      <c r="A16" s="311">
        <v>9</v>
      </c>
      <c r="B16" s="307" t="s">
        <v>88</v>
      </c>
    </row>
    <row r="17" spans="1:2">
      <c r="A17" s="313" t="s">
        <v>547</v>
      </c>
      <c r="B17" s="307" t="s">
        <v>527</v>
      </c>
    </row>
    <row r="18" spans="1:2">
      <c r="A18" s="311">
        <v>10</v>
      </c>
      <c r="B18" s="307" t="s">
        <v>269</v>
      </c>
    </row>
    <row r="19" spans="1:2">
      <c r="A19" s="311">
        <v>11</v>
      </c>
      <c r="B19" s="312" t="s">
        <v>250</v>
      </c>
    </row>
    <row r="20" spans="1:2">
      <c r="A20" s="311">
        <v>12</v>
      </c>
      <c r="B20" s="312" t="s">
        <v>247</v>
      </c>
    </row>
    <row r="21" spans="1:2">
      <c r="A21" s="311">
        <v>13</v>
      </c>
      <c r="B21" s="314" t="s">
        <v>460</v>
      </c>
    </row>
    <row r="22" spans="1:2">
      <c r="A22" s="311">
        <v>14</v>
      </c>
      <c r="B22" s="315" t="s">
        <v>520</v>
      </c>
    </row>
    <row r="23" spans="1:2">
      <c r="A23" s="311">
        <v>15</v>
      </c>
      <c r="B23" s="312" t="s">
        <v>77</v>
      </c>
    </row>
    <row r="24" spans="1:2">
      <c r="A24" s="311">
        <v>15.1</v>
      </c>
      <c r="B24" s="307" t="s">
        <v>556</v>
      </c>
    </row>
    <row r="25" spans="1:2">
      <c r="A25" s="311">
        <v>16</v>
      </c>
      <c r="B25" s="307" t="s">
        <v>624</v>
      </c>
    </row>
    <row r="26" spans="1:2">
      <c r="A26" s="311">
        <v>17</v>
      </c>
      <c r="B26" s="307" t="s">
        <v>936</v>
      </c>
    </row>
    <row r="27" spans="1:2">
      <c r="A27" s="311">
        <v>18</v>
      </c>
      <c r="B27" s="307" t="s">
        <v>954</v>
      </c>
    </row>
    <row r="28" spans="1:2">
      <c r="A28" s="311">
        <v>19</v>
      </c>
      <c r="B28" s="307" t="s">
        <v>955</v>
      </c>
    </row>
    <row r="29" spans="1:2">
      <c r="A29" s="311">
        <v>20</v>
      </c>
      <c r="B29" s="315" t="s">
        <v>723</v>
      </c>
    </row>
    <row r="30" spans="1:2">
      <c r="A30" s="311">
        <v>21</v>
      </c>
      <c r="B30" s="307" t="s">
        <v>741</v>
      </c>
    </row>
    <row r="31" spans="1:2">
      <c r="A31" s="311">
        <v>22</v>
      </c>
      <c r="B31" s="467" t="s">
        <v>758</v>
      </c>
    </row>
    <row r="32" spans="1:2" ht="26.25">
      <c r="A32" s="311">
        <v>23</v>
      </c>
      <c r="B32" s="467" t="s">
        <v>937</v>
      </c>
    </row>
    <row r="33" spans="1:2">
      <c r="A33" s="311">
        <v>24</v>
      </c>
      <c r="B33" s="307" t="s">
        <v>938</v>
      </c>
    </row>
    <row r="34" spans="1:2">
      <c r="A34" s="311">
        <v>25</v>
      </c>
      <c r="B34" s="307" t="s">
        <v>939</v>
      </c>
    </row>
    <row r="35" spans="1:2">
      <c r="A35" s="311">
        <v>26</v>
      </c>
      <c r="B35" s="315" t="s">
        <v>1045</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C1" sqref="C1:C1048576"/>
    </sheetView>
  </sheetViews>
  <sheetFormatPr defaultRowHeight="15"/>
  <cols>
    <col min="1" max="1" width="9.5703125" style="1" bestFit="1" customWidth="1"/>
    <col min="2" max="2" width="132.42578125" style="1" customWidth="1"/>
    <col min="3" max="3" width="18.42578125" style="680" customWidth="1"/>
  </cols>
  <sheetData>
    <row r="1" spans="1:6" ht="15.75">
      <c r="A1" s="14" t="s">
        <v>188</v>
      </c>
      <c r="B1" s="13" t="str">
        <f>Info!C2</f>
        <v>სს "ბანკი ქართუ"</v>
      </c>
      <c r="D1" s="1"/>
      <c r="E1" s="1"/>
      <c r="F1" s="1"/>
    </row>
    <row r="2" spans="1:6" s="14" customFormat="1" ht="15.75" customHeight="1">
      <c r="A2" s="14" t="s">
        <v>189</v>
      </c>
      <c r="B2" s="641">
        <f>'1. key ratios'!B2</f>
        <v>44926</v>
      </c>
      <c r="C2" s="658"/>
    </row>
    <row r="3" spans="1:6" s="14" customFormat="1" ht="15.75" customHeight="1">
      <c r="C3" s="658"/>
    </row>
    <row r="4" spans="1:6" ht="15.75" thickBot="1">
      <c r="A4" s="1" t="s">
        <v>413</v>
      </c>
      <c r="B4" s="52" t="s">
        <v>88</v>
      </c>
    </row>
    <row r="5" spans="1:6">
      <c r="A5" s="122" t="s">
        <v>26</v>
      </c>
      <c r="B5" s="123"/>
      <c r="C5" s="681" t="s">
        <v>27</v>
      </c>
    </row>
    <row r="6" spans="1:6">
      <c r="A6" s="124">
        <v>1</v>
      </c>
      <c r="B6" s="73" t="s">
        <v>28</v>
      </c>
      <c r="C6" s="682">
        <f>SUM(C7:C11)</f>
        <v>239662437</v>
      </c>
    </row>
    <row r="7" spans="1:6">
      <c r="A7" s="124">
        <v>2</v>
      </c>
      <c r="B7" s="70" t="s">
        <v>29</v>
      </c>
      <c r="C7" s="683">
        <v>114430000</v>
      </c>
    </row>
    <row r="8" spans="1:6">
      <c r="A8" s="124">
        <v>3</v>
      </c>
      <c r="B8" s="65" t="s">
        <v>30</v>
      </c>
      <c r="C8" s="683"/>
    </row>
    <row r="9" spans="1:6">
      <c r="A9" s="124">
        <v>4</v>
      </c>
      <c r="B9" s="65" t="s">
        <v>31</v>
      </c>
      <c r="C9" s="683"/>
    </row>
    <row r="10" spans="1:6">
      <c r="A10" s="124">
        <v>5</v>
      </c>
      <c r="B10" s="65" t="s">
        <v>32</v>
      </c>
      <c r="C10" s="683">
        <v>7438034</v>
      </c>
    </row>
    <row r="11" spans="1:6">
      <c r="A11" s="124">
        <v>6</v>
      </c>
      <c r="B11" s="71" t="s">
        <v>33</v>
      </c>
      <c r="C11" s="683">
        <v>117794403</v>
      </c>
    </row>
    <row r="12" spans="1:6" s="2" customFormat="1">
      <c r="A12" s="124">
        <v>7</v>
      </c>
      <c r="B12" s="73" t="s">
        <v>34</v>
      </c>
      <c r="C12" s="684">
        <f>SUM(C13:C27)</f>
        <v>5409013</v>
      </c>
    </row>
    <row r="13" spans="1:6" s="2" customFormat="1">
      <c r="A13" s="124">
        <v>8</v>
      </c>
      <c r="B13" s="72" t="s">
        <v>35</v>
      </c>
      <c r="C13" s="685">
        <v>-30730</v>
      </c>
    </row>
    <row r="14" spans="1:6" s="2" customFormat="1" ht="25.5">
      <c r="A14" s="124">
        <v>9</v>
      </c>
      <c r="B14" s="66" t="s">
        <v>36</v>
      </c>
      <c r="C14" s="685"/>
    </row>
    <row r="15" spans="1:6" s="2" customFormat="1">
      <c r="A15" s="124">
        <v>10</v>
      </c>
      <c r="B15" s="67" t="s">
        <v>37</v>
      </c>
      <c r="C15" s="685">
        <v>5439743</v>
      </c>
    </row>
    <row r="16" spans="1:6" s="2" customFormat="1">
      <c r="A16" s="124">
        <v>11</v>
      </c>
      <c r="B16" s="68" t="s">
        <v>38</v>
      </c>
      <c r="C16" s="685"/>
    </row>
    <row r="17" spans="1:3" s="2" customFormat="1">
      <c r="A17" s="124">
        <v>12</v>
      </c>
      <c r="B17" s="67" t="s">
        <v>39</v>
      </c>
      <c r="C17" s="685"/>
    </row>
    <row r="18" spans="1:3" s="2" customFormat="1">
      <c r="A18" s="124">
        <v>13</v>
      </c>
      <c r="B18" s="67" t="s">
        <v>40</v>
      </c>
      <c r="C18" s="685"/>
    </row>
    <row r="19" spans="1:3" s="2" customFormat="1">
      <c r="A19" s="124">
        <v>14</v>
      </c>
      <c r="B19" s="67" t="s">
        <v>41</v>
      </c>
      <c r="C19" s="685"/>
    </row>
    <row r="20" spans="1:3" s="2" customFormat="1" ht="25.5">
      <c r="A20" s="124">
        <v>15</v>
      </c>
      <c r="B20" s="67" t="s">
        <v>42</v>
      </c>
      <c r="C20" s="685">
        <v>0</v>
      </c>
    </row>
    <row r="21" spans="1:3" s="2" customFormat="1" ht="25.5">
      <c r="A21" s="124">
        <v>16</v>
      </c>
      <c r="B21" s="66" t="s">
        <v>43</v>
      </c>
      <c r="C21" s="685"/>
    </row>
    <row r="22" spans="1:3" s="2" customFormat="1">
      <c r="A22" s="124">
        <v>17</v>
      </c>
      <c r="B22" s="125" t="s">
        <v>44</v>
      </c>
      <c r="C22" s="685"/>
    </row>
    <row r="23" spans="1:3" s="2" customFormat="1" ht="25.5">
      <c r="A23" s="124">
        <v>18</v>
      </c>
      <c r="B23" s="66" t="s">
        <v>45</v>
      </c>
      <c r="C23" s="685"/>
    </row>
    <row r="24" spans="1:3" s="2" customFormat="1" ht="25.5">
      <c r="A24" s="124">
        <v>19</v>
      </c>
      <c r="B24" s="66" t="s">
        <v>46</v>
      </c>
      <c r="C24" s="685"/>
    </row>
    <row r="25" spans="1:3" s="2" customFormat="1" ht="25.5">
      <c r="A25" s="124">
        <v>20</v>
      </c>
      <c r="B25" s="68" t="s">
        <v>47</v>
      </c>
      <c r="C25" s="685"/>
    </row>
    <row r="26" spans="1:3" s="2" customFormat="1">
      <c r="A26" s="124">
        <v>21</v>
      </c>
      <c r="B26" s="68" t="s">
        <v>48</v>
      </c>
      <c r="C26" s="685"/>
    </row>
    <row r="27" spans="1:3" s="2" customFormat="1" ht="25.5">
      <c r="A27" s="124">
        <v>22</v>
      </c>
      <c r="B27" s="68" t="s">
        <v>49</v>
      </c>
      <c r="C27" s="685"/>
    </row>
    <row r="28" spans="1:3" s="2" customFormat="1">
      <c r="A28" s="124">
        <v>23</v>
      </c>
      <c r="B28" s="74" t="s">
        <v>23</v>
      </c>
      <c r="C28" s="684">
        <f>C6-C12</f>
        <v>234253424</v>
      </c>
    </row>
    <row r="29" spans="1:3" s="2" customFormat="1">
      <c r="A29" s="126"/>
      <c r="B29" s="69"/>
      <c r="C29" s="685"/>
    </row>
    <row r="30" spans="1:3" s="2" customFormat="1">
      <c r="A30" s="126">
        <v>24</v>
      </c>
      <c r="B30" s="74" t="s">
        <v>50</v>
      </c>
      <c r="C30" s="684">
        <f>C31+C34</f>
        <v>72954000</v>
      </c>
    </row>
    <row r="31" spans="1:3" s="2" customFormat="1">
      <c r="A31" s="126">
        <v>25</v>
      </c>
      <c r="B31" s="65" t="s">
        <v>51</v>
      </c>
      <c r="C31" s="686">
        <f>C32+C33</f>
        <v>72954000</v>
      </c>
    </row>
    <row r="32" spans="1:3" s="2" customFormat="1">
      <c r="A32" s="126">
        <v>26</v>
      </c>
      <c r="B32" s="162" t="s">
        <v>52</v>
      </c>
      <c r="C32" s="685"/>
    </row>
    <row r="33" spans="1:3" s="2" customFormat="1">
      <c r="A33" s="126">
        <v>27</v>
      </c>
      <c r="B33" s="162" t="s">
        <v>53</v>
      </c>
      <c r="C33" s="685">
        <v>72954000</v>
      </c>
    </row>
    <row r="34" spans="1:3" s="2" customFormat="1">
      <c r="A34" s="126">
        <v>28</v>
      </c>
      <c r="B34" s="65" t="s">
        <v>54</v>
      </c>
      <c r="C34" s="685"/>
    </row>
    <row r="35" spans="1:3" s="2" customFormat="1">
      <c r="A35" s="126">
        <v>29</v>
      </c>
      <c r="B35" s="74" t="s">
        <v>55</v>
      </c>
      <c r="C35" s="684">
        <f>SUM(C36:C40)</f>
        <v>0</v>
      </c>
    </row>
    <row r="36" spans="1:3" s="2" customFormat="1">
      <c r="A36" s="126">
        <v>30</v>
      </c>
      <c r="B36" s="66" t="s">
        <v>56</v>
      </c>
      <c r="C36" s="685"/>
    </row>
    <row r="37" spans="1:3" s="2" customFormat="1">
      <c r="A37" s="126">
        <v>31</v>
      </c>
      <c r="B37" s="67" t="s">
        <v>57</v>
      </c>
      <c r="C37" s="685"/>
    </row>
    <row r="38" spans="1:3" s="2" customFormat="1" ht="25.5">
      <c r="A38" s="126">
        <v>32</v>
      </c>
      <c r="B38" s="66" t="s">
        <v>58</v>
      </c>
      <c r="C38" s="685"/>
    </row>
    <row r="39" spans="1:3" s="2" customFormat="1" ht="25.5">
      <c r="A39" s="126">
        <v>33</v>
      </c>
      <c r="B39" s="66" t="s">
        <v>46</v>
      </c>
      <c r="C39" s="685"/>
    </row>
    <row r="40" spans="1:3" s="2" customFormat="1" ht="25.5">
      <c r="A40" s="126">
        <v>34</v>
      </c>
      <c r="B40" s="68" t="s">
        <v>59</v>
      </c>
      <c r="C40" s="685"/>
    </row>
    <row r="41" spans="1:3" s="2" customFormat="1">
      <c r="A41" s="126">
        <v>35</v>
      </c>
      <c r="B41" s="74" t="s">
        <v>24</v>
      </c>
      <c r="C41" s="684">
        <f>C30-C35</f>
        <v>72954000</v>
      </c>
    </row>
    <row r="42" spans="1:3" s="2" customFormat="1">
      <c r="A42" s="126"/>
      <c r="B42" s="69"/>
      <c r="C42" s="685"/>
    </row>
    <row r="43" spans="1:3" s="2" customFormat="1">
      <c r="A43" s="126">
        <v>36</v>
      </c>
      <c r="B43" s="75" t="s">
        <v>60</v>
      </c>
      <c r="C43" s="684">
        <f>SUM(C44:C46)</f>
        <v>39328136</v>
      </c>
    </row>
    <row r="44" spans="1:3" s="2" customFormat="1">
      <c r="A44" s="126">
        <v>37</v>
      </c>
      <c r="B44" s="65" t="s">
        <v>61</v>
      </c>
      <c r="C44" s="685">
        <v>28641200</v>
      </c>
    </row>
    <row r="45" spans="1:3" s="2" customFormat="1">
      <c r="A45" s="126">
        <v>38</v>
      </c>
      <c r="B45" s="65" t="s">
        <v>62</v>
      </c>
      <c r="C45" s="685"/>
    </row>
    <row r="46" spans="1:3" s="2" customFormat="1">
      <c r="A46" s="126">
        <v>39</v>
      </c>
      <c r="B46" s="65" t="s">
        <v>63</v>
      </c>
      <c r="C46" s="685">
        <v>10686936</v>
      </c>
    </row>
    <row r="47" spans="1:3" s="2" customFormat="1">
      <c r="A47" s="126">
        <v>40</v>
      </c>
      <c r="B47" s="75" t="s">
        <v>64</v>
      </c>
      <c r="C47" s="684">
        <f>SUM(C48:C51)</f>
        <v>0</v>
      </c>
    </row>
    <row r="48" spans="1:3" s="2" customFormat="1">
      <c r="A48" s="126">
        <v>41</v>
      </c>
      <c r="B48" s="66" t="s">
        <v>65</v>
      </c>
      <c r="C48" s="685"/>
    </row>
    <row r="49" spans="1:3" s="2" customFormat="1">
      <c r="A49" s="126">
        <v>42</v>
      </c>
      <c r="B49" s="67" t="s">
        <v>66</v>
      </c>
      <c r="C49" s="685"/>
    </row>
    <row r="50" spans="1:3" s="2" customFormat="1" ht="25.5">
      <c r="A50" s="126">
        <v>43</v>
      </c>
      <c r="B50" s="66" t="s">
        <v>67</v>
      </c>
      <c r="C50" s="685"/>
    </row>
    <row r="51" spans="1:3" s="2" customFormat="1" ht="25.5">
      <c r="A51" s="126">
        <v>44</v>
      </c>
      <c r="B51" s="66" t="s">
        <v>46</v>
      </c>
      <c r="C51" s="685"/>
    </row>
    <row r="52" spans="1:3" s="2" customFormat="1" ht="15.75" thickBot="1">
      <c r="A52" s="127">
        <v>45</v>
      </c>
      <c r="B52" s="128" t="s">
        <v>25</v>
      </c>
      <c r="C52" s="687">
        <f>C43-C47</f>
        <v>39328136</v>
      </c>
    </row>
    <row r="53" spans="1:3">
      <c r="C53" s="680">
        <f>C28+C52+C41</f>
        <v>346535560</v>
      </c>
    </row>
    <row r="55" spans="1:3">
      <c r="B55" s="1" t="s">
        <v>225</v>
      </c>
    </row>
  </sheetData>
  <dataValidations count="1">
    <dataValidation operator="lessThanOrEqual" allowBlank="1" showInputMessage="1" showErrorMessage="1" errorTitle="Should be negative number" error="Should be whole negative number or 0" sqref="C13:C52" xr:uid="{DF152AAB-B22D-4029-A1A6-2BDF69BAEE71}"/>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election activeCell="C15" sqref="C15:C17"/>
    </sheetView>
  </sheetViews>
  <sheetFormatPr defaultColWidth="9.28515625" defaultRowHeight="12.75"/>
  <cols>
    <col min="1" max="1" width="10.7109375" style="1" bestFit="1" customWidth="1"/>
    <col min="2" max="2" width="59" style="1" customWidth="1"/>
    <col min="3" max="3" width="16.7109375" style="1" bestFit="1" customWidth="1"/>
    <col min="4" max="4" width="22.28515625" style="1" customWidth="1"/>
    <col min="5" max="16384" width="9.28515625" style="1"/>
  </cols>
  <sheetData>
    <row r="1" spans="1:4" ht="15">
      <c r="A1" s="14" t="s">
        <v>188</v>
      </c>
      <c r="B1" s="13" t="str">
        <f>Info!C2</f>
        <v>სს "ბანკი ქართუ"</v>
      </c>
    </row>
    <row r="2" spans="1:4" s="14" customFormat="1" ht="15.75" customHeight="1">
      <c r="A2" s="14" t="s">
        <v>189</v>
      </c>
      <c r="B2" s="641">
        <f>'1. key ratios'!B2</f>
        <v>44926</v>
      </c>
    </row>
    <row r="3" spans="1:4" s="14" customFormat="1" ht="15.75" customHeight="1"/>
    <row r="4" spans="1:4" ht="13.5" thickBot="1">
      <c r="A4" s="1" t="s">
        <v>526</v>
      </c>
      <c r="B4" s="297" t="s">
        <v>527</v>
      </c>
    </row>
    <row r="5" spans="1:4" s="60" customFormat="1">
      <c r="A5" s="707" t="s">
        <v>528</v>
      </c>
      <c r="B5" s="708"/>
      <c r="C5" s="287" t="s">
        <v>529</v>
      </c>
      <c r="D5" s="288" t="s">
        <v>530</v>
      </c>
    </row>
    <row r="6" spans="1:4" s="298" customFormat="1">
      <c r="A6" s="289">
        <v>1</v>
      </c>
      <c r="B6" s="290" t="s">
        <v>531</v>
      </c>
      <c r="C6" s="290"/>
      <c r="D6" s="291"/>
    </row>
    <row r="7" spans="1:4" s="298" customFormat="1">
      <c r="A7" s="292" t="s">
        <v>532</v>
      </c>
      <c r="B7" s="293" t="s">
        <v>533</v>
      </c>
      <c r="C7" s="506">
        <v>4.4999999999999998E-2</v>
      </c>
      <c r="D7" s="507">
        <f>C7*'5. RWA'!$C$13</f>
        <v>63211938.578766823</v>
      </c>
    </row>
    <row r="8" spans="1:4" s="298" customFormat="1">
      <c r="A8" s="292" t="s">
        <v>534</v>
      </c>
      <c r="B8" s="293" t="s">
        <v>535</v>
      </c>
      <c r="C8" s="508">
        <v>0.06</v>
      </c>
      <c r="D8" s="507">
        <f>C8*'5. RWA'!$C$13</f>
        <v>84282584.771689087</v>
      </c>
    </row>
    <row r="9" spans="1:4" s="298" customFormat="1">
      <c r="A9" s="292" t="s">
        <v>536</v>
      </c>
      <c r="B9" s="293" t="s">
        <v>537</v>
      </c>
      <c r="C9" s="508">
        <v>0.08</v>
      </c>
      <c r="D9" s="507">
        <f>C9*'5. RWA'!$C$13</f>
        <v>112376779.69558546</v>
      </c>
    </row>
    <row r="10" spans="1:4" s="298" customFormat="1">
      <c r="A10" s="289" t="s">
        <v>538</v>
      </c>
      <c r="B10" s="290" t="s">
        <v>539</v>
      </c>
      <c r="C10" s="335"/>
      <c r="D10" s="509"/>
    </row>
    <row r="11" spans="1:4" s="299" customFormat="1">
      <c r="A11" s="294" t="s">
        <v>540</v>
      </c>
      <c r="B11" s="295" t="s">
        <v>602</v>
      </c>
      <c r="C11" s="510">
        <v>2.5000000000000001E-2</v>
      </c>
      <c r="D11" s="511">
        <f>C11*'5. RWA'!$C$13</f>
        <v>35117743.654870458</v>
      </c>
    </row>
    <row r="12" spans="1:4" s="299" customFormat="1">
      <c r="A12" s="294" t="s">
        <v>541</v>
      </c>
      <c r="B12" s="295" t="s">
        <v>542</v>
      </c>
      <c r="C12" s="510">
        <v>0</v>
      </c>
      <c r="D12" s="511">
        <f>C12*'5. RWA'!$C$13</f>
        <v>0</v>
      </c>
    </row>
    <row r="13" spans="1:4" s="299" customFormat="1">
      <c r="A13" s="294" t="s">
        <v>543</v>
      </c>
      <c r="B13" s="295" t="s">
        <v>544</v>
      </c>
      <c r="C13" s="510"/>
      <c r="D13" s="511">
        <f>C13*'5. RWA'!$C$13</f>
        <v>0</v>
      </c>
    </row>
    <row r="14" spans="1:4" s="298" customFormat="1">
      <c r="A14" s="289" t="s">
        <v>545</v>
      </c>
      <c r="B14" s="290" t="s">
        <v>600</v>
      </c>
      <c r="C14" s="512"/>
      <c r="D14" s="509"/>
    </row>
    <row r="15" spans="1:4" s="298" customFormat="1">
      <c r="A15" s="308" t="s">
        <v>548</v>
      </c>
      <c r="B15" s="295" t="s">
        <v>601</v>
      </c>
      <c r="C15" s="510">
        <v>4.2943145768455704E-2</v>
      </c>
      <c r="D15" s="511">
        <f>C15*'5. RWA'!$C$13</f>
        <v>60322655.393214494</v>
      </c>
    </row>
    <row r="16" spans="1:4" s="298" customFormat="1">
      <c r="A16" s="308" t="s">
        <v>549</v>
      </c>
      <c r="B16" s="295" t="s">
        <v>551</v>
      </c>
      <c r="C16" s="510">
        <v>5.7308621916676038E-2</v>
      </c>
      <c r="D16" s="511">
        <f>C16*'5. RWA'!$C$13</f>
        <v>80501979.7473488</v>
      </c>
    </row>
    <row r="17" spans="1:4" s="298" customFormat="1">
      <c r="A17" s="308" t="s">
        <v>550</v>
      </c>
      <c r="B17" s="295" t="s">
        <v>598</v>
      </c>
      <c r="C17" s="510">
        <v>9.1682302955993486E-2</v>
      </c>
      <c r="D17" s="511">
        <f>C17*'5. RWA'!$C$13</f>
        <v>128787024.51587005</v>
      </c>
    </row>
    <row r="18" spans="1:4" s="60" customFormat="1">
      <c r="A18" s="709" t="s">
        <v>599</v>
      </c>
      <c r="B18" s="710"/>
      <c r="C18" s="335" t="s">
        <v>529</v>
      </c>
      <c r="D18" s="513" t="s">
        <v>530</v>
      </c>
    </row>
    <row r="19" spans="1:4" s="298" customFormat="1">
      <c r="A19" s="296">
        <v>4</v>
      </c>
      <c r="B19" s="295" t="s">
        <v>23</v>
      </c>
      <c r="C19" s="510">
        <f>C7+C11+C12+C13+C15</f>
        <v>0.11294314576845571</v>
      </c>
      <c r="D19" s="507">
        <f>C19*'5. RWA'!$C$13</f>
        <v>158652337.6268518</v>
      </c>
    </row>
    <row r="20" spans="1:4" s="298" customFormat="1">
      <c r="A20" s="296">
        <v>5</v>
      </c>
      <c r="B20" s="295" t="s">
        <v>89</v>
      </c>
      <c r="C20" s="510">
        <f>C8+C11+C12+C13+C16</f>
        <v>0.14230862191667604</v>
      </c>
      <c r="D20" s="507">
        <f>C20*'5. RWA'!$C$13</f>
        <v>199902308.17390835</v>
      </c>
    </row>
    <row r="21" spans="1:4" s="298" customFormat="1" ht="13.5" thickBot="1">
      <c r="A21" s="300" t="s">
        <v>546</v>
      </c>
      <c r="B21" s="301" t="s">
        <v>88</v>
      </c>
      <c r="C21" s="514">
        <f>C9+C11+C12+C13+C17</f>
        <v>0.19668230295599348</v>
      </c>
      <c r="D21" s="515">
        <f>C21*'5. RWA'!$C$13</f>
        <v>276281547.86632597</v>
      </c>
    </row>
    <row r="23" spans="1:4" ht="63.75">
      <c r="B23" s="18" t="s">
        <v>603</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55"/>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C1" sqref="C1:C1048576"/>
    </sheetView>
  </sheetViews>
  <sheetFormatPr defaultRowHeight="15.75"/>
  <cols>
    <col min="1" max="1" width="10.7109375" style="61" customWidth="1"/>
    <col min="2" max="2" width="91.7109375" style="61" customWidth="1"/>
    <col min="3" max="3" width="53.28515625" style="657" customWidth="1"/>
    <col min="4" max="4" width="32.28515625" style="61" customWidth="1"/>
    <col min="5" max="5" width="9.42578125" customWidth="1"/>
    <col min="6" max="6" width="10.5703125" bestFit="1" customWidth="1"/>
  </cols>
  <sheetData>
    <row r="1" spans="1:6">
      <c r="A1" s="14" t="s">
        <v>188</v>
      </c>
      <c r="B1" s="15" t="str">
        <f>Info!C2</f>
        <v>სს "ბანკი ქართუ"</v>
      </c>
      <c r="E1" s="1"/>
      <c r="F1" s="1"/>
    </row>
    <row r="2" spans="1:6" s="14" customFormat="1" ht="15.75" customHeight="1">
      <c r="A2" s="14" t="s">
        <v>189</v>
      </c>
      <c r="B2" s="641">
        <f>'1. key ratios'!B2</f>
        <v>44926</v>
      </c>
      <c r="C2" s="658"/>
    </row>
    <row r="3" spans="1:6" s="14" customFormat="1" ht="15.75" customHeight="1">
      <c r="A3" s="21"/>
      <c r="C3" s="658"/>
    </row>
    <row r="4" spans="1:6" s="14" customFormat="1" ht="15.75" customHeight="1" thickBot="1">
      <c r="A4" s="14" t="s">
        <v>414</v>
      </c>
      <c r="B4" s="184" t="s">
        <v>269</v>
      </c>
      <c r="C4" s="658"/>
      <c r="D4" s="186" t="s">
        <v>93</v>
      </c>
    </row>
    <row r="5" spans="1:6" ht="38.25">
      <c r="A5" s="138" t="s">
        <v>26</v>
      </c>
      <c r="B5" s="139" t="s">
        <v>231</v>
      </c>
      <c r="C5" s="659" t="s">
        <v>237</v>
      </c>
      <c r="D5" s="185" t="s">
        <v>270</v>
      </c>
    </row>
    <row r="6" spans="1:6">
      <c r="A6" s="516">
        <v>1</v>
      </c>
      <c r="B6" s="517" t="s">
        <v>154</v>
      </c>
      <c r="C6" s="660">
        <f>'2. RC'!E7</f>
        <v>27977543</v>
      </c>
      <c r="D6" s="518"/>
      <c r="E6" s="5"/>
      <c r="F6" s="656"/>
    </row>
    <row r="7" spans="1:6">
      <c r="A7" s="516">
        <v>2</v>
      </c>
      <c r="B7" s="76" t="s">
        <v>155</v>
      </c>
      <c r="C7" s="661">
        <f>'2. RC'!E8</f>
        <v>330333988</v>
      </c>
      <c r="D7" s="129"/>
      <c r="E7" s="5"/>
      <c r="F7" s="656"/>
    </row>
    <row r="8" spans="1:6">
      <c r="A8" s="516">
        <v>3</v>
      </c>
      <c r="B8" s="76" t="s">
        <v>156</v>
      </c>
      <c r="C8" s="661">
        <f>'2. RC'!E9</f>
        <v>332159335.99000001</v>
      </c>
      <c r="D8" s="129"/>
      <c r="E8" s="5"/>
      <c r="F8" s="656"/>
    </row>
    <row r="9" spans="1:6">
      <c r="A9" s="516">
        <v>4</v>
      </c>
      <c r="B9" s="76" t="s">
        <v>185</v>
      </c>
      <c r="C9" s="661">
        <f>'2. RC'!E10</f>
        <v>0</v>
      </c>
      <c r="D9" s="129"/>
      <c r="E9" s="5"/>
      <c r="F9" s="656"/>
    </row>
    <row r="10" spans="1:6">
      <c r="A10" s="516">
        <v>5</v>
      </c>
      <c r="B10" s="76" t="s">
        <v>157</v>
      </c>
      <c r="C10" s="661">
        <f>'2. RC'!E11-C11</f>
        <v>36083730</v>
      </c>
      <c r="D10" s="129"/>
      <c r="E10" s="5"/>
      <c r="F10" s="656"/>
    </row>
    <row r="11" spans="1:6">
      <c r="A11" s="516">
        <v>5.0999999999999996</v>
      </c>
      <c r="B11" s="519" t="s">
        <v>976</v>
      </c>
      <c r="C11" s="662">
        <v>-160000</v>
      </c>
      <c r="D11" s="210" t="s">
        <v>977</v>
      </c>
      <c r="E11" s="6"/>
      <c r="F11" s="656"/>
    </row>
    <row r="12" spans="1:6">
      <c r="A12" s="516">
        <v>5.2</v>
      </c>
      <c r="B12" s="520" t="s">
        <v>978</v>
      </c>
      <c r="C12" s="662">
        <f>C10+C11</f>
        <v>35923730</v>
      </c>
      <c r="D12" s="130"/>
      <c r="E12" s="6"/>
      <c r="F12" s="656"/>
    </row>
    <row r="13" spans="1:6">
      <c r="A13" s="516">
        <v>6.1</v>
      </c>
      <c r="B13" s="76" t="s">
        <v>158</v>
      </c>
      <c r="C13" s="663">
        <f>'2. RC'!E12</f>
        <v>760270853</v>
      </c>
      <c r="D13" s="130"/>
      <c r="E13" s="6"/>
      <c r="F13" s="656"/>
    </row>
    <row r="14" spans="1:6">
      <c r="A14" s="516">
        <v>6.2</v>
      </c>
      <c r="B14" s="77" t="s">
        <v>159</v>
      </c>
      <c r="C14" s="663">
        <f>'2. RC'!E13</f>
        <v>-110295388</v>
      </c>
      <c r="D14" s="130"/>
      <c r="E14" s="6"/>
      <c r="F14" s="656"/>
    </row>
    <row r="15" spans="1:6">
      <c r="A15" s="516" t="s">
        <v>487</v>
      </c>
      <c r="B15" s="78" t="s">
        <v>488</v>
      </c>
      <c r="C15" s="663">
        <v>-9624877</v>
      </c>
      <c r="D15" s="210" t="s">
        <v>977</v>
      </c>
      <c r="E15" s="5"/>
      <c r="F15" s="656"/>
    </row>
    <row r="16" spans="1:6">
      <c r="A16" s="516" t="s">
        <v>622</v>
      </c>
      <c r="B16" s="78" t="s">
        <v>611</v>
      </c>
      <c r="C16" s="663">
        <v>0</v>
      </c>
      <c r="D16" s="130"/>
      <c r="E16" s="5"/>
      <c r="F16" s="656"/>
    </row>
    <row r="17" spans="1:6">
      <c r="A17" s="516">
        <v>6</v>
      </c>
      <c r="B17" s="76" t="s">
        <v>160</v>
      </c>
      <c r="C17" s="664">
        <f>C13+C14</f>
        <v>649975465</v>
      </c>
      <c r="D17" s="130"/>
      <c r="E17" s="5"/>
      <c r="F17" s="656"/>
    </row>
    <row r="18" spans="1:6">
      <c r="A18" s="516">
        <v>7</v>
      </c>
      <c r="B18" s="76" t="s">
        <v>161</v>
      </c>
      <c r="C18" s="661">
        <f>'2. RC'!E15</f>
        <v>34477586</v>
      </c>
      <c r="D18" s="129"/>
      <c r="E18" s="5"/>
      <c r="F18" s="656"/>
    </row>
    <row r="19" spans="1:6">
      <c r="A19" s="516">
        <v>8</v>
      </c>
      <c r="B19" s="76" t="s">
        <v>162</v>
      </c>
      <c r="C19" s="661">
        <f>'2. RC'!E16</f>
        <v>22260034</v>
      </c>
      <c r="D19" s="129"/>
      <c r="E19" s="5"/>
      <c r="F19" s="656"/>
    </row>
    <row r="20" spans="1:6">
      <c r="A20" s="516">
        <v>9</v>
      </c>
      <c r="B20" s="76" t="s">
        <v>163</v>
      </c>
      <c r="C20" s="661">
        <f>SUM(C22:C25)</f>
        <v>7800148</v>
      </c>
      <c r="D20" s="129"/>
      <c r="E20" s="5"/>
      <c r="F20" s="656"/>
    </row>
    <row r="21" spans="1:6">
      <c r="A21" s="516">
        <v>9.1</v>
      </c>
      <c r="B21" s="78" t="s">
        <v>246</v>
      </c>
      <c r="C21" s="663"/>
      <c r="D21" s="129"/>
      <c r="E21" s="5"/>
      <c r="F21" s="656"/>
    </row>
    <row r="22" spans="1:6">
      <c r="A22" s="516">
        <v>9.1999999999999993</v>
      </c>
      <c r="B22" s="78" t="s">
        <v>236</v>
      </c>
      <c r="C22" s="663">
        <v>9372300</v>
      </c>
      <c r="D22" s="129"/>
      <c r="E22" s="5"/>
      <c r="F22" s="656"/>
    </row>
    <row r="23" spans="1:6">
      <c r="A23" s="516">
        <v>9.3000000000000007</v>
      </c>
      <c r="B23" s="519" t="s">
        <v>979</v>
      </c>
      <c r="C23" s="665">
        <v>-1634921</v>
      </c>
      <c r="D23" s="129"/>
      <c r="E23" s="5"/>
      <c r="F23" s="656"/>
    </row>
    <row r="24" spans="1:6">
      <c r="A24" s="516">
        <v>9.4</v>
      </c>
      <c r="B24" s="78" t="s">
        <v>235</v>
      </c>
      <c r="C24" s="663">
        <v>64050</v>
      </c>
      <c r="D24" s="129"/>
      <c r="E24" s="5"/>
      <c r="F24" s="656"/>
    </row>
    <row r="25" spans="1:6">
      <c r="A25" s="516">
        <v>9.5</v>
      </c>
      <c r="B25" s="519" t="s">
        <v>980</v>
      </c>
      <c r="C25" s="665">
        <v>-1281</v>
      </c>
      <c r="D25" s="210" t="s">
        <v>977</v>
      </c>
      <c r="E25" s="4"/>
      <c r="F25" s="656"/>
    </row>
    <row r="26" spans="1:6">
      <c r="A26" s="516">
        <v>10</v>
      </c>
      <c r="B26" s="76" t="s">
        <v>164</v>
      </c>
      <c r="C26" s="661">
        <f>'2. RC'!E18</f>
        <v>22426868</v>
      </c>
      <c r="D26" s="129"/>
      <c r="E26" s="5"/>
      <c r="F26" s="656"/>
    </row>
    <row r="27" spans="1:6">
      <c r="A27" s="516">
        <v>10.1</v>
      </c>
      <c r="B27" s="78" t="s">
        <v>234</v>
      </c>
      <c r="C27" s="661">
        <f>'9. Capital'!C15</f>
        <v>5439743</v>
      </c>
      <c r="D27" s="210" t="s">
        <v>440</v>
      </c>
      <c r="E27" s="5"/>
      <c r="F27" s="656"/>
    </row>
    <row r="28" spans="1:6">
      <c r="A28" s="516">
        <v>11</v>
      </c>
      <c r="B28" s="79" t="s">
        <v>165</v>
      </c>
      <c r="C28" s="666">
        <f>'2. RC'!E19-C30-C31</f>
        <v>22193299.009999998</v>
      </c>
      <c r="D28" s="131"/>
      <c r="E28" s="5"/>
      <c r="F28" s="656"/>
    </row>
    <row r="29" spans="1:6">
      <c r="A29" s="516">
        <v>11.1</v>
      </c>
      <c r="B29" s="521" t="s">
        <v>981</v>
      </c>
      <c r="C29" s="667">
        <f>'9. Capital'!C20</f>
        <v>0</v>
      </c>
      <c r="D29" s="210" t="s">
        <v>982</v>
      </c>
      <c r="E29" s="5"/>
      <c r="F29" s="656"/>
    </row>
    <row r="30" spans="1:6">
      <c r="A30" s="516">
        <v>11.2</v>
      </c>
      <c r="B30" s="519" t="s">
        <v>983</v>
      </c>
      <c r="C30" s="665">
        <v>0</v>
      </c>
      <c r="D30" s="210" t="s">
        <v>977</v>
      </c>
      <c r="E30" s="5"/>
      <c r="F30" s="656"/>
    </row>
    <row r="31" spans="1:6">
      <c r="A31" s="516">
        <v>11.3</v>
      </c>
      <c r="B31" s="519" t="s">
        <v>984</v>
      </c>
      <c r="C31" s="665">
        <v>-1002805</v>
      </c>
      <c r="D31" s="129"/>
      <c r="E31" s="5"/>
      <c r="F31" s="656"/>
    </row>
    <row r="32" spans="1:6">
      <c r="A32" s="516"/>
      <c r="B32" s="79" t="s">
        <v>985</v>
      </c>
      <c r="C32" s="668">
        <f>SUM(C28,C30:C31)</f>
        <v>21190494.009999998</v>
      </c>
      <c r="D32" s="134"/>
      <c r="E32" s="5"/>
      <c r="F32" s="656"/>
    </row>
    <row r="33" spans="1:6">
      <c r="A33" s="516">
        <v>12</v>
      </c>
      <c r="B33" s="81" t="s">
        <v>166</v>
      </c>
      <c r="C33" s="669">
        <f>SUM(C6:C9,C12,C17:C20,C26,C32)</f>
        <v>1484525192</v>
      </c>
      <c r="D33" s="132"/>
      <c r="E33" s="5"/>
      <c r="F33" s="656"/>
    </row>
    <row r="34" spans="1:6">
      <c r="A34" s="516">
        <v>13</v>
      </c>
      <c r="B34" s="76" t="s">
        <v>167</v>
      </c>
      <c r="C34" s="670">
        <f>'2. RC'!E22</f>
        <v>139116</v>
      </c>
      <c r="D34" s="133"/>
      <c r="E34" s="5"/>
      <c r="F34" s="656"/>
    </row>
    <row r="35" spans="1:6">
      <c r="A35" s="516">
        <v>14</v>
      </c>
      <c r="B35" s="76" t="s">
        <v>168</v>
      </c>
      <c r="C35" s="661">
        <f>'2. RC'!E23</f>
        <v>616133565</v>
      </c>
      <c r="D35" s="129"/>
      <c r="E35" s="5"/>
      <c r="F35" s="656"/>
    </row>
    <row r="36" spans="1:6">
      <c r="A36" s="516">
        <v>15</v>
      </c>
      <c r="B36" s="76" t="s">
        <v>169</v>
      </c>
      <c r="C36" s="661">
        <f>'2. RC'!E24</f>
        <v>68391460</v>
      </c>
      <c r="D36" s="129"/>
      <c r="E36" s="5"/>
      <c r="F36" s="656"/>
    </row>
    <row r="37" spans="1:6">
      <c r="A37" s="516">
        <v>16</v>
      </c>
      <c r="B37" s="76" t="s">
        <v>170</v>
      </c>
      <c r="C37" s="661">
        <f>'2. RC'!E25</f>
        <v>415798157</v>
      </c>
      <c r="D37" s="129"/>
      <c r="E37" s="4"/>
      <c r="F37" s="656"/>
    </row>
    <row r="38" spans="1:6">
      <c r="A38" s="516">
        <v>17</v>
      </c>
      <c r="B38" s="76" t="s">
        <v>171</v>
      </c>
      <c r="C38" s="661">
        <f>'2. RC'!E26</f>
        <v>0</v>
      </c>
      <c r="D38" s="129"/>
      <c r="E38" s="5"/>
      <c r="F38" s="656"/>
    </row>
    <row r="39" spans="1:6">
      <c r="A39" s="516">
        <v>18</v>
      </c>
      <c r="B39" s="76" t="s">
        <v>172</v>
      </c>
      <c r="C39" s="661">
        <f>'2. RC'!E27</f>
        <v>0</v>
      </c>
      <c r="D39" s="129"/>
      <c r="E39" s="5"/>
      <c r="F39" s="656"/>
    </row>
    <row r="40" spans="1:6">
      <c r="A40" s="516">
        <v>19</v>
      </c>
      <c r="B40" s="76" t="s">
        <v>173</v>
      </c>
      <c r="C40" s="661">
        <f>'2. RC'!E28</f>
        <v>15098687</v>
      </c>
      <c r="D40" s="129"/>
      <c r="E40" s="5"/>
      <c r="F40" s="656"/>
    </row>
    <row r="41" spans="1:6">
      <c r="A41" s="516">
        <v>20</v>
      </c>
      <c r="B41" s="76" t="s">
        <v>95</v>
      </c>
      <c r="C41" s="661">
        <f>'2. RC'!E29</f>
        <v>23893040</v>
      </c>
      <c r="D41" s="129"/>
      <c r="E41" s="5"/>
      <c r="F41" s="656"/>
    </row>
    <row r="42" spans="1:6">
      <c r="A42" s="516">
        <v>20.100000000000001</v>
      </c>
      <c r="B42" s="80" t="s">
        <v>486</v>
      </c>
      <c r="C42" s="666">
        <v>900778</v>
      </c>
      <c r="D42" s="210" t="s">
        <v>977</v>
      </c>
      <c r="E42" s="5"/>
      <c r="F42" s="656"/>
    </row>
    <row r="43" spans="1:6">
      <c r="A43" s="516">
        <v>21</v>
      </c>
      <c r="B43" s="79" t="s">
        <v>174</v>
      </c>
      <c r="C43" s="666">
        <f>'2. RC'!E30</f>
        <v>105378000</v>
      </c>
      <c r="D43" s="129"/>
      <c r="E43" s="5"/>
      <c r="F43" s="656"/>
    </row>
    <row r="44" spans="1:6">
      <c r="A44" s="516">
        <v>21.1</v>
      </c>
      <c r="B44" s="80" t="s">
        <v>233</v>
      </c>
      <c r="C44" s="671">
        <f>C43-'9. Capital'!C33</f>
        <v>32424000</v>
      </c>
      <c r="D44" s="210" t="s">
        <v>986</v>
      </c>
      <c r="E44" s="5"/>
      <c r="F44" s="656"/>
    </row>
    <row r="45" spans="1:6">
      <c r="A45" s="516">
        <v>22</v>
      </c>
      <c r="B45" s="81" t="s">
        <v>175</v>
      </c>
      <c r="C45" s="669">
        <f>SUM(C34:C41,C43)</f>
        <v>1244832025</v>
      </c>
      <c r="D45" s="132"/>
      <c r="E45" s="4"/>
      <c r="F45" s="656"/>
    </row>
    <row r="46" spans="1:6">
      <c r="A46" s="516">
        <v>23</v>
      </c>
      <c r="B46" s="79" t="s">
        <v>176</v>
      </c>
      <c r="C46" s="661">
        <f>'2. RC'!E33</f>
        <v>114430000</v>
      </c>
      <c r="D46" s="210" t="s">
        <v>987</v>
      </c>
      <c r="F46" s="656"/>
    </row>
    <row r="47" spans="1:6">
      <c r="A47" s="516">
        <v>24</v>
      </c>
      <c r="B47" s="79" t="s">
        <v>177</v>
      </c>
      <c r="C47" s="661">
        <f>'2. RC'!E34</f>
        <v>0</v>
      </c>
      <c r="D47" s="129"/>
      <c r="F47" s="656"/>
    </row>
    <row r="48" spans="1:6">
      <c r="A48" s="516">
        <v>25</v>
      </c>
      <c r="B48" s="79" t="s">
        <v>232</v>
      </c>
      <c r="C48" s="661">
        <f>'2. RC'!E35</f>
        <v>0</v>
      </c>
      <c r="D48" s="129"/>
      <c r="F48" s="656"/>
    </row>
    <row r="49" spans="1:6">
      <c r="A49" s="516">
        <v>26</v>
      </c>
      <c r="B49" s="79" t="s">
        <v>179</v>
      </c>
      <c r="C49" s="661">
        <f>'2. RC'!E36</f>
        <v>0</v>
      </c>
      <c r="D49" s="129"/>
      <c r="F49" s="656"/>
    </row>
    <row r="50" spans="1:6">
      <c r="A50" s="516">
        <v>27</v>
      </c>
      <c r="B50" s="79" t="s">
        <v>180</v>
      </c>
      <c r="C50" s="661">
        <f>'2. RC'!E37</f>
        <v>7438034</v>
      </c>
      <c r="D50" s="129"/>
      <c r="F50" s="656"/>
    </row>
    <row r="51" spans="1:6">
      <c r="A51" s="516">
        <v>27.1</v>
      </c>
      <c r="B51" s="521" t="s">
        <v>988</v>
      </c>
      <c r="C51" s="665">
        <v>6838034</v>
      </c>
      <c r="D51" s="210" t="s">
        <v>989</v>
      </c>
      <c r="F51" s="656"/>
    </row>
    <row r="52" spans="1:6">
      <c r="A52" s="516">
        <v>27.2</v>
      </c>
      <c r="B52" s="521" t="s">
        <v>990</v>
      </c>
      <c r="C52" s="665">
        <v>600000</v>
      </c>
      <c r="D52" s="210" t="s">
        <v>989</v>
      </c>
      <c r="F52" s="656"/>
    </row>
    <row r="53" spans="1:6">
      <c r="A53" s="516">
        <v>28</v>
      </c>
      <c r="B53" s="79" t="s">
        <v>181</v>
      </c>
      <c r="C53" s="661">
        <f>'2. RC'!E38</f>
        <v>117794403</v>
      </c>
      <c r="D53" s="210" t="s">
        <v>991</v>
      </c>
      <c r="F53" s="656"/>
    </row>
    <row r="54" spans="1:6">
      <c r="A54" s="516">
        <v>29</v>
      </c>
      <c r="B54" s="79" t="s">
        <v>35</v>
      </c>
      <c r="C54" s="661">
        <f>'2. RC'!E39</f>
        <v>30730</v>
      </c>
      <c r="D54" s="210" t="s">
        <v>1047</v>
      </c>
      <c r="F54" s="656"/>
    </row>
    <row r="55" spans="1:6" ht="16.5" thickBot="1">
      <c r="A55" s="135">
        <v>30</v>
      </c>
      <c r="B55" s="136" t="s">
        <v>182</v>
      </c>
      <c r="C55" s="672">
        <f>SUM(C46:C50,C53:C54)</f>
        <v>239693167</v>
      </c>
      <c r="D55" s="137"/>
      <c r="F55" s="65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Normal="100" workbookViewId="0">
      <pane xSplit="2" ySplit="7" topLeftCell="C8" activePane="bottomRight" state="frozen"/>
      <selection activeCell="B2" sqref="B2"/>
      <selection pane="topRight" activeCell="B2" sqref="B2"/>
      <selection pane="bottomLeft" activeCell="B2" sqref="B2"/>
      <selection pane="bottomRight" activeCell="C8" sqref="C8:R21"/>
    </sheetView>
  </sheetViews>
  <sheetFormatPr defaultColWidth="9.28515625" defaultRowHeight="12.75"/>
  <cols>
    <col min="1" max="1" width="10.5703125" style="1" bestFit="1" customWidth="1"/>
    <col min="2" max="2" width="95" style="1" customWidth="1"/>
    <col min="3" max="12" width="12.140625" style="1" customWidth="1"/>
    <col min="13" max="13" width="13.7109375" style="1" customWidth="1"/>
    <col min="14" max="18" width="12.140625" style="1" customWidth="1"/>
    <col min="19" max="19" width="26" style="1" customWidth="1"/>
    <col min="20" max="16384" width="9.28515625" style="9"/>
  </cols>
  <sheetData>
    <row r="1" spans="1:19">
      <c r="A1" s="1" t="s">
        <v>188</v>
      </c>
      <c r="B1" s="1" t="str">
        <f>Info!C2</f>
        <v>სს "ბანკი ქართუ"</v>
      </c>
    </row>
    <row r="2" spans="1:19">
      <c r="A2" s="1" t="s">
        <v>189</v>
      </c>
      <c r="B2" s="641">
        <f>'1. key ratios'!B2</f>
        <v>44926</v>
      </c>
    </row>
    <row r="4" spans="1:19" ht="26.25" thickBot="1">
      <c r="A4" s="60" t="s">
        <v>415</v>
      </c>
      <c r="B4" s="240" t="s">
        <v>457</v>
      </c>
    </row>
    <row r="5" spans="1:19">
      <c r="A5" s="119"/>
      <c r="B5" s="121"/>
      <c r="C5" s="105" t="s">
        <v>0</v>
      </c>
      <c r="D5" s="105" t="s">
        <v>1</v>
      </c>
      <c r="E5" s="105" t="s">
        <v>2</v>
      </c>
      <c r="F5" s="105" t="s">
        <v>3</v>
      </c>
      <c r="G5" s="105" t="s">
        <v>4</v>
      </c>
      <c r="H5" s="105" t="s">
        <v>5</v>
      </c>
      <c r="I5" s="105" t="s">
        <v>238</v>
      </c>
      <c r="J5" s="105" t="s">
        <v>239</v>
      </c>
      <c r="K5" s="105" t="s">
        <v>240</v>
      </c>
      <c r="L5" s="105" t="s">
        <v>241</v>
      </c>
      <c r="M5" s="105" t="s">
        <v>242</v>
      </c>
      <c r="N5" s="105" t="s">
        <v>243</v>
      </c>
      <c r="O5" s="105" t="s">
        <v>444</v>
      </c>
      <c r="P5" s="105" t="s">
        <v>445</v>
      </c>
      <c r="Q5" s="105" t="s">
        <v>446</v>
      </c>
      <c r="R5" s="235" t="s">
        <v>447</v>
      </c>
      <c r="S5" s="106" t="s">
        <v>448</v>
      </c>
    </row>
    <row r="6" spans="1:19" ht="46.5" customHeight="1">
      <c r="A6" s="140"/>
      <c r="B6" s="715" t="s">
        <v>449</v>
      </c>
      <c r="C6" s="713">
        <v>0</v>
      </c>
      <c r="D6" s="714"/>
      <c r="E6" s="713">
        <v>0.2</v>
      </c>
      <c r="F6" s="714"/>
      <c r="G6" s="713">
        <v>0.35</v>
      </c>
      <c r="H6" s="714"/>
      <c r="I6" s="713">
        <v>0.5</v>
      </c>
      <c r="J6" s="714"/>
      <c r="K6" s="713">
        <v>0.75</v>
      </c>
      <c r="L6" s="714"/>
      <c r="M6" s="713">
        <v>1</v>
      </c>
      <c r="N6" s="714"/>
      <c r="O6" s="713">
        <v>1.5</v>
      </c>
      <c r="P6" s="714"/>
      <c r="Q6" s="713">
        <v>2.5</v>
      </c>
      <c r="R6" s="714"/>
      <c r="S6" s="711" t="s">
        <v>251</v>
      </c>
    </row>
    <row r="7" spans="1:19">
      <c r="A7" s="140"/>
      <c r="B7" s="716"/>
      <c r="C7" s="239" t="s">
        <v>442</v>
      </c>
      <c r="D7" s="239" t="s">
        <v>443</v>
      </c>
      <c r="E7" s="239" t="s">
        <v>442</v>
      </c>
      <c r="F7" s="239" t="s">
        <v>443</v>
      </c>
      <c r="G7" s="239" t="s">
        <v>442</v>
      </c>
      <c r="H7" s="239" t="s">
        <v>443</v>
      </c>
      <c r="I7" s="239" t="s">
        <v>442</v>
      </c>
      <c r="J7" s="239" t="s">
        <v>443</v>
      </c>
      <c r="K7" s="239" t="s">
        <v>442</v>
      </c>
      <c r="L7" s="239" t="s">
        <v>443</v>
      </c>
      <c r="M7" s="239" t="s">
        <v>442</v>
      </c>
      <c r="N7" s="239" t="s">
        <v>443</v>
      </c>
      <c r="O7" s="239" t="s">
        <v>442</v>
      </c>
      <c r="P7" s="239" t="s">
        <v>443</v>
      </c>
      <c r="Q7" s="239" t="s">
        <v>442</v>
      </c>
      <c r="R7" s="239" t="s">
        <v>443</v>
      </c>
      <c r="S7" s="712"/>
    </row>
    <row r="8" spans="1:19">
      <c r="A8" s="109">
        <v>1</v>
      </c>
      <c r="B8" s="161" t="s">
        <v>216</v>
      </c>
      <c r="C8" s="522">
        <v>37318821</v>
      </c>
      <c r="D8" s="522"/>
      <c r="E8" s="522"/>
      <c r="F8" s="523"/>
      <c r="G8" s="522"/>
      <c r="H8" s="522"/>
      <c r="I8" s="522"/>
      <c r="J8" s="522"/>
      <c r="K8" s="522"/>
      <c r="L8" s="522"/>
      <c r="M8" s="522">
        <v>322013178</v>
      </c>
      <c r="N8" s="522"/>
      <c r="O8" s="522"/>
      <c r="P8" s="522"/>
      <c r="Q8" s="522"/>
      <c r="R8" s="523"/>
      <c r="S8" s="524">
        <f>$C$6*SUM(C8:D8)+$E$6*SUM(E8:F8)+$G$6*SUM(G8:H8)+$I$6*SUM(I8:J8)+$K$6*SUM(K8:L8)+$M$6*SUM(M8:N8)+$O$6*SUM(O8:P8)+$Q$6*SUM(Q8:R8)</f>
        <v>322013178</v>
      </c>
    </row>
    <row r="9" spans="1:19">
      <c r="A9" s="109">
        <v>2</v>
      </c>
      <c r="B9" s="161" t="s">
        <v>217</v>
      </c>
      <c r="C9" s="522"/>
      <c r="D9" s="522"/>
      <c r="E9" s="522"/>
      <c r="F9" s="522"/>
      <c r="G9" s="522"/>
      <c r="H9" s="522"/>
      <c r="I9" s="522"/>
      <c r="J9" s="522"/>
      <c r="K9" s="522"/>
      <c r="L9" s="522"/>
      <c r="M9" s="522">
        <v>0</v>
      </c>
      <c r="N9" s="522"/>
      <c r="O9" s="522"/>
      <c r="P9" s="522"/>
      <c r="Q9" s="522"/>
      <c r="R9" s="523"/>
      <c r="S9" s="524">
        <f t="shared" ref="S9:S21" si="0">$C$6*SUM(C9:D9)+$E$6*SUM(E9:F9)+$G$6*SUM(G9:H9)+$I$6*SUM(I9:J9)+$K$6*SUM(K9:L9)+$M$6*SUM(M9:N9)+$O$6*SUM(O9:P9)+$Q$6*SUM(Q9:R9)</f>
        <v>0</v>
      </c>
    </row>
    <row r="10" spans="1:19">
      <c r="A10" s="109">
        <v>3</v>
      </c>
      <c r="B10" s="161" t="s">
        <v>218</v>
      </c>
      <c r="C10" s="522"/>
      <c r="D10" s="522"/>
      <c r="E10" s="522"/>
      <c r="F10" s="522"/>
      <c r="G10" s="522"/>
      <c r="H10" s="522"/>
      <c r="I10" s="522"/>
      <c r="J10" s="522"/>
      <c r="K10" s="522"/>
      <c r="L10" s="522"/>
      <c r="M10" s="522">
        <v>0</v>
      </c>
      <c r="N10" s="522"/>
      <c r="O10" s="522"/>
      <c r="P10" s="522"/>
      <c r="Q10" s="522"/>
      <c r="R10" s="523"/>
      <c r="S10" s="524">
        <f t="shared" si="0"/>
        <v>0</v>
      </c>
    </row>
    <row r="11" spans="1:19">
      <c r="A11" s="109">
        <v>4</v>
      </c>
      <c r="B11" s="161" t="s">
        <v>219</v>
      </c>
      <c r="C11" s="522"/>
      <c r="D11" s="522"/>
      <c r="E11" s="522"/>
      <c r="F11" s="522"/>
      <c r="G11" s="522"/>
      <c r="H11" s="522"/>
      <c r="I11" s="522"/>
      <c r="J11" s="522"/>
      <c r="K11" s="522"/>
      <c r="L11" s="522"/>
      <c r="M11" s="522">
        <v>0</v>
      </c>
      <c r="N11" s="522"/>
      <c r="O11" s="522"/>
      <c r="P11" s="522"/>
      <c r="Q11" s="522"/>
      <c r="R11" s="523"/>
      <c r="S11" s="524">
        <f t="shared" si="0"/>
        <v>0</v>
      </c>
    </row>
    <row r="12" spans="1:19">
      <c r="A12" s="109">
        <v>5</v>
      </c>
      <c r="B12" s="161" t="s">
        <v>220</v>
      </c>
      <c r="C12" s="522"/>
      <c r="D12" s="522"/>
      <c r="E12" s="522"/>
      <c r="F12" s="522"/>
      <c r="G12" s="522"/>
      <c r="H12" s="522"/>
      <c r="I12" s="522"/>
      <c r="J12" s="522"/>
      <c r="K12" s="522"/>
      <c r="L12" s="522"/>
      <c r="M12" s="522">
        <v>0</v>
      </c>
      <c r="N12" s="522"/>
      <c r="O12" s="522"/>
      <c r="P12" s="522"/>
      <c r="Q12" s="522"/>
      <c r="R12" s="523"/>
      <c r="S12" s="524">
        <f t="shared" si="0"/>
        <v>0</v>
      </c>
    </row>
    <row r="13" spans="1:19">
      <c r="A13" s="109">
        <v>6</v>
      </c>
      <c r="B13" s="161" t="s">
        <v>221</v>
      </c>
      <c r="C13" s="522">
        <v>0</v>
      </c>
      <c r="D13" s="522"/>
      <c r="E13" s="522">
        <v>89674783.890000001</v>
      </c>
      <c r="F13" s="522"/>
      <c r="G13" s="522"/>
      <c r="H13" s="522"/>
      <c r="I13" s="522">
        <v>242371256.69999996</v>
      </c>
      <c r="J13" s="522"/>
      <c r="K13" s="522"/>
      <c r="L13" s="522"/>
      <c r="M13" s="522">
        <v>132884.40000006557</v>
      </c>
      <c r="N13" s="522"/>
      <c r="O13" s="522"/>
      <c r="P13" s="522"/>
      <c r="Q13" s="522"/>
      <c r="R13" s="523"/>
      <c r="S13" s="524">
        <f t="shared" si="0"/>
        <v>139253469.52800006</v>
      </c>
    </row>
    <row r="14" spans="1:19">
      <c r="A14" s="109">
        <v>7</v>
      </c>
      <c r="B14" s="161" t="s">
        <v>73</v>
      </c>
      <c r="C14" s="522"/>
      <c r="D14" s="522"/>
      <c r="E14" s="522"/>
      <c r="F14" s="522"/>
      <c r="G14" s="522"/>
      <c r="H14" s="522"/>
      <c r="I14" s="522"/>
      <c r="J14" s="522"/>
      <c r="K14" s="522"/>
      <c r="L14" s="522"/>
      <c r="M14" s="522">
        <v>617858544.42271185</v>
      </c>
      <c r="N14" s="522">
        <v>41161450.590130076</v>
      </c>
      <c r="O14" s="522">
        <v>0</v>
      </c>
      <c r="P14" s="522"/>
      <c r="Q14" s="522">
        <v>0</v>
      </c>
      <c r="R14" s="523">
        <v>0</v>
      </c>
      <c r="S14" s="524">
        <f t="shared" si="0"/>
        <v>659019995.01284194</v>
      </c>
    </row>
    <row r="15" spans="1:19">
      <c r="A15" s="109">
        <v>8</v>
      </c>
      <c r="B15" s="161" t="s">
        <v>74</v>
      </c>
      <c r="C15" s="522"/>
      <c r="D15" s="522"/>
      <c r="E15" s="522"/>
      <c r="F15" s="522"/>
      <c r="G15" s="522"/>
      <c r="H15" s="522"/>
      <c r="I15" s="522"/>
      <c r="J15" s="522"/>
      <c r="K15" s="522"/>
      <c r="L15" s="522"/>
      <c r="M15" s="522"/>
      <c r="N15" s="522"/>
      <c r="O15" s="522"/>
      <c r="P15" s="522"/>
      <c r="Q15" s="522"/>
      <c r="R15" s="523"/>
      <c r="S15" s="524">
        <f t="shared" si="0"/>
        <v>0</v>
      </c>
    </row>
    <row r="16" spans="1:19">
      <c r="A16" s="109">
        <v>9</v>
      </c>
      <c r="B16" s="161" t="s">
        <v>75</v>
      </c>
      <c r="C16" s="522"/>
      <c r="D16" s="522"/>
      <c r="E16" s="522"/>
      <c r="F16" s="522"/>
      <c r="G16" s="522"/>
      <c r="H16" s="522"/>
      <c r="I16" s="522"/>
      <c r="J16" s="522"/>
      <c r="K16" s="522"/>
      <c r="L16" s="522"/>
      <c r="M16" s="522">
        <v>0</v>
      </c>
      <c r="N16" s="522"/>
      <c r="O16" s="522"/>
      <c r="P16" s="522"/>
      <c r="Q16" s="522"/>
      <c r="R16" s="523"/>
      <c r="S16" s="524">
        <f t="shared" si="0"/>
        <v>0</v>
      </c>
    </row>
    <row r="17" spans="1:19">
      <c r="A17" s="109">
        <v>10</v>
      </c>
      <c r="B17" s="161" t="s">
        <v>69</v>
      </c>
      <c r="C17" s="522"/>
      <c r="D17" s="522"/>
      <c r="E17" s="522"/>
      <c r="F17" s="522"/>
      <c r="G17" s="522"/>
      <c r="H17" s="522"/>
      <c r="I17" s="522"/>
      <c r="J17" s="522"/>
      <c r="K17" s="522"/>
      <c r="L17" s="522"/>
      <c r="M17" s="522">
        <v>68625059.984729007</v>
      </c>
      <c r="N17" s="522">
        <v>118598.60000000894</v>
      </c>
      <c r="O17" s="522">
        <v>0</v>
      </c>
      <c r="P17" s="522"/>
      <c r="Q17" s="522">
        <v>0</v>
      </c>
      <c r="R17" s="523"/>
      <c r="S17" s="524">
        <f t="shared" si="0"/>
        <v>68743658.584729016</v>
      </c>
    </row>
    <row r="18" spans="1:19">
      <c r="A18" s="109">
        <v>11</v>
      </c>
      <c r="B18" s="161" t="s">
        <v>70</v>
      </c>
      <c r="C18" s="522"/>
      <c r="D18" s="522"/>
      <c r="E18" s="522"/>
      <c r="F18" s="522"/>
      <c r="G18" s="522"/>
      <c r="H18" s="522"/>
      <c r="I18" s="522"/>
      <c r="J18" s="522"/>
      <c r="K18" s="522"/>
      <c r="L18" s="522"/>
      <c r="M18" s="522">
        <v>0</v>
      </c>
      <c r="N18" s="522"/>
      <c r="O18" s="522"/>
      <c r="P18" s="522"/>
      <c r="Q18" s="522"/>
      <c r="R18" s="523"/>
      <c r="S18" s="524">
        <f t="shared" si="0"/>
        <v>0</v>
      </c>
    </row>
    <row r="19" spans="1:19">
      <c r="A19" s="109">
        <v>12</v>
      </c>
      <c r="B19" s="161" t="s">
        <v>71</v>
      </c>
      <c r="C19" s="522"/>
      <c r="D19" s="522"/>
      <c r="E19" s="522"/>
      <c r="F19" s="522"/>
      <c r="G19" s="522"/>
      <c r="H19" s="522"/>
      <c r="I19" s="522"/>
      <c r="J19" s="522"/>
      <c r="K19" s="522"/>
      <c r="L19" s="522"/>
      <c r="M19" s="522">
        <v>0</v>
      </c>
      <c r="N19" s="522"/>
      <c r="O19" s="522"/>
      <c r="P19" s="522"/>
      <c r="Q19" s="522"/>
      <c r="R19" s="523"/>
      <c r="S19" s="524">
        <f t="shared" si="0"/>
        <v>0</v>
      </c>
    </row>
    <row r="20" spans="1:19">
      <c r="A20" s="109">
        <v>13</v>
      </c>
      <c r="B20" s="161" t="s">
        <v>72</v>
      </c>
      <c r="C20" s="522"/>
      <c r="D20" s="522"/>
      <c r="E20" s="522"/>
      <c r="F20" s="522"/>
      <c r="G20" s="522"/>
      <c r="H20" s="522"/>
      <c r="I20" s="522"/>
      <c r="J20" s="522"/>
      <c r="K20" s="522"/>
      <c r="L20" s="522"/>
      <c r="M20" s="522">
        <v>0</v>
      </c>
      <c r="N20" s="522"/>
      <c r="O20" s="522"/>
      <c r="P20" s="522"/>
      <c r="Q20" s="522"/>
      <c r="R20" s="523"/>
      <c r="S20" s="524">
        <f t="shared" si="0"/>
        <v>0</v>
      </c>
    </row>
    <row r="21" spans="1:19">
      <c r="A21" s="109">
        <v>14</v>
      </c>
      <c r="B21" s="161" t="s">
        <v>249</v>
      </c>
      <c r="C21" s="522">
        <v>29556447</v>
      </c>
      <c r="D21" s="522"/>
      <c r="E21" s="522">
        <v>0</v>
      </c>
      <c r="F21" s="522"/>
      <c r="G21" s="522"/>
      <c r="H21" s="522">
        <v>0</v>
      </c>
      <c r="I21" s="522">
        <v>0</v>
      </c>
      <c r="J21" s="522"/>
      <c r="K21" s="522"/>
      <c r="L21" s="522"/>
      <c r="M21" s="522">
        <v>63840506.664607525</v>
      </c>
      <c r="N21" s="522">
        <v>2020447.2886499986</v>
      </c>
      <c r="O21" s="522">
        <v>0</v>
      </c>
      <c r="P21" s="522"/>
      <c r="Q21" s="522">
        <v>22117567.047144476</v>
      </c>
      <c r="R21" s="523"/>
      <c r="S21" s="524">
        <f t="shared" si="0"/>
        <v>121154871.57111871</v>
      </c>
    </row>
    <row r="22" spans="1:19" ht="13.5" thickBot="1">
      <c r="A22" s="92"/>
      <c r="B22" s="145" t="s">
        <v>68</v>
      </c>
      <c r="C22" s="223">
        <f>SUM(C8:C21)</f>
        <v>66875268</v>
      </c>
      <c r="D22" s="223">
        <f t="shared" ref="D22:S22" si="1">SUM(D8:D21)</f>
        <v>0</v>
      </c>
      <c r="E22" s="223">
        <f t="shared" si="1"/>
        <v>89674783.890000001</v>
      </c>
      <c r="F22" s="223">
        <f t="shared" si="1"/>
        <v>0</v>
      </c>
      <c r="G22" s="223">
        <f t="shared" si="1"/>
        <v>0</v>
      </c>
      <c r="H22" s="223">
        <f t="shared" si="1"/>
        <v>0</v>
      </c>
      <c r="I22" s="223">
        <f t="shared" si="1"/>
        <v>242371256.69999996</v>
      </c>
      <c r="J22" s="223">
        <f t="shared" si="1"/>
        <v>0</v>
      </c>
      <c r="K22" s="223">
        <f t="shared" si="1"/>
        <v>0</v>
      </c>
      <c r="L22" s="223">
        <f t="shared" si="1"/>
        <v>0</v>
      </c>
      <c r="M22" s="223">
        <f t="shared" si="1"/>
        <v>1072470173.4720485</v>
      </c>
      <c r="N22" s="223">
        <f t="shared" si="1"/>
        <v>43300496.478780083</v>
      </c>
      <c r="O22" s="223">
        <f t="shared" si="1"/>
        <v>0</v>
      </c>
      <c r="P22" s="223">
        <f t="shared" si="1"/>
        <v>0</v>
      </c>
      <c r="Q22" s="223">
        <f t="shared" si="1"/>
        <v>22117567.047144476</v>
      </c>
      <c r="R22" s="223">
        <f t="shared" si="1"/>
        <v>0</v>
      </c>
      <c r="S22" s="525">
        <f t="shared" si="1"/>
        <v>1310185172.6966896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R9" activePane="bottomRight" state="frozen"/>
      <selection activeCell="B2" sqref="B2"/>
      <selection pane="topRight" activeCell="B2" sqref="B2"/>
      <selection pane="bottomLeft" activeCell="B2" sqref="B2"/>
      <selection pane="bottomRight" activeCell="C7" sqref="C7:U20"/>
    </sheetView>
  </sheetViews>
  <sheetFormatPr defaultColWidth="9.28515625" defaultRowHeight="12.75"/>
  <cols>
    <col min="1" max="1" width="10.5703125" style="1" bestFit="1" customWidth="1"/>
    <col min="2" max="2" width="74.5703125" style="1" customWidth="1"/>
    <col min="3" max="3" width="19" style="1" customWidth="1"/>
    <col min="4" max="4" width="19.5703125" style="1" customWidth="1"/>
    <col min="5" max="5" width="31.28515625" style="1" customWidth="1"/>
    <col min="6" max="6" width="29.28515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71093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28515625" style="1" customWidth="1"/>
    <col min="22" max="22" width="20" style="1" customWidth="1"/>
    <col min="23" max="16384" width="9.28515625" style="9"/>
  </cols>
  <sheetData>
    <row r="1" spans="1:22">
      <c r="A1" s="1" t="s">
        <v>188</v>
      </c>
      <c r="B1" s="1" t="str">
        <f>Info!C2</f>
        <v>სს "ბანკი ქართუ"</v>
      </c>
    </row>
    <row r="2" spans="1:22">
      <c r="A2" s="1" t="s">
        <v>189</v>
      </c>
      <c r="B2" s="641">
        <f>'1. key ratios'!B2</f>
        <v>44926</v>
      </c>
    </row>
    <row r="4" spans="1:22" ht="27.75" thickBot="1">
      <c r="A4" s="1" t="s">
        <v>416</v>
      </c>
      <c r="B4" s="240" t="s">
        <v>458</v>
      </c>
      <c r="V4" s="186" t="s">
        <v>93</v>
      </c>
    </row>
    <row r="5" spans="1:22">
      <c r="A5" s="90"/>
      <c r="B5" s="91"/>
      <c r="C5" s="717" t="s">
        <v>198</v>
      </c>
      <c r="D5" s="718"/>
      <c r="E5" s="718"/>
      <c r="F5" s="718"/>
      <c r="G5" s="718"/>
      <c r="H5" s="718"/>
      <c r="I5" s="718"/>
      <c r="J5" s="718"/>
      <c r="K5" s="718"/>
      <c r="L5" s="719"/>
      <c r="M5" s="717" t="s">
        <v>199</v>
      </c>
      <c r="N5" s="718"/>
      <c r="O5" s="718"/>
      <c r="P5" s="718"/>
      <c r="Q5" s="718"/>
      <c r="R5" s="718"/>
      <c r="S5" s="719"/>
      <c r="T5" s="722" t="s">
        <v>456</v>
      </c>
      <c r="U5" s="722" t="s">
        <v>455</v>
      </c>
      <c r="V5" s="720" t="s">
        <v>200</v>
      </c>
    </row>
    <row r="6" spans="1:22" s="60" customFormat="1" ht="127.5">
      <c r="A6" s="107"/>
      <c r="B6" s="163"/>
      <c r="C6" s="88" t="s">
        <v>201</v>
      </c>
      <c r="D6" s="87" t="s">
        <v>202</v>
      </c>
      <c r="E6" s="85" t="s">
        <v>203</v>
      </c>
      <c r="F6" s="85" t="s">
        <v>450</v>
      </c>
      <c r="G6" s="87" t="s">
        <v>204</v>
      </c>
      <c r="H6" s="87" t="s">
        <v>205</v>
      </c>
      <c r="I6" s="87" t="s">
        <v>206</v>
      </c>
      <c r="J6" s="87" t="s">
        <v>248</v>
      </c>
      <c r="K6" s="87" t="s">
        <v>207</v>
      </c>
      <c r="L6" s="89" t="s">
        <v>208</v>
      </c>
      <c r="M6" s="88" t="s">
        <v>209</v>
      </c>
      <c r="N6" s="87" t="s">
        <v>210</v>
      </c>
      <c r="O6" s="87" t="s">
        <v>211</v>
      </c>
      <c r="P6" s="87" t="s">
        <v>212</v>
      </c>
      <c r="Q6" s="87" t="s">
        <v>213</v>
      </c>
      <c r="R6" s="87" t="s">
        <v>214</v>
      </c>
      <c r="S6" s="89" t="s">
        <v>215</v>
      </c>
      <c r="T6" s="723"/>
      <c r="U6" s="723"/>
      <c r="V6" s="721"/>
    </row>
    <row r="7" spans="1:22">
      <c r="A7" s="144">
        <v>1</v>
      </c>
      <c r="B7" s="143" t="s">
        <v>216</v>
      </c>
      <c r="C7" s="526"/>
      <c r="D7" s="522"/>
      <c r="E7" s="522"/>
      <c r="F7" s="522"/>
      <c r="G7" s="522"/>
      <c r="H7" s="522"/>
      <c r="I7" s="522"/>
      <c r="J7" s="522"/>
      <c r="K7" s="522"/>
      <c r="L7" s="527"/>
      <c r="M7" s="526"/>
      <c r="N7" s="522"/>
      <c r="O7" s="522"/>
      <c r="P7" s="522"/>
      <c r="Q7" s="522"/>
      <c r="R7" s="522"/>
      <c r="S7" s="527"/>
      <c r="T7" s="237"/>
      <c r="U7" s="528"/>
      <c r="V7" s="529">
        <f>SUM(C7:S7)</f>
        <v>0</v>
      </c>
    </row>
    <row r="8" spans="1:22">
      <c r="A8" s="144">
        <v>2</v>
      </c>
      <c r="B8" s="143" t="s">
        <v>217</v>
      </c>
      <c r="C8" s="526"/>
      <c r="D8" s="522"/>
      <c r="E8" s="522"/>
      <c r="F8" s="522"/>
      <c r="G8" s="522"/>
      <c r="H8" s="522"/>
      <c r="I8" s="522"/>
      <c r="J8" s="522"/>
      <c r="K8" s="522"/>
      <c r="L8" s="527"/>
      <c r="M8" s="526"/>
      <c r="N8" s="522"/>
      <c r="O8" s="522"/>
      <c r="P8" s="522"/>
      <c r="Q8" s="522"/>
      <c r="R8" s="522"/>
      <c r="S8" s="527"/>
      <c r="T8" s="528"/>
      <c r="U8" s="528"/>
      <c r="V8" s="529">
        <f t="shared" ref="V8:V20" si="0">SUM(C8:S8)</f>
        <v>0</v>
      </c>
    </row>
    <row r="9" spans="1:22">
      <c r="A9" s="144">
        <v>3</v>
      </c>
      <c r="B9" s="143" t="s">
        <v>218</v>
      </c>
      <c r="C9" s="526"/>
      <c r="D9" s="522"/>
      <c r="E9" s="522"/>
      <c r="F9" s="522"/>
      <c r="G9" s="522"/>
      <c r="H9" s="522"/>
      <c r="I9" s="522"/>
      <c r="J9" s="522"/>
      <c r="K9" s="522"/>
      <c r="L9" s="527"/>
      <c r="M9" s="526"/>
      <c r="N9" s="522"/>
      <c r="O9" s="522"/>
      <c r="P9" s="522"/>
      <c r="Q9" s="522"/>
      <c r="R9" s="522"/>
      <c r="S9" s="527"/>
      <c r="T9" s="528"/>
      <c r="U9" s="528"/>
      <c r="V9" s="529">
        <f>SUM(C9:S9)</f>
        <v>0</v>
      </c>
    </row>
    <row r="10" spans="1:22">
      <c r="A10" s="144">
        <v>4</v>
      </c>
      <c r="B10" s="143" t="s">
        <v>219</v>
      </c>
      <c r="C10" s="526"/>
      <c r="D10" s="522"/>
      <c r="E10" s="522"/>
      <c r="F10" s="522"/>
      <c r="G10" s="522"/>
      <c r="H10" s="522"/>
      <c r="I10" s="522"/>
      <c r="J10" s="522"/>
      <c r="K10" s="522"/>
      <c r="L10" s="527"/>
      <c r="M10" s="526"/>
      <c r="N10" s="522"/>
      <c r="O10" s="522"/>
      <c r="P10" s="522"/>
      <c r="Q10" s="522"/>
      <c r="R10" s="522"/>
      <c r="S10" s="527"/>
      <c r="T10" s="528"/>
      <c r="U10" s="528"/>
      <c r="V10" s="529">
        <f t="shared" si="0"/>
        <v>0</v>
      </c>
    </row>
    <row r="11" spans="1:22">
      <c r="A11" s="144">
        <v>5</v>
      </c>
      <c r="B11" s="143" t="s">
        <v>220</v>
      </c>
      <c r="C11" s="526"/>
      <c r="D11" s="522"/>
      <c r="E11" s="522"/>
      <c r="F11" s="522"/>
      <c r="G11" s="522"/>
      <c r="H11" s="522"/>
      <c r="I11" s="522"/>
      <c r="J11" s="522"/>
      <c r="K11" s="522"/>
      <c r="L11" s="527"/>
      <c r="M11" s="526"/>
      <c r="N11" s="522"/>
      <c r="O11" s="522"/>
      <c r="P11" s="522"/>
      <c r="Q11" s="522"/>
      <c r="R11" s="522"/>
      <c r="S11" s="527"/>
      <c r="T11" s="528"/>
      <c r="U11" s="528"/>
      <c r="V11" s="529">
        <f t="shared" si="0"/>
        <v>0</v>
      </c>
    </row>
    <row r="12" spans="1:22">
      <c r="A12" s="144">
        <v>6</v>
      </c>
      <c r="B12" s="143" t="s">
        <v>221</v>
      </c>
      <c r="C12" s="526"/>
      <c r="D12" s="522"/>
      <c r="E12" s="522"/>
      <c r="F12" s="522"/>
      <c r="G12" s="522"/>
      <c r="H12" s="522"/>
      <c r="I12" s="522"/>
      <c r="J12" s="522"/>
      <c r="K12" s="522"/>
      <c r="L12" s="527"/>
      <c r="M12" s="526"/>
      <c r="N12" s="522"/>
      <c r="O12" s="522"/>
      <c r="P12" s="522"/>
      <c r="Q12" s="522"/>
      <c r="R12" s="522"/>
      <c r="S12" s="527"/>
      <c r="T12" s="528"/>
      <c r="U12" s="528"/>
      <c r="V12" s="529">
        <f t="shared" si="0"/>
        <v>0</v>
      </c>
    </row>
    <row r="13" spans="1:22">
      <c r="A13" s="144">
        <v>7</v>
      </c>
      <c r="B13" s="143" t="s">
        <v>73</v>
      </c>
      <c r="C13" s="526"/>
      <c r="D13" s="522">
        <v>45738525.80316028</v>
      </c>
      <c r="E13" s="522"/>
      <c r="F13" s="522"/>
      <c r="G13" s="522"/>
      <c r="H13" s="522"/>
      <c r="I13" s="522"/>
      <c r="J13" s="522"/>
      <c r="K13" s="522"/>
      <c r="L13" s="527"/>
      <c r="M13" s="526"/>
      <c r="N13" s="522"/>
      <c r="O13" s="522"/>
      <c r="P13" s="522"/>
      <c r="Q13" s="522"/>
      <c r="R13" s="522"/>
      <c r="S13" s="527"/>
      <c r="T13" s="528">
        <v>41532573.116672069</v>
      </c>
      <c r="U13" s="528">
        <v>4205952.6864882121</v>
      </c>
      <c r="V13" s="529">
        <f t="shared" si="0"/>
        <v>45738525.80316028</v>
      </c>
    </row>
    <row r="14" spans="1:22">
      <c r="A14" s="144">
        <v>8</v>
      </c>
      <c r="B14" s="143" t="s">
        <v>74</v>
      </c>
      <c r="C14" s="526"/>
      <c r="D14" s="522"/>
      <c r="E14" s="522"/>
      <c r="F14" s="522"/>
      <c r="G14" s="522"/>
      <c r="H14" s="522"/>
      <c r="I14" s="522"/>
      <c r="J14" s="522"/>
      <c r="K14" s="522"/>
      <c r="L14" s="527"/>
      <c r="M14" s="526"/>
      <c r="N14" s="522"/>
      <c r="O14" s="522"/>
      <c r="P14" s="522"/>
      <c r="Q14" s="522"/>
      <c r="R14" s="522"/>
      <c r="S14" s="527"/>
      <c r="T14" s="528"/>
      <c r="U14" s="528"/>
      <c r="V14" s="529">
        <f t="shared" si="0"/>
        <v>0</v>
      </c>
    </row>
    <row r="15" spans="1:22">
      <c r="A15" s="144">
        <v>9</v>
      </c>
      <c r="B15" s="143" t="s">
        <v>75</v>
      </c>
      <c r="C15" s="526"/>
      <c r="D15" s="522"/>
      <c r="E15" s="522"/>
      <c r="F15" s="522"/>
      <c r="G15" s="522"/>
      <c r="H15" s="522"/>
      <c r="I15" s="522"/>
      <c r="J15" s="522"/>
      <c r="K15" s="522"/>
      <c r="L15" s="527"/>
      <c r="M15" s="526"/>
      <c r="N15" s="522"/>
      <c r="O15" s="522"/>
      <c r="P15" s="522"/>
      <c r="Q15" s="522"/>
      <c r="R15" s="522"/>
      <c r="S15" s="527"/>
      <c r="T15" s="528"/>
      <c r="U15" s="528"/>
      <c r="V15" s="529">
        <f t="shared" si="0"/>
        <v>0</v>
      </c>
    </row>
    <row r="16" spans="1:22">
      <c r="A16" s="144">
        <v>10</v>
      </c>
      <c r="B16" s="143" t="s">
        <v>69</v>
      </c>
      <c r="C16" s="526"/>
      <c r="D16" s="522">
        <v>0</v>
      </c>
      <c r="E16" s="522"/>
      <c r="F16" s="522"/>
      <c r="G16" s="522"/>
      <c r="H16" s="522"/>
      <c r="I16" s="522"/>
      <c r="J16" s="522"/>
      <c r="K16" s="522"/>
      <c r="L16" s="527"/>
      <c r="M16" s="526"/>
      <c r="N16" s="522"/>
      <c r="O16" s="522"/>
      <c r="P16" s="522"/>
      <c r="Q16" s="522"/>
      <c r="R16" s="522"/>
      <c r="S16" s="527"/>
      <c r="T16" s="528">
        <v>0</v>
      </c>
      <c r="U16" s="528">
        <v>0</v>
      </c>
      <c r="V16" s="529">
        <f t="shared" si="0"/>
        <v>0</v>
      </c>
    </row>
    <row r="17" spans="1:22">
      <c r="A17" s="144">
        <v>11</v>
      </c>
      <c r="B17" s="143" t="s">
        <v>70</v>
      </c>
      <c r="C17" s="526"/>
      <c r="D17" s="522"/>
      <c r="E17" s="522"/>
      <c r="F17" s="522"/>
      <c r="G17" s="522"/>
      <c r="H17" s="522"/>
      <c r="I17" s="522"/>
      <c r="J17" s="522"/>
      <c r="K17" s="522"/>
      <c r="L17" s="527"/>
      <c r="M17" s="526"/>
      <c r="N17" s="522"/>
      <c r="O17" s="522"/>
      <c r="P17" s="522"/>
      <c r="Q17" s="522"/>
      <c r="R17" s="522"/>
      <c r="S17" s="527"/>
      <c r="T17" s="528"/>
      <c r="U17" s="528"/>
      <c r="V17" s="529">
        <f t="shared" si="0"/>
        <v>0</v>
      </c>
    </row>
    <row r="18" spans="1:22">
      <c r="A18" s="144">
        <v>12</v>
      </c>
      <c r="B18" s="143" t="s">
        <v>71</v>
      </c>
      <c r="C18" s="526"/>
      <c r="D18" s="522"/>
      <c r="E18" s="522"/>
      <c r="F18" s="522"/>
      <c r="G18" s="522"/>
      <c r="H18" s="522"/>
      <c r="I18" s="522"/>
      <c r="J18" s="522"/>
      <c r="K18" s="522"/>
      <c r="L18" s="527"/>
      <c r="M18" s="526"/>
      <c r="N18" s="522"/>
      <c r="O18" s="522"/>
      <c r="P18" s="522"/>
      <c r="Q18" s="522"/>
      <c r="R18" s="522"/>
      <c r="S18" s="527"/>
      <c r="T18" s="528"/>
      <c r="U18" s="528"/>
      <c r="V18" s="529">
        <f t="shared" si="0"/>
        <v>0</v>
      </c>
    </row>
    <row r="19" spans="1:22">
      <c r="A19" s="144">
        <v>13</v>
      </c>
      <c r="B19" s="143" t="s">
        <v>72</v>
      </c>
      <c r="C19" s="526"/>
      <c r="D19" s="522"/>
      <c r="E19" s="522"/>
      <c r="F19" s="522"/>
      <c r="G19" s="522"/>
      <c r="H19" s="522"/>
      <c r="I19" s="522"/>
      <c r="J19" s="522"/>
      <c r="K19" s="522"/>
      <c r="L19" s="527"/>
      <c r="M19" s="526"/>
      <c r="N19" s="522"/>
      <c r="O19" s="522"/>
      <c r="P19" s="522"/>
      <c r="Q19" s="522"/>
      <c r="R19" s="522"/>
      <c r="S19" s="527"/>
      <c r="T19" s="528"/>
      <c r="U19" s="528"/>
      <c r="V19" s="529">
        <f t="shared" si="0"/>
        <v>0</v>
      </c>
    </row>
    <row r="20" spans="1:22">
      <c r="A20" s="144">
        <v>14</v>
      </c>
      <c r="B20" s="143" t="s">
        <v>249</v>
      </c>
      <c r="C20" s="526"/>
      <c r="D20" s="522">
        <v>2775508.752754</v>
      </c>
      <c r="E20" s="522"/>
      <c r="F20" s="522"/>
      <c r="G20" s="522"/>
      <c r="H20" s="522"/>
      <c r="I20" s="522"/>
      <c r="J20" s="522"/>
      <c r="K20" s="522"/>
      <c r="L20" s="527"/>
      <c r="M20" s="526"/>
      <c r="N20" s="522"/>
      <c r="O20" s="522"/>
      <c r="P20" s="522"/>
      <c r="Q20" s="522"/>
      <c r="R20" s="522"/>
      <c r="S20" s="527"/>
      <c r="T20" s="528">
        <v>2403401.4896439998</v>
      </c>
      <c r="U20" s="528">
        <v>372107.26311</v>
      </c>
      <c r="V20" s="529">
        <f t="shared" si="0"/>
        <v>2775508.752754</v>
      </c>
    </row>
    <row r="21" spans="1:22" ht="13.5" thickBot="1">
      <c r="A21" s="92"/>
      <c r="B21" s="93" t="s">
        <v>68</v>
      </c>
      <c r="C21" s="224">
        <f>SUM(C7:C20)</f>
        <v>0</v>
      </c>
      <c r="D21" s="223">
        <f t="shared" ref="D21:V21" si="1">SUM(D7:D20)</f>
        <v>48514034.555914283</v>
      </c>
      <c r="E21" s="223">
        <f t="shared" si="1"/>
        <v>0</v>
      </c>
      <c r="F21" s="223">
        <f t="shared" si="1"/>
        <v>0</v>
      </c>
      <c r="G21" s="223">
        <f t="shared" si="1"/>
        <v>0</v>
      </c>
      <c r="H21" s="223">
        <f t="shared" si="1"/>
        <v>0</v>
      </c>
      <c r="I21" s="223">
        <f t="shared" si="1"/>
        <v>0</v>
      </c>
      <c r="J21" s="223">
        <f t="shared" si="1"/>
        <v>0</v>
      </c>
      <c r="K21" s="223">
        <f t="shared" si="1"/>
        <v>0</v>
      </c>
      <c r="L21" s="225">
        <f t="shared" si="1"/>
        <v>0</v>
      </c>
      <c r="M21" s="224">
        <f t="shared" si="1"/>
        <v>0</v>
      </c>
      <c r="N21" s="223">
        <f t="shared" si="1"/>
        <v>0</v>
      </c>
      <c r="O21" s="223">
        <f t="shared" si="1"/>
        <v>0</v>
      </c>
      <c r="P21" s="223">
        <f t="shared" si="1"/>
        <v>0</v>
      </c>
      <c r="Q21" s="223">
        <f t="shared" si="1"/>
        <v>0</v>
      </c>
      <c r="R21" s="223">
        <f t="shared" si="1"/>
        <v>0</v>
      </c>
      <c r="S21" s="225">
        <f t="shared" si="1"/>
        <v>0</v>
      </c>
      <c r="T21" s="225">
        <f>SUM(T7:T20)</f>
        <v>43935974.606316067</v>
      </c>
      <c r="U21" s="225">
        <f t="shared" si="1"/>
        <v>4578059.9495982118</v>
      </c>
      <c r="V21" s="226">
        <f t="shared" si="1"/>
        <v>48514034.555914283</v>
      </c>
    </row>
    <row r="24" spans="1:22">
      <c r="C24" s="64"/>
      <c r="D24" s="64"/>
      <c r="E24" s="64"/>
    </row>
    <row r="25" spans="1:22">
      <c r="A25" s="59"/>
      <c r="B25" s="59"/>
      <c r="D25" s="64"/>
      <c r="E25" s="64"/>
    </row>
    <row r="26" spans="1:22">
      <c r="A26" s="59"/>
      <c r="B26" s="86"/>
      <c r="D26" s="64"/>
      <c r="E26" s="64"/>
    </row>
    <row r="27" spans="1:22">
      <c r="A27" s="59"/>
      <c r="B27" s="59"/>
      <c r="D27" s="64"/>
      <c r="E27" s="64"/>
    </row>
    <row r="28" spans="1:22">
      <c r="A28" s="59"/>
      <c r="B28" s="86"/>
      <c r="D28" s="64"/>
      <c r="E28" s="6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B17" activePane="bottomRight" state="frozen"/>
      <selection activeCell="B2" sqref="B2"/>
      <selection pane="topRight" activeCell="B2" sqref="B2"/>
      <selection pane="bottomLeft" activeCell="B2" sqref="B2"/>
      <selection pane="bottomRight" activeCell="C21" sqref="C21"/>
    </sheetView>
  </sheetViews>
  <sheetFormatPr defaultColWidth="9.28515625" defaultRowHeight="12.75"/>
  <cols>
    <col min="1" max="1" width="10.5703125" style="1" bestFit="1" customWidth="1"/>
    <col min="2" max="2" width="101.7109375" style="1" customWidth="1"/>
    <col min="3" max="3" width="13.7109375" style="1" customWidth="1"/>
    <col min="4" max="4" width="14.7109375" style="1" bestFit="1" customWidth="1"/>
    <col min="5" max="5" width="17.7109375" style="1" customWidth="1"/>
    <col min="6" max="6" width="15.7109375" style="1" customWidth="1"/>
    <col min="7" max="7" width="17.42578125" style="1" customWidth="1"/>
    <col min="8" max="8" width="15.28515625" style="1" customWidth="1"/>
    <col min="9" max="16384" width="9.28515625" style="9"/>
  </cols>
  <sheetData>
    <row r="1" spans="1:9">
      <c r="A1" s="1" t="s">
        <v>188</v>
      </c>
      <c r="B1" s="1" t="str">
        <f>Info!C2</f>
        <v>სს "ბანკი ქართუ"</v>
      </c>
    </row>
    <row r="2" spans="1:9">
      <c r="A2" s="1" t="s">
        <v>189</v>
      </c>
      <c r="B2" s="641">
        <f>'1. key ratios'!B2</f>
        <v>44926</v>
      </c>
    </row>
    <row r="4" spans="1:9" ht="13.5" thickBot="1">
      <c r="A4" s="1" t="s">
        <v>417</v>
      </c>
      <c r="B4" s="52" t="s">
        <v>459</v>
      </c>
    </row>
    <row r="5" spans="1:9">
      <c r="A5" s="90"/>
      <c r="B5" s="141"/>
      <c r="C5" s="146" t="s">
        <v>0</v>
      </c>
      <c r="D5" s="146" t="s">
        <v>1</v>
      </c>
      <c r="E5" s="146" t="s">
        <v>2</v>
      </c>
      <c r="F5" s="146" t="s">
        <v>3</v>
      </c>
      <c r="G5" s="236" t="s">
        <v>4</v>
      </c>
      <c r="H5" s="147" t="s">
        <v>5</v>
      </c>
      <c r="I5" s="19"/>
    </row>
    <row r="6" spans="1:9" ht="15" customHeight="1">
      <c r="A6" s="140"/>
      <c r="B6" s="17"/>
      <c r="C6" s="715" t="s">
        <v>451</v>
      </c>
      <c r="D6" s="726" t="s">
        <v>472</v>
      </c>
      <c r="E6" s="727"/>
      <c r="F6" s="715" t="s">
        <v>478</v>
      </c>
      <c r="G6" s="715" t="s">
        <v>479</v>
      </c>
      <c r="H6" s="724" t="s">
        <v>453</v>
      </c>
      <c r="I6" s="19"/>
    </row>
    <row r="7" spans="1:9" ht="63.75">
      <c r="A7" s="140"/>
      <c r="B7" s="17"/>
      <c r="C7" s="716"/>
      <c r="D7" s="238" t="s">
        <v>454</v>
      </c>
      <c r="E7" s="238" t="s">
        <v>452</v>
      </c>
      <c r="F7" s="716"/>
      <c r="G7" s="716"/>
      <c r="H7" s="725"/>
      <c r="I7" s="19"/>
    </row>
    <row r="8" spans="1:9">
      <c r="A8" s="82">
        <v>1</v>
      </c>
      <c r="B8" s="66" t="s">
        <v>216</v>
      </c>
      <c r="C8" s="382">
        <f>SUM('11. CRWA'!C8:R8)-E8</f>
        <v>359331999</v>
      </c>
      <c r="D8" s="382"/>
      <c r="E8" s="382"/>
      <c r="F8" s="382">
        <f>'11. CRWA'!S8</f>
        <v>322013178</v>
      </c>
      <c r="G8" s="642">
        <f>'11. CRWA'!S8-'12. CRM'!V7</f>
        <v>322013178</v>
      </c>
      <c r="H8" s="530">
        <f>IFERROR(G8/(C8+E8),0)</f>
        <v>0.89614389727645716</v>
      </c>
    </row>
    <row r="9" spans="1:9" ht="15" customHeight="1">
      <c r="A9" s="82">
        <v>2</v>
      </c>
      <c r="B9" s="66" t="s">
        <v>217</v>
      </c>
      <c r="C9" s="382">
        <f>SUM('11. CRWA'!C9:R9)-E9</f>
        <v>0</v>
      </c>
      <c r="D9" s="382"/>
      <c r="E9" s="382"/>
      <c r="F9" s="382">
        <f>'11. CRWA'!S9</f>
        <v>0</v>
      </c>
      <c r="G9" s="642">
        <f>'11. CRWA'!S9-'12. CRM'!V8</f>
        <v>0</v>
      </c>
      <c r="H9" s="530">
        <f t="shared" ref="H9:H22" si="0">IFERROR(G9/(C9+E9),0)</f>
        <v>0</v>
      </c>
    </row>
    <row r="10" spans="1:9">
      <c r="A10" s="82">
        <v>3</v>
      </c>
      <c r="B10" s="66" t="s">
        <v>218</v>
      </c>
      <c r="C10" s="382">
        <f>SUM('11. CRWA'!C10:R10)-E10</f>
        <v>0</v>
      </c>
      <c r="D10" s="382"/>
      <c r="E10" s="382"/>
      <c r="F10" s="382">
        <f>'11. CRWA'!S10</f>
        <v>0</v>
      </c>
      <c r="G10" s="642">
        <f>'11. CRWA'!S10-'12. CRM'!V9</f>
        <v>0</v>
      </c>
      <c r="H10" s="530">
        <f t="shared" si="0"/>
        <v>0</v>
      </c>
    </row>
    <row r="11" spans="1:9">
      <c r="A11" s="82">
        <v>4</v>
      </c>
      <c r="B11" s="66" t="s">
        <v>219</v>
      </c>
      <c r="C11" s="382">
        <f>SUM('11. CRWA'!C11:R11)-E11</f>
        <v>0</v>
      </c>
      <c r="D11" s="382"/>
      <c r="E11" s="382"/>
      <c r="F11" s="382">
        <f>'11. CRWA'!S11</f>
        <v>0</v>
      </c>
      <c r="G11" s="642">
        <f>'11. CRWA'!S11-'12. CRM'!V10</f>
        <v>0</v>
      </c>
      <c r="H11" s="530">
        <f t="shared" si="0"/>
        <v>0</v>
      </c>
    </row>
    <row r="12" spans="1:9">
      <c r="A12" s="82">
        <v>5</v>
      </c>
      <c r="B12" s="66" t="s">
        <v>220</v>
      </c>
      <c r="C12" s="382">
        <f>SUM('11. CRWA'!C12:R12)-E12</f>
        <v>0</v>
      </c>
      <c r="D12" s="382"/>
      <c r="E12" s="382"/>
      <c r="F12" s="382">
        <f>'11. CRWA'!S12</f>
        <v>0</v>
      </c>
      <c r="G12" s="642">
        <f>'11. CRWA'!S12-'12. CRM'!V11</f>
        <v>0</v>
      </c>
      <c r="H12" s="530">
        <f t="shared" si="0"/>
        <v>0</v>
      </c>
    </row>
    <row r="13" spans="1:9">
      <c r="A13" s="82">
        <v>6</v>
      </c>
      <c r="B13" s="66" t="s">
        <v>221</v>
      </c>
      <c r="C13" s="382">
        <f>SUM('11. CRWA'!C13:R13)-E13</f>
        <v>332178924.99000001</v>
      </c>
      <c r="D13" s="382"/>
      <c r="E13" s="382"/>
      <c r="F13" s="382">
        <f>'11. CRWA'!S13</f>
        <v>139253469.52800006</v>
      </c>
      <c r="G13" s="642">
        <f>'11. CRWA'!S13-'12. CRM'!V12</f>
        <v>139253469.52800006</v>
      </c>
      <c r="H13" s="530">
        <f t="shared" si="0"/>
        <v>0.41921223488874909</v>
      </c>
    </row>
    <row r="14" spans="1:9">
      <c r="A14" s="82">
        <v>7</v>
      </c>
      <c r="B14" s="66" t="s">
        <v>73</v>
      </c>
      <c r="C14" s="382">
        <f>SUM('11. CRWA'!C14:R14)-E14</f>
        <v>617858544.42271185</v>
      </c>
      <c r="D14" s="382">
        <v>77392595.795520127</v>
      </c>
      <c r="E14" s="382">
        <f>'11. CRWA'!N14+'11. CRWA'!R14</f>
        <v>41161450.590130076</v>
      </c>
      <c r="F14" s="382">
        <f>'11. CRWA'!S14</f>
        <v>659019995.01284194</v>
      </c>
      <c r="G14" s="642">
        <f>'11. CRWA'!S14-'12. CRM'!V13</f>
        <v>613281469.20968163</v>
      </c>
      <c r="H14" s="530">
        <f t="shared" si="0"/>
        <v>0.93059614860051543</v>
      </c>
    </row>
    <row r="15" spans="1:9">
      <c r="A15" s="82">
        <v>8</v>
      </c>
      <c r="B15" s="66" t="s">
        <v>74</v>
      </c>
      <c r="C15" s="382">
        <f>SUM('11. CRWA'!C15:R15)-E15</f>
        <v>0</v>
      </c>
      <c r="D15" s="382"/>
      <c r="E15" s="382">
        <f>'11. CRWA'!N15</f>
        <v>0</v>
      </c>
      <c r="F15" s="382">
        <f>'11. CRWA'!S15</f>
        <v>0</v>
      </c>
      <c r="G15" s="642">
        <f>'11. CRWA'!S15-'12. CRM'!V14</f>
        <v>0</v>
      </c>
      <c r="H15" s="530">
        <f t="shared" si="0"/>
        <v>0</v>
      </c>
    </row>
    <row r="16" spans="1:9">
      <c r="A16" s="82">
        <v>9</v>
      </c>
      <c r="B16" s="66" t="s">
        <v>75</v>
      </c>
      <c r="C16" s="382">
        <f>SUM('11. CRWA'!C16:R16)-E16</f>
        <v>0</v>
      </c>
      <c r="D16" s="382"/>
      <c r="E16" s="382">
        <f>'11. CRWA'!N16</f>
        <v>0</v>
      </c>
      <c r="F16" s="382">
        <f>'11. CRWA'!S16</f>
        <v>0</v>
      </c>
      <c r="G16" s="642">
        <f>'11. CRWA'!S16-'12. CRM'!V15</f>
        <v>0</v>
      </c>
      <c r="H16" s="530">
        <f t="shared" si="0"/>
        <v>0</v>
      </c>
    </row>
    <row r="17" spans="1:8">
      <c r="A17" s="82">
        <v>10</v>
      </c>
      <c r="B17" s="66" t="s">
        <v>69</v>
      </c>
      <c r="C17" s="382">
        <f>SUM('11. CRWA'!C17:R17)-E17</f>
        <v>68625059.984729007</v>
      </c>
      <c r="D17" s="382">
        <v>237197.20000001788</v>
      </c>
      <c r="E17" s="382">
        <f>'11. CRWA'!N17</f>
        <v>118598.60000000894</v>
      </c>
      <c r="F17" s="382">
        <f>'11. CRWA'!S17</f>
        <v>68743658.584729016</v>
      </c>
      <c r="G17" s="642">
        <f>'11. CRWA'!S17-'12. CRM'!V16</f>
        <v>68743658.584729016</v>
      </c>
      <c r="H17" s="530">
        <f t="shared" si="0"/>
        <v>1</v>
      </c>
    </row>
    <row r="18" spans="1:8">
      <c r="A18" s="82">
        <v>11</v>
      </c>
      <c r="B18" s="66" t="s">
        <v>70</v>
      </c>
      <c r="C18" s="382">
        <f>SUM('11. CRWA'!C18:R18)-E18</f>
        <v>0</v>
      </c>
      <c r="D18" s="382"/>
      <c r="E18" s="382">
        <f>'11. CRWA'!N18</f>
        <v>0</v>
      </c>
      <c r="F18" s="382">
        <f>'11. CRWA'!S18</f>
        <v>0</v>
      </c>
      <c r="G18" s="642">
        <f>'11. CRWA'!S18-'12. CRM'!V17</f>
        <v>0</v>
      </c>
      <c r="H18" s="530">
        <f t="shared" si="0"/>
        <v>0</v>
      </c>
    </row>
    <row r="19" spans="1:8">
      <c r="A19" s="82">
        <v>12</v>
      </c>
      <c r="B19" s="66" t="s">
        <v>71</v>
      </c>
      <c r="C19" s="382">
        <f>SUM('11. CRWA'!C19:R19)-E19</f>
        <v>0</v>
      </c>
      <c r="D19" s="382"/>
      <c r="E19" s="382">
        <f>'11. CRWA'!N19</f>
        <v>0</v>
      </c>
      <c r="F19" s="382">
        <f>'11. CRWA'!S19</f>
        <v>0</v>
      </c>
      <c r="G19" s="642">
        <f>'11. CRWA'!S19-'12. CRM'!V18</f>
        <v>0</v>
      </c>
      <c r="H19" s="530">
        <f t="shared" si="0"/>
        <v>0</v>
      </c>
    </row>
    <row r="20" spans="1:8">
      <c r="A20" s="82">
        <v>13</v>
      </c>
      <c r="B20" s="66" t="s">
        <v>72</v>
      </c>
      <c r="C20" s="382">
        <f>SUM('11. CRWA'!C20:R20)-E20</f>
        <v>0</v>
      </c>
      <c r="D20" s="382"/>
      <c r="E20" s="382">
        <f>'11. CRWA'!N20</f>
        <v>0</v>
      </c>
      <c r="F20" s="382">
        <f>'11. CRWA'!S20</f>
        <v>0</v>
      </c>
      <c r="G20" s="642">
        <f>'11. CRWA'!S20-'12. CRM'!V19</f>
        <v>0</v>
      </c>
      <c r="H20" s="530">
        <f t="shared" si="0"/>
        <v>0</v>
      </c>
    </row>
    <row r="21" spans="1:8">
      <c r="A21" s="82">
        <v>14</v>
      </c>
      <c r="B21" s="66" t="s">
        <v>249</v>
      </c>
      <c r="C21" s="382">
        <f>SUM('11. CRWA'!C21:R21)-E21</f>
        <v>115514520.711752</v>
      </c>
      <c r="D21" s="382">
        <v>4040894.5772999972</v>
      </c>
      <c r="E21" s="382">
        <f>'11. CRWA'!N21</f>
        <v>2020447.2886499986</v>
      </c>
      <c r="F21" s="382">
        <f>'11. CRWA'!S21</f>
        <v>121154871.57111871</v>
      </c>
      <c r="G21" s="642">
        <f>'11. CRWA'!S21-'12. CRM'!V20</f>
        <v>118379362.81836471</v>
      </c>
      <c r="H21" s="530">
        <f t="shared" si="0"/>
        <v>1.0071842008580785</v>
      </c>
    </row>
    <row r="22" spans="1:8" ht="13.5" thickBot="1">
      <c r="A22" s="142"/>
      <c r="B22" s="148" t="s">
        <v>68</v>
      </c>
      <c r="C22" s="643">
        <f>SUM(C8:C21)</f>
        <v>1493509049.1091928</v>
      </c>
      <c r="D22" s="643">
        <f>SUM(D8:D21)</f>
        <v>81670687.572820142</v>
      </c>
      <c r="E22" s="643">
        <f>SUM(E8:E21)</f>
        <v>43300496.478780083</v>
      </c>
      <c r="F22" s="643">
        <f>SUM(F8:F21)</f>
        <v>1310185172.6966896</v>
      </c>
      <c r="G22" s="643">
        <f>SUM(G8:G21)</f>
        <v>1261671138.1407752</v>
      </c>
      <c r="H22" s="241">
        <f t="shared" si="0"/>
        <v>0.82096779120282493</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85" zoomScaleNormal="85" workbookViewId="0">
      <pane xSplit="2" ySplit="6" topLeftCell="C7" activePane="bottomRight" state="frozen"/>
      <selection activeCell="B2" sqref="B2"/>
      <selection pane="topRight" activeCell="B2" sqref="B2"/>
      <selection pane="bottomLeft" activeCell="B2" sqref="B2"/>
      <selection pane="bottomRight" activeCell="F23" sqref="F23:K25"/>
    </sheetView>
  </sheetViews>
  <sheetFormatPr defaultColWidth="9.28515625" defaultRowHeight="12.75"/>
  <cols>
    <col min="1" max="1" width="10.5703125" style="1" bestFit="1" customWidth="1"/>
    <col min="2" max="2" width="104.28515625" style="1" customWidth="1"/>
    <col min="3" max="3" width="12.7109375" style="1" customWidth="1"/>
    <col min="4" max="5" width="13.5703125" style="1" bestFit="1" customWidth="1"/>
    <col min="6" max="11" width="12.7109375" style="1" customWidth="1"/>
    <col min="12" max="16384" width="9.28515625" style="1"/>
  </cols>
  <sheetData>
    <row r="1" spans="1:11">
      <c r="A1" s="1" t="s">
        <v>188</v>
      </c>
      <c r="B1" s="1" t="str">
        <f>Info!C2</f>
        <v>სს "ბანკი ქართუ"</v>
      </c>
    </row>
    <row r="2" spans="1:11">
      <c r="A2" s="1" t="s">
        <v>189</v>
      </c>
      <c r="B2" s="641">
        <f>'1. key ratios'!B2</f>
        <v>44926</v>
      </c>
    </row>
    <row r="4" spans="1:11" ht="13.5" thickBot="1">
      <c r="A4" s="1" t="s">
        <v>521</v>
      </c>
      <c r="B4" s="52" t="s">
        <v>520</v>
      </c>
    </row>
    <row r="5" spans="1:11" ht="30" customHeight="1">
      <c r="A5" s="731"/>
      <c r="B5" s="732"/>
      <c r="C5" s="729" t="s">
        <v>553</v>
      </c>
      <c r="D5" s="729"/>
      <c r="E5" s="729"/>
      <c r="F5" s="729" t="s">
        <v>554</v>
      </c>
      <c r="G5" s="729"/>
      <c r="H5" s="729"/>
      <c r="I5" s="729" t="s">
        <v>555</v>
      </c>
      <c r="J5" s="729"/>
      <c r="K5" s="730"/>
    </row>
    <row r="6" spans="1:11">
      <c r="A6" s="262"/>
      <c r="B6" s="263"/>
      <c r="C6" s="264" t="s">
        <v>27</v>
      </c>
      <c r="D6" s="264" t="s">
        <v>96</v>
      </c>
      <c r="E6" s="264" t="s">
        <v>68</v>
      </c>
      <c r="F6" s="264" t="s">
        <v>27</v>
      </c>
      <c r="G6" s="264" t="s">
        <v>96</v>
      </c>
      <c r="H6" s="264" t="s">
        <v>68</v>
      </c>
      <c r="I6" s="264" t="s">
        <v>27</v>
      </c>
      <c r="J6" s="264" t="s">
        <v>96</v>
      </c>
      <c r="K6" s="265" t="s">
        <v>68</v>
      </c>
    </row>
    <row r="7" spans="1:11">
      <c r="A7" s="266" t="s">
        <v>491</v>
      </c>
      <c r="B7" s="261"/>
      <c r="C7" s="261"/>
      <c r="D7" s="261"/>
      <c r="E7" s="261"/>
      <c r="F7" s="261"/>
      <c r="G7" s="261"/>
      <c r="H7" s="261"/>
      <c r="I7" s="261"/>
      <c r="J7" s="261"/>
      <c r="K7" s="267"/>
    </row>
    <row r="8" spans="1:11">
      <c r="A8" s="260">
        <v>1</v>
      </c>
      <c r="B8" s="246" t="s">
        <v>491</v>
      </c>
      <c r="C8" s="473"/>
      <c r="D8" s="473"/>
      <c r="E8" s="473"/>
      <c r="F8" s="395">
        <v>76180007.366739124</v>
      </c>
      <c r="G8" s="531">
        <v>653408616.63828981</v>
      </c>
      <c r="H8" s="531">
        <v>729588624.00502896</v>
      </c>
      <c r="I8" s="531">
        <v>51222324.784456521</v>
      </c>
      <c r="J8" s="531">
        <v>273326445.89394188</v>
      </c>
      <c r="K8" s="532">
        <v>324548770.67839837</v>
      </c>
    </row>
    <row r="9" spans="1:11">
      <c r="A9" s="266" t="s">
        <v>492</v>
      </c>
      <c r="B9" s="261"/>
      <c r="C9" s="261"/>
      <c r="D9" s="261"/>
      <c r="E9" s="261"/>
      <c r="F9" s="261"/>
      <c r="G9" s="261"/>
      <c r="H9" s="261"/>
      <c r="I9" s="261"/>
      <c r="J9" s="261"/>
      <c r="K9" s="267"/>
    </row>
    <row r="10" spans="1:11">
      <c r="A10" s="268">
        <v>2</v>
      </c>
      <c r="B10" s="247" t="s">
        <v>493</v>
      </c>
      <c r="C10" s="395">
        <v>17246709.77036535</v>
      </c>
      <c r="D10" s="531">
        <v>411962881.68095547</v>
      </c>
      <c r="E10" s="531">
        <v>429209591.45132065</v>
      </c>
      <c r="F10" s="395">
        <v>2965871.4612540468</v>
      </c>
      <c r="G10" s="531">
        <v>108156632.56095034</v>
      </c>
      <c r="H10" s="531">
        <v>111122504.02220438</v>
      </c>
      <c r="I10" s="395">
        <v>640140.95157044113</v>
      </c>
      <c r="J10" s="531">
        <v>11373867.399817184</v>
      </c>
      <c r="K10" s="532">
        <v>12014008.351387626</v>
      </c>
    </row>
    <row r="11" spans="1:11">
      <c r="A11" s="268">
        <v>3</v>
      </c>
      <c r="B11" s="247" t="s">
        <v>494</v>
      </c>
      <c r="C11" s="395">
        <v>141638186.98486957</v>
      </c>
      <c r="D11" s="531">
        <v>667026139.041201</v>
      </c>
      <c r="E11" s="531">
        <v>808664326.02607048</v>
      </c>
      <c r="F11" s="395">
        <v>26476019.086532619</v>
      </c>
      <c r="G11" s="531">
        <v>292770469.2604391</v>
      </c>
      <c r="H11" s="531">
        <v>319246488.34697175</v>
      </c>
      <c r="I11" s="395">
        <v>20907314.088527169</v>
      </c>
      <c r="J11" s="531">
        <v>132031368.3674745</v>
      </c>
      <c r="K11" s="532">
        <v>152938682.45600164</v>
      </c>
    </row>
    <row r="12" spans="1:11">
      <c r="A12" s="268">
        <v>4</v>
      </c>
      <c r="B12" s="247" t="s">
        <v>495</v>
      </c>
      <c r="C12" s="395">
        <v>0</v>
      </c>
      <c r="D12" s="531">
        <v>0</v>
      </c>
      <c r="E12" s="531">
        <v>0</v>
      </c>
      <c r="F12" s="395">
        <v>0</v>
      </c>
      <c r="G12" s="531">
        <v>0</v>
      </c>
      <c r="H12" s="531">
        <v>0</v>
      </c>
      <c r="I12" s="395">
        <v>0</v>
      </c>
      <c r="J12" s="531">
        <v>0</v>
      </c>
      <c r="K12" s="532">
        <v>0</v>
      </c>
    </row>
    <row r="13" spans="1:11">
      <c r="A13" s="268">
        <v>5</v>
      </c>
      <c r="B13" s="247" t="s">
        <v>496</v>
      </c>
      <c r="C13" s="395">
        <v>45773800.086388171</v>
      </c>
      <c r="D13" s="531">
        <v>20933625.281245917</v>
      </c>
      <c r="E13" s="531">
        <v>66707425.36763408</v>
      </c>
      <c r="F13" s="395">
        <v>9874263.9359030165</v>
      </c>
      <c r="G13" s="531">
        <v>5456217.5545488941</v>
      </c>
      <c r="H13" s="531">
        <v>15330481.490451911</v>
      </c>
      <c r="I13" s="395">
        <v>3718961.9315844704</v>
      </c>
      <c r="J13" s="531">
        <v>1647084.0216298276</v>
      </c>
      <c r="K13" s="532">
        <v>5366045.9532142961</v>
      </c>
    </row>
    <row r="14" spans="1:11">
      <c r="A14" s="268">
        <v>6</v>
      </c>
      <c r="B14" s="247" t="s">
        <v>511</v>
      </c>
      <c r="C14" s="395"/>
      <c r="D14" s="531"/>
      <c r="E14" s="531"/>
      <c r="F14" s="395"/>
      <c r="G14" s="531"/>
      <c r="H14" s="531"/>
      <c r="I14" s="395"/>
      <c r="J14" s="531"/>
      <c r="K14" s="532"/>
    </row>
    <row r="15" spans="1:11">
      <c r="A15" s="268">
        <v>7</v>
      </c>
      <c r="B15" s="247" t="s">
        <v>498</v>
      </c>
      <c r="C15" s="395">
        <v>21495913.897173911</v>
      </c>
      <c r="D15" s="531">
        <v>16166371.048043478</v>
      </c>
      <c r="E15" s="531">
        <v>37662284.945217378</v>
      </c>
      <c r="F15" s="395">
        <v>6352591.0543213608</v>
      </c>
      <c r="G15" s="531">
        <v>8428155.145556163</v>
      </c>
      <c r="H15" s="531">
        <v>14780746.199877525</v>
      </c>
      <c r="I15" s="395">
        <v>6352591.0543213608</v>
      </c>
      <c r="J15" s="531">
        <v>8428155.145556163</v>
      </c>
      <c r="K15" s="532">
        <v>14780746.199877525</v>
      </c>
    </row>
    <row r="16" spans="1:11">
      <c r="A16" s="268">
        <v>8</v>
      </c>
      <c r="B16" s="248" t="s">
        <v>499</v>
      </c>
      <c r="C16" s="533">
        <f>SUM(C10:C15)</f>
        <v>226154610.73879701</v>
      </c>
      <c r="D16" s="533">
        <f t="shared" ref="D16:K16" si="0">SUM(D10:D15)</f>
        <v>1116089017.051446</v>
      </c>
      <c r="E16" s="533">
        <f t="shared" si="0"/>
        <v>1342243627.7902427</v>
      </c>
      <c r="F16" s="533">
        <f t="shared" si="0"/>
        <v>45668745.538011044</v>
      </c>
      <c r="G16" s="533">
        <f t="shared" si="0"/>
        <v>414811474.52149451</v>
      </c>
      <c r="H16" s="533">
        <f t="shared" si="0"/>
        <v>460480220.05950558</v>
      </c>
      <c r="I16" s="533">
        <f t="shared" si="0"/>
        <v>31619008.026003439</v>
      </c>
      <c r="J16" s="533">
        <f t="shared" si="0"/>
        <v>153480474.93447766</v>
      </c>
      <c r="K16" s="534">
        <f t="shared" si="0"/>
        <v>185099482.96048108</v>
      </c>
    </row>
    <row r="17" spans="1:11">
      <c r="A17" s="266" t="s">
        <v>500</v>
      </c>
      <c r="B17" s="261"/>
      <c r="C17" s="395"/>
      <c r="D17" s="531"/>
      <c r="E17" s="531"/>
      <c r="F17" s="395"/>
      <c r="G17" s="531"/>
      <c r="H17" s="531"/>
      <c r="I17" s="395"/>
      <c r="J17" s="531"/>
      <c r="K17" s="532"/>
    </row>
    <row r="18" spans="1:11">
      <c r="A18" s="268">
        <v>9</v>
      </c>
      <c r="B18" s="247" t="s">
        <v>501</v>
      </c>
      <c r="C18" s="395">
        <v>0</v>
      </c>
      <c r="D18" s="531">
        <v>0</v>
      </c>
      <c r="E18" s="531">
        <v>0</v>
      </c>
      <c r="F18" s="395">
        <v>0</v>
      </c>
      <c r="G18" s="531">
        <v>0</v>
      </c>
      <c r="H18" s="531">
        <v>0</v>
      </c>
      <c r="I18" s="395">
        <v>0</v>
      </c>
      <c r="J18" s="531">
        <v>0</v>
      </c>
      <c r="K18" s="532">
        <v>0</v>
      </c>
    </row>
    <row r="19" spans="1:11">
      <c r="A19" s="268">
        <v>10</v>
      </c>
      <c r="B19" s="247" t="s">
        <v>502</v>
      </c>
      <c r="C19" s="395">
        <v>266289659.56408063</v>
      </c>
      <c r="D19" s="531">
        <v>674134534.46384048</v>
      </c>
      <c r="E19" s="531">
        <v>940424194.02792096</v>
      </c>
      <c r="F19" s="395">
        <v>15651183.816763058</v>
      </c>
      <c r="G19" s="531">
        <v>7115429.4120844137</v>
      </c>
      <c r="H19" s="531">
        <v>22766613.228847463</v>
      </c>
      <c r="I19" s="395">
        <v>40609050.519045658</v>
      </c>
      <c r="J19" s="531">
        <v>407986461.67741048</v>
      </c>
      <c r="K19" s="532">
        <v>448595512.19645625</v>
      </c>
    </row>
    <row r="20" spans="1:11">
      <c r="A20" s="268">
        <v>11</v>
      </c>
      <c r="B20" s="247" t="s">
        <v>503</v>
      </c>
      <c r="C20" s="395">
        <v>12288303.333673026</v>
      </c>
      <c r="D20" s="531">
        <v>1016136.0074999998</v>
      </c>
      <c r="E20" s="531">
        <v>13304439.341173021</v>
      </c>
      <c r="F20" s="395">
        <v>362299.18804347824</v>
      </c>
      <c r="G20" s="531">
        <v>0</v>
      </c>
      <c r="H20" s="531">
        <v>362299.18804347824</v>
      </c>
      <c r="I20" s="395">
        <v>362299.18804347824</v>
      </c>
      <c r="J20" s="531">
        <v>0</v>
      </c>
      <c r="K20" s="532">
        <v>362299.18804347824</v>
      </c>
    </row>
    <row r="21" spans="1:11" ht="13.5" thickBot="1">
      <c r="A21" s="203">
        <v>12</v>
      </c>
      <c r="B21" s="269" t="s">
        <v>504</v>
      </c>
      <c r="C21" s="535">
        <f>SUM(C18:C20)</f>
        <v>278577962.89775366</v>
      </c>
      <c r="D21" s="535">
        <f t="shared" ref="D21:K21" si="1">SUM(D18:D20)</f>
        <v>675150670.47134054</v>
      </c>
      <c r="E21" s="535">
        <f t="shared" si="1"/>
        <v>953728633.36909401</v>
      </c>
      <c r="F21" s="535">
        <f t="shared" si="1"/>
        <v>16013483.004806537</v>
      </c>
      <c r="G21" s="535">
        <f t="shared" si="1"/>
        <v>7115429.4120844137</v>
      </c>
      <c r="H21" s="535">
        <f t="shared" si="1"/>
        <v>23128912.416890942</v>
      </c>
      <c r="I21" s="535">
        <f t="shared" si="1"/>
        <v>40971349.707089134</v>
      </c>
      <c r="J21" s="535">
        <f t="shared" si="1"/>
        <v>407986461.67741048</v>
      </c>
      <c r="K21" s="536">
        <f t="shared" si="1"/>
        <v>448957811.38449973</v>
      </c>
    </row>
    <row r="22" spans="1:11" ht="38.25" customHeight="1" thickBot="1">
      <c r="A22" s="258"/>
      <c r="B22" s="259"/>
      <c r="C22" s="259"/>
      <c r="D22" s="259"/>
      <c r="E22" s="259"/>
      <c r="F22" s="728" t="s">
        <v>505</v>
      </c>
      <c r="G22" s="729"/>
      <c r="H22" s="729"/>
      <c r="I22" s="728" t="s">
        <v>506</v>
      </c>
      <c r="J22" s="729"/>
      <c r="K22" s="730"/>
    </row>
    <row r="23" spans="1:11">
      <c r="A23" s="252">
        <v>13</v>
      </c>
      <c r="B23" s="249" t="s">
        <v>491</v>
      </c>
      <c r="C23" s="257"/>
      <c r="D23" s="257"/>
      <c r="E23" s="257"/>
      <c r="F23" s="537">
        <f>F8</f>
        <v>76180007.366739124</v>
      </c>
      <c r="G23" s="537">
        <f t="shared" ref="G23:K23" si="2">G8</f>
        <v>653408616.63828981</v>
      </c>
      <c r="H23" s="537">
        <f t="shared" si="2"/>
        <v>729588624.00502896</v>
      </c>
      <c r="I23" s="537">
        <f t="shared" si="2"/>
        <v>51222324.784456521</v>
      </c>
      <c r="J23" s="537">
        <f t="shared" si="2"/>
        <v>273326445.89394188</v>
      </c>
      <c r="K23" s="538">
        <f t="shared" si="2"/>
        <v>324548770.67839837</v>
      </c>
    </row>
    <row r="24" spans="1:11" ht="13.5" thickBot="1">
      <c r="A24" s="253">
        <v>14</v>
      </c>
      <c r="B24" s="250" t="s">
        <v>507</v>
      </c>
      <c r="C24" s="270"/>
      <c r="D24" s="256"/>
      <c r="E24" s="401"/>
      <c r="F24" s="539">
        <f>MAX(F16-F21,F16*0.25)</f>
        <v>29655262.533204507</v>
      </c>
      <c r="G24" s="539">
        <f t="shared" ref="G24:K24" si="3">MAX(G16-G21,G16*0.25)</f>
        <v>407696045.10941011</v>
      </c>
      <c r="H24" s="539">
        <f t="shared" si="3"/>
        <v>437351307.64261466</v>
      </c>
      <c r="I24" s="539">
        <f t="shared" si="3"/>
        <v>7904752.0065008597</v>
      </c>
      <c r="J24" s="539">
        <f t="shared" si="3"/>
        <v>38370118.733619414</v>
      </c>
      <c r="K24" s="540">
        <f t="shared" si="3"/>
        <v>46274870.740120269</v>
      </c>
    </row>
    <row r="25" spans="1:11" ht="13.5" thickBot="1">
      <c r="A25" s="254">
        <v>15</v>
      </c>
      <c r="B25" s="251" t="s">
        <v>508</v>
      </c>
      <c r="C25" s="255"/>
      <c r="D25" s="255"/>
      <c r="E25" s="255"/>
      <c r="F25" s="541">
        <f>F23/F24</f>
        <v>2.5688529070157995</v>
      </c>
      <c r="G25" s="541">
        <f t="shared" ref="G25:K25" si="4">G23/G24</f>
        <v>1.6026856882139728</v>
      </c>
      <c r="H25" s="541">
        <f t="shared" si="4"/>
        <v>1.6681981081470059</v>
      </c>
      <c r="I25" s="541">
        <f t="shared" si="4"/>
        <v>6.4799407675701062</v>
      </c>
      <c r="J25" s="541">
        <f t="shared" si="4"/>
        <v>7.1234193407500896</v>
      </c>
      <c r="K25" s="542">
        <f t="shared" si="4"/>
        <v>7.0134992380867933</v>
      </c>
    </row>
    <row r="28" spans="1:11" ht="38.25">
      <c r="B28" s="18"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activeCell="B2" sqref="B2"/>
      <selection pane="topRight" activeCell="B2" sqref="B2"/>
      <selection pane="bottomLeft" activeCell="B2" sqref="B2"/>
      <selection pane="bottomRight" activeCell="D15" sqref="D15"/>
    </sheetView>
  </sheetViews>
  <sheetFormatPr defaultColWidth="9.28515625" defaultRowHeight="15"/>
  <cols>
    <col min="1" max="1" width="10.5703125" style="61" bestFit="1" customWidth="1"/>
    <col min="2" max="2" width="95" style="61" customWidth="1"/>
    <col min="3" max="3" width="12.5703125" style="61" bestFit="1" customWidth="1"/>
    <col min="4" max="4" width="10" style="61" bestFit="1" customWidth="1"/>
    <col min="5" max="5" width="18.28515625" style="61" bestFit="1" customWidth="1"/>
    <col min="6" max="13" width="10.7109375" style="61" customWidth="1"/>
    <col min="14" max="14" width="31" style="61" bestFit="1" customWidth="1"/>
    <col min="15" max="16384" width="9.28515625" style="9"/>
  </cols>
  <sheetData>
    <row r="1" spans="1:14">
      <c r="A1" s="1" t="s">
        <v>188</v>
      </c>
      <c r="B1" s="61" t="str">
        <f>Info!C2</f>
        <v>სს "ბანკი ქართუ"</v>
      </c>
    </row>
    <row r="2" spans="1:14" ht="14.25" customHeight="1">
      <c r="A2" s="61" t="s">
        <v>189</v>
      </c>
      <c r="B2" s="641">
        <f>'1. key ratios'!B2</f>
        <v>44926</v>
      </c>
    </row>
    <row r="3" spans="1:14" ht="14.25" customHeight="1"/>
    <row r="4" spans="1:14" ht="15.75" thickBot="1">
      <c r="A4" s="1" t="s">
        <v>418</v>
      </c>
      <c r="B4" s="84" t="s">
        <v>77</v>
      </c>
    </row>
    <row r="5" spans="1:14" s="20" customFormat="1" ht="12.75">
      <c r="A5" s="157"/>
      <c r="B5" s="158"/>
      <c r="C5" s="159" t="s">
        <v>0</v>
      </c>
      <c r="D5" s="159" t="s">
        <v>1</v>
      </c>
      <c r="E5" s="159" t="s">
        <v>2</v>
      </c>
      <c r="F5" s="159" t="s">
        <v>3</v>
      </c>
      <c r="G5" s="159" t="s">
        <v>4</v>
      </c>
      <c r="H5" s="159" t="s">
        <v>5</v>
      </c>
      <c r="I5" s="159" t="s">
        <v>238</v>
      </c>
      <c r="J5" s="159" t="s">
        <v>239</v>
      </c>
      <c r="K5" s="159" t="s">
        <v>240</v>
      </c>
      <c r="L5" s="159" t="s">
        <v>241</v>
      </c>
      <c r="M5" s="159" t="s">
        <v>242</v>
      </c>
      <c r="N5" s="160" t="s">
        <v>243</v>
      </c>
    </row>
    <row r="6" spans="1:14" ht="45">
      <c r="A6" s="149"/>
      <c r="B6" s="94"/>
      <c r="C6" s="95" t="s">
        <v>87</v>
      </c>
      <c r="D6" s="96" t="s">
        <v>76</v>
      </c>
      <c r="E6" s="97" t="s">
        <v>86</v>
      </c>
      <c r="F6" s="98">
        <v>0</v>
      </c>
      <c r="G6" s="98">
        <v>0.2</v>
      </c>
      <c r="H6" s="98">
        <v>0.35</v>
      </c>
      <c r="I6" s="98">
        <v>0.5</v>
      </c>
      <c r="J6" s="98">
        <v>0.75</v>
      </c>
      <c r="K6" s="98">
        <v>1</v>
      </c>
      <c r="L6" s="98">
        <v>1.5</v>
      </c>
      <c r="M6" s="98">
        <v>2.5</v>
      </c>
      <c r="N6" s="150" t="s">
        <v>77</v>
      </c>
    </row>
    <row r="7" spans="1:14">
      <c r="A7" s="151">
        <v>1</v>
      </c>
      <c r="B7" s="99" t="s">
        <v>78</v>
      </c>
      <c r="C7" s="227">
        <f>SUM(C8:C13)</f>
        <v>0</v>
      </c>
      <c r="D7" s="94"/>
      <c r="E7" s="230">
        <f t="shared" ref="E7:M7" si="0">SUM(E8:E13)</f>
        <v>0</v>
      </c>
      <c r="F7" s="227">
        <f>SUM(F8:F13)</f>
        <v>0</v>
      </c>
      <c r="G7" s="227">
        <f t="shared" si="0"/>
        <v>0</v>
      </c>
      <c r="H7" s="227">
        <f t="shared" si="0"/>
        <v>0</v>
      </c>
      <c r="I7" s="227">
        <f t="shared" si="0"/>
        <v>0</v>
      </c>
      <c r="J7" s="227">
        <f t="shared" si="0"/>
        <v>0</v>
      </c>
      <c r="K7" s="227">
        <f t="shared" si="0"/>
        <v>0</v>
      </c>
      <c r="L7" s="227">
        <f t="shared" si="0"/>
        <v>0</v>
      </c>
      <c r="M7" s="227">
        <f t="shared" si="0"/>
        <v>0</v>
      </c>
      <c r="N7" s="152">
        <f>SUM(N8:N13)</f>
        <v>0</v>
      </c>
    </row>
    <row r="8" spans="1:14">
      <c r="A8" s="151">
        <v>1.1000000000000001</v>
      </c>
      <c r="B8" s="100" t="s">
        <v>79</v>
      </c>
      <c r="C8" s="543">
        <v>0</v>
      </c>
      <c r="D8" s="101">
        <v>0.02</v>
      </c>
      <c r="E8" s="230">
        <f>C8*D8</f>
        <v>0</v>
      </c>
      <c r="F8" s="228"/>
      <c r="G8" s="228"/>
      <c r="H8" s="228"/>
      <c r="I8" s="228"/>
      <c r="J8" s="228"/>
      <c r="K8" s="543">
        <v>0</v>
      </c>
      <c r="L8" s="228"/>
      <c r="M8" s="228"/>
      <c r="N8" s="152">
        <f>SUMPRODUCT($F$6:$M$6,F8:M8)</f>
        <v>0</v>
      </c>
    </row>
    <row r="9" spans="1:14">
      <c r="A9" s="151">
        <v>1.2</v>
      </c>
      <c r="B9" s="100" t="s">
        <v>80</v>
      </c>
      <c r="C9" s="228">
        <v>0</v>
      </c>
      <c r="D9" s="101">
        <v>0.05</v>
      </c>
      <c r="E9" s="230">
        <f>C9*D9</f>
        <v>0</v>
      </c>
      <c r="F9" s="228"/>
      <c r="G9" s="228"/>
      <c r="H9" s="228"/>
      <c r="I9" s="228"/>
      <c r="J9" s="228"/>
      <c r="K9" s="228"/>
      <c r="L9" s="228"/>
      <c r="M9" s="228"/>
      <c r="N9" s="152">
        <f t="shared" ref="N9:N12" si="1">SUMPRODUCT($F$6:$M$6,F9:M9)</f>
        <v>0</v>
      </c>
    </row>
    <row r="10" spans="1:14">
      <c r="A10" s="151">
        <v>1.3</v>
      </c>
      <c r="B10" s="100" t="s">
        <v>81</v>
      </c>
      <c r="C10" s="228">
        <v>0</v>
      </c>
      <c r="D10" s="101">
        <v>0.08</v>
      </c>
      <c r="E10" s="230">
        <f>C10*D10</f>
        <v>0</v>
      </c>
      <c r="F10" s="228"/>
      <c r="G10" s="228"/>
      <c r="H10" s="228"/>
      <c r="I10" s="228"/>
      <c r="J10" s="228"/>
      <c r="K10" s="228"/>
      <c r="L10" s="228"/>
      <c r="M10" s="228"/>
      <c r="N10" s="152">
        <f>SUMPRODUCT($F$6:$M$6,F10:M10)</f>
        <v>0</v>
      </c>
    </row>
    <row r="11" spans="1:14">
      <c r="A11" s="151">
        <v>1.4</v>
      </c>
      <c r="B11" s="100" t="s">
        <v>82</v>
      </c>
      <c r="C11" s="228">
        <v>0</v>
      </c>
      <c r="D11" s="101">
        <v>0.11</v>
      </c>
      <c r="E11" s="230">
        <f>C11*D11</f>
        <v>0</v>
      </c>
      <c r="F11" s="228"/>
      <c r="G11" s="228"/>
      <c r="H11" s="228"/>
      <c r="I11" s="228"/>
      <c r="J11" s="228"/>
      <c r="K11" s="228"/>
      <c r="L11" s="228"/>
      <c r="M11" s="228"/>
      <c r="N11" s="152">
        <f t="shared" si="1"/>
        <v>0</v>
      </c>
    </row>
    <row r="12" spans="1:14">
      <c r="A12" s="151">
        <v>1.5</v>
      </c>
      <c r="B12" s="100" t="s">
        <v>83</v>
      </c>
      <c r="C12" s="228">
        <v>0</v>
      </c>
      <c r="D12" s="101">
        <v>0.14000000000000001</v>
      </c>
      <c r="E12" s="230">
        <f>C12*D12</f>
        <v>0</v>
      </c>
      <c r="F12" s="228"/>
      <c r="G12" s="228"/>
      <c r="H12" s="228"/>
      <c r="I12" s="228"/>
      <c r="J12" s="228"/>
      <c r="K12" s="228"/>
      <c r="L12" s="228"/>
      <c r="M12" s="228"/>
      <c r="N12" s="152">
        <f t="shared" si="1"/>
        <v>0</v>
      </c>
    </row>
    <row r="13" spans="1:14">
      <c r="A13" s="151">
        <v>1.6</v>
      </c>
      <c r="B13" s="102" t="s">
        <v>84</v>
      </c>
      <c r="C13" s="228">
        <v>0</v>
      </c>
      <c r="D13" s="103"/>
      <c r="E13" s="228"/>
      <c r="F13" s="228"/>
      <c r="G13" s="228"/>
      <c r="H13" s="228"/>
      <c r="I13" s="228"/>
      <c r="J13" s="228"/>
      <c r="K13" s="228"/>
      <c r="L13" s="228"/>
      <c r="M13" s="228"/>
      <c r="N13" s="152">
        <f>SUMPRODUCT($F$6:$M$6,F13:M13)</f>
        <v>0</v>
      </c>
    </row>
    <row r="14" spans="1:14">
      <c r="A14" s="151">
        <v>2</v>
      </c>
      <c r="B14" s="104" t="s">
        <v>85</v>
      </c>
      <c r="C14" s="227">
        <f>SUM(C15:C20)</f>
        <v>0</v>
      </c>
      <c r="D14" s="94"/>
      <c r="E14" s="230">
        <f t="shared" ref="E14:M14" si="2">SUM(E15:E20)</f>
        <v>0</v>
      </c>
      <c r="F14" s="228">
        <f t="shared" si="2"/>
        <v>0</v>
      </c>
      <c r="G14" s="228">
        <f t="shared" si="2"/>
        <v>0</v>
      </c>
      <c r="H14" s="228">
        <f t="shared" si="2"/>
        <v>0</v>
      </c>
      <c r="I14" s="228">
        <f t="shared" si="2"/>
        <v>0</v>
      </c>
      <c r="J14" s="228">
        <f t="shared" si="2"/>
        <v>0</v>
      </c>
      <c r="K14" s="228">
        <f t="shared" si="2"/>
        <v>0</v>
      </c>
      <c r="L14" s="228">
        <f t="shared" si="2"/>
        <v>0</v>
      </c>
      <c r="M14" s="228">
        <f t="shared" si="2"/>
        <v>0</v>
      </c>
      <c r="N14" s="152">
        <f>SUM(N15:N20)</f>
        <v>0</v>
      </c>
    </row>
    <row r="15" spans="1:14">
      <c r="A15" s="151">
        <v>2.1</v>
      </c>
      <c r="B15" s="102" t="s">
        <v>79</v>
      </c>
      <c r="C15" s="228"/>
      <c r="D15" s="101">
        <v>5.0000000000000001E-3</v>
      </c>
      <c r="E15" s="230">
        <f>C15*D15</f>
        <v>0</v>
      </c>
      <c r="F15" s="228"/>
      <c r="G15" s="228"/>
      <c r="H15" s="228"/>
      <c r="I15" s="228"/>
      <c r="J15" s="228"/>
      <c r="K15" s="228"/>
      <c r="L15" s="228"/>
      <c r="M15" s="228"/>
      <c r="N15" s="152">
        <f>SUMPRODUCT($F$6:$M$6,F15:M15)</f>
        <v>0</v>
      </c>
    </row>
    <row r="16" spans="1:14">
      <c r="A16" s="151">
        <v>2.2000000000000002</v>
      </c>
      <c r="B16" s="102" t="s">
        <v>80</v>
      </c>
      <c r="C16" s="228"/>
      <c r="D16" s="101">
        <v>0.01</v>
      </c>
      <c r="E16" s="230">
        <f>C16*D16</f>
        <v>0</v>
      </c>
      <c r="F16" s="228"/>
      <c r="G16" s="228"/>
      <c r="H16" s="228"/>
      <c r="I16" s="228"/>
      <c r="J16" s="228"/>
      <c r="K16" s="228"/>
      <c r="L16" s="228"/>
      <c r="M16" s="228"/>
      <c r="N16" s="152">
        <f t="shared" ref="N16:N20" si="3">SUMPRODUCT($F$6:$M$6,F16:M16)</f>
        <v>0</v>
      </c>
    </row>
    <row r="17" spans="1:14">
      <c r="A17" s="151">
        <v>2.2999999999999998</v>
      </c>
      <c r="B17" s="102" t="s">
        <v>81</v>
      </c>
      <c r="C17" s="228"/>
      <c r="D17" s="101">
        <v>0.02</v>
      </c>
      <c r="E17" s="230">
        <f>C17*D17</f>
        <v>0</v>
      </c>
      <c r="F17" s="228"/>
      <c r="G17" s="228"/>
      <c r="H17" s="228"/>
      <c r="I17" s="228"/>
      <c r="J17" s="228"/>
      <c r="K17" s="228"/>
      <c r="L17" s="228"/>
      <c r="M17" s="228"/>
      <c r="N17" s="152">
        <f t="shared" si="3"/>
        <v>0</v>
      </c>
    </row>
    <row r="18" spans="1:14">
      <c r="A18" s="151">
        <v>2.4</v>
      </c>
      <c r="B18" s="102" t="s">
        <v>82</v>
      </c>
      <c r="C18" s="228"/>
      <c r="D18" s="101">
        <v>0.03</v>
      </c>
      <c r="E18" s="230">
        <f>C18*D18</f>
        <v>0</v>
      </c>
      <c r="F18" s="228"/>
      <c r="G18" s="228"/>
      <c r="H18" s="228"/>
      <c r="I18" s="228"/>
      <c r="J18" s="228"/>
      <c r="K18" s="228"/>
      <c r="L18" s="228"/>
      <c r="M18" s="228"/>
      <c r="N18" s="152">
        <f t="shared" si="3"/>
        <v>0</v>
      </c>
    </row>
    <row r="19" spans="1:14">
      <c r="A19" s="151">
        <v>2.5</v>
      </c>
      <c r="B19" s="102" t="s">
        <v>83</v>
      </c>
      <c r="C19" s="228"/>
      <c r="D19" s="101">
        <v>0.04</v>
      </c>
      <c r="E19" s="230">
        <f>C19*D19</f>
        <v>0</v>
      </c>
      <c r="F19" s="228"/>
      <c r="G19" s="228"/>
      <c r="H19" s="228"/>
      <c r="I19" s="228"/>
      <c r="J19" s="228"/>
      <c r="K19" s="228"/>
      <c r="L19" s="228"/>
      <c r="M19" s="228"/>
      <c r="N19" s="152">
        <f t="shared" si="3"/>
        <v>0</v>
      </c>
    </row>
    <row r="20" spans="1:14">
      <c r="A20" s="151">
        <v>2.6</v>
      </c>
      <c r="B20" s="102" t="s">
        <v>84</v>
      </c>
      <c r="C20" s="228"/>
      <c r="D20" s="103"/>
      <c r="E20" s="231"/>
      <c r="F20" s="228"/>
      <c r="G20" s="228"/>
      <c r="H20" s="228"/>
      <c r="I20" s="228"/>
      <c r="J20" s="228"/>
      <c r="K20" s="228"/>
      <c r="L20" s="228"/>
      <c r="M20" s="228"/>
      <c r="N20" s="152">
        <f t="shared" si="3"/>
        <v>0</v>
      </c>
    </row>
    <row r="21" spans="1:14" ht="15.75" thickBot="1">
      <c r="A21" s="153">
        <v>3</v>
      </c>
      <c r="B21" s="154" t="s">
        <v>68</v>
      </c>
      <c r="C21" s="229">
        <f>C14+C7</f>
        <v>0</v>
      </c>
      <c r="D21" s="155"/>
      <c r="E21" s="232">
        <f>E14+E7</f>
        <v>0</v>
      </c>
      <c r="F21" s="233">
        <f>F7+F14</f>
        <v>0</v>
      </c>
      <c r="G21" s="233">
        <f t="shared" ref="G21:L21" si="4">G7+G14</f>
        <v>0</v>
      </c>
      <c r="H21" s="233">
        <f t="shared" si="4"/>
        <v>0</v>
      </c>
      <c r="I21" s="233">
        <f t="shared" si="4"/>
        <v>0</v>
      </c>
      <c r="J21" s="233">
        <f t="shared" si="4"/>
        <v>0</v>
      </c>
      <c r="K21" s="233">
        <f t="shared" si="4"/>
        <v>0</v>
      </c>
      <c r="L21" s="233">
        <f t="shared" si="4"/>
        <v>0</v>
      </c>
      <c r="M21" s="233">
        <f>M7+M14</f>
        <v>0</v>
      </c>
      <c r="N21" s="156">
        <f>N14+N7</f>
        <v>0</v>
      </c>
    </row>
    <row r="22" spans="1:14">
      <c r="E22" s="234"/>
      <c r="F22" s="234"/>
      <c r="G22" s="234"/>
      <c r="H22" s="234"/>
      <c r="I22" s="234"/>
      <c r="J22" s="234"/>
      <c r="K22" s="234"/>
      <c r="L22" s="234"/>
      <c r="M22" s="234"/>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14" workbookViewId="0">
      <selection activeCell="C14" sqref="C1:C1048576"/>
    </sheetView>
  </sheetViews>
  <sheetFormatPr defaultRowHeight="15"/>
  <cols>
    <col min="1" max="1" width="11.42578125" customWidth="1"/>
    <col min="2" max="2" width="76.7109375" style="2" customWidth="1"/>
    <col min="3" max="3" width="22.7109375" style="673" customWidth="1"/>
  </cols>
  <sheetData>
    <row r="1" spans="1:3">
      <c r="A1" s="1" t="s">
        <v>188</v>
      </c>
      <c r="B1" t="str">
        <f>Info!C2</f>
        <v>სს "ბანკი ქართუ"</v>
      </c>
    </row>
    <row r="2" spans="1:3">
      <c r="A2" s="1" t="s">
        <v>189</v>
      </c>
      <c r="B2" s="641">
        <f>'1. key ratios'!B2</f>
        <v>44926</v>
      </c>
    </row>
    <row r="3" spans="1:3">
      <c r="A3" s="1"/>
      <c r="B3"/>
    </row>
    <row r="4" spans="1:3">
      <c r="A4" s="1" t="s">
        <v>597</v>
      </c>
      <c r="B4" t="s">
        <v>556</v>
      </c>
    </row>
    <row r="5" spans="1:3">
      <c r="A5" s="316"/>
      <c r="B5" s="316" t="s">
        <v>557</v>
      </c>
      <c r="C5" s="674"/>
    </row>
    <row r="6" spans="1:3">
      <c r="A6" s="317">
        <v>1</v>
      </c>
      <c r="B6" s="328" t="s">
        <v>609</v>
      </c>
      <c r="C6" s="675">
        <v>1494311340.5691931</v>
      </c>
    </row>
    <row r="7" spans="1:3">
      <c r="A7" s="317">
        <v>2</v>
      </c>
      <c r="B7" s="328" t="s">
        <v>558</v>
      </c>
      <c r="C7" s="675">
        <v>-5409013</v>
      </c>
    </row>
    <row r="8" spans="1:3">
      <c r="A8" s="318">
        <v>3</v>
      </c>
      <c r="B8" s="329" t="s">
        <v>559</v>
      </c>
      <c r="C8" s="676">
        <v>1488902327.5691931</v>
      </c>
    </row>
    <row r="9" spans="1:3">
      <c r="A9" s="319"/>
      <c r="B9" s="319" t="s">
        <v>560</v>
      </c>
      <c r="C9" s="677"/>
    </row>
    <row r="10" spans="1:3">
      <c r="A10" s="320">
        <v>4</v>
      </c>
      <c r="B10" s="330" t="s">
        <v>561</v>
      </c>
      <c r="C10" s="675"/>
    </row>
    <row r="11" spans="1:3">
      <c r="A11" s="320">
        <v>5</v>
      </c>
      <c r="B11" s="331" t="s">
        <v>562</v>
      </c>
      <c r="C11" s="675"/>
    </row>
    <row r="12" spans="1:3">
      <c r="A12" s="320" t="s">
        <v>563</v>
      </c>
      <c r="B12" s="328" t="s">
        <v>564</v>
      </c>
      <c r="C12" s="676">
        <f>'15. CCR'!E21</f>
        <v>0</v>
      </c>
    </row>
    <row r="13" spans="1:3">
      <c r="A13" s="321">
        <v>6</v>
      </c>
      <c r="B13" s="332" t="s">
        <v>565</v>
      </c>
      <c r="C13" s="675"/>
    </row>
    <row r="14" spans="1:3">
      <c r="A14" s="321">
        <v>7</v>
      </c>
      <c r="B14" s="333" t="s">
        <v>566</v>
      </c>
      <c r="C14" s="675"/>
    </row>
    <row r="15" spans="1:3">
      <c r="A15" s="322">
        <v>8</v>
      </c>
      <c r="B15" s="328" t="s">
        <v>567</v>
      </c>
      <c r="C15" s="675"/>
    </row>
    <row r="16" spans="1:3" ht="24">
      <c r="A16" s="321">
        <v>9</v>
      </c>
      <c r="B16" s="333" t="s">
        <v>568</v>
      </c>
      <c r="C16" s="675"/>
    </row>
    <row r="17" spans="1:3">
      <c r="A17" s="321">
        <v>10</v>
      </c>
      <c r="B17" s="333" t="s">
        <v>569</v>
      </c>
      <c r="C17" s="675"/>
    </row>
    <row r="18" spans="1:3">
      <c r="A18" s="323">
        <v>11</v>
      </c>
      <c r="B18" s="334" t="s">
        <v>570</v>
      </c>
      <c r="C18" s="676">
        <f>SUM(C10:C17)</f>
        <v>0</v>
      </c>
    </row>
    <row r="19" spans="1:3">
      <c r="A19" s="319"/>
      <c r="B19" s="319" t="s">
        <v>571</v>
      </c>
      <c r="C19" s="678"/>
    </row>
    <row r="20" spans="1:3">
      <c r="A20" s="321">
        <v>12</v>
      </c>
      <c r="B20" s="330" t="s">
        <v>572</v>
      </c>
      <c r="C20" s="675"/>
    </row>
    <row r="21" spans="1:3">
      <c r="A21" s="321">
        <v>13</v>
      </c>
      <c r="B21" s="330" t="s">
        <v>573</v>
      </c>
      <c r="C21" s="675"/>
    </row>
    <row r="22" spans="1:3">
      <c r="A22" s="321">
        <v>14</v>
      </c>
      <c r="B22" s="330" t="s">
        <v>574</v>
      </c>
      <c r="C22" s="675"/>
    </row>
    <row r="23" spans="1:3" ht="24">
      <c r="A23" s="321" t="s">
        <v>575</v>
      </c>
      <c r="B23" s="330" t="s">
        <v>576</v>
      </c>
      <c r="C23" s="675"/>
    </row>
    <row r="24" spans="1:3">
      <c r="A24" s="321">
        <v>15</v>
      </c>
      <c r="B24" s="330" t="s">
        <v>577</v>
      </c>
      <c r="C24" s="675"/>
    </row>
    <row r="25" spans="1:3">
      <c r="A25" s="321" t="s">
        <v>578</v>
      </c>
      <c r="B25" s="328" t="s">
        <v>579</v>
      </c>
      <c r="C25" s="675"/>
    </row>
    <row r="26" spans="1:3">
      <c r="A26" s="323">
        <v>16</v>
      </c>
      <c r="B26" s="334" t="s">
        <v>580</v>
      </c>
      <c r="C26" s="676">
        <f>SUM(C20:C25)</f>
        <v>0</v>
      </c>
    </row>
    <row r="27" spans="1:3">
      <c r="A27" s="319"/>
      <c r="B27" s="319" t="s">
        <v>581</v>
      </c>
      <c r="C27" s="677"/>
    </row>
    <row r="28" spans="1:3">
      <c r="A28" s="320">
        <v>17</v>
      </c>
      <c r="B28" s="328" t="s">
        <v>582</v>
      </c>
      <c r="C28" s="675">
        <v>81670687.572819948</v>
      </c>
    </row>
    <row r="29" spans="1:3">
      <c r="A29" s="320">
        <v>18</v>
      </c>
      <c r="B29" s="328" t="s">
        <v>583</v>
      </c>
      <c r="C29" s="675">
        <v>-38370191.094039969</v>
      </c>
    </row>
    <row r="30" spans="1:3">
      <c r="A30" s="323">
        <v>19</v>
      </c>
      <c r="B30" s="334" t="s">
        <v>584</v>
      </c>
      <c r="C30" s="676">
        <v>43300496.478779979</v>
      </c>
    </row>
    <row r="31" spans="1:3">
      <c r="A31" s="324"/>
      <c r="B31" s="319" t="s">
        <v>585</v>
      </c>
      <c r="C31" s="677"/>
    </row>
    <row r="32" spans="1:3">
      <c r="A32" s="320" t="s">
        <v>586</v>
      </c>
      <c r="B32" s="330" t="s">
        <v>587</v>
      </c>
      <c r="C32" s="679"/>
    </row>
    <row r="33" spans="1:3">
      <c r="A33" s="320" t="s">
        <v>588</v>
      </c>
      <c r="B33" s="331" t="s">
        <v>589</v>
      </c>
      <c r="C33" s="679"/>
    </row>
    <row r="34" spans="1:3">
      <c r="A34" s="319"/>
      <c r="B34" s="319" t="s">
        <v>590</v>
      </c>
      <c r="C34" s="677"/>
    </row>
    <row r="35" spans="1:3">
      <c r="A35" s="323">
        <v>20</v>
      </c>
      <c r="B35" s="334" t="s">
        <v>89</v>
      </c>
      <c r="C35" s="676">
        <f>'1. key ratios'!C9</f>
        <v>307207424</v>
      </c>
    </row>
    <row r="36" spans="1:3">
      <c r="A36" s="323">
        <v>21</v>
      </c>
      <c r="B36" s="334" t="s">
        <v>591</v>
      </c>
      <c r="C36" s="676">
        <f>C8+C18+C26+C30</f>
        <v>1532202824.0479732</v>
      </c>
    </row>
    <row r="37" spans="1:3">
      <c r="A37" s="325"/>
      <c r="B37" s="325" t="s">
        <v>556</v>
      </c>
      <c r="C37" s="677"/>
    </row>
    <row r="38" spans="1:3">
      <c r="A38" s="323">
        <v>22</v>
      </c>
      <c r="B38" s="334" t="s">
        <v>556</v>
      </c>
      <c r="C38" s="676">
        <f>IFERROR(C35/C36,0)</f>
        <v>0.20050049456793154</v>
      </c>
    </row>
    <row r="39" spans="1:3">
      <c r="A39" s="325"/>
      <c r="B39" s="325" t="s">
        <v>592</v>
      </c>
      <c r="C39" s="677"/>
    </row>
    <row r="40" spans="1:3">
      <c r="A40" s="326" t="s">
        <v>593</v>
      </c>
      <c r="B40" s="330" t="s">
        <v>594</v>
      </c>
      <c r="C40" s="679"/>
    </row>
    <row r="41" spans="1:3">
      <c r="A41" s="327" t="s">
        <v>595</v>
      </c>
      <c r="B41" s="331" t="s">
        <v>596</v>
      </c>
      <c r="C41" s="679"/>
    </row>
    <row r="43" spans="1:3">
      <c r="B43" s="337" t="s">
        <v>610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M42"/>
  <sheetViews>
    <sheetView zoomScaleNormal="100" workbookViewId="0">
      <pane xSplit="2" ySplit="6" topLeftCell="C24" activePane="bottomRight" state="frozen"/>
      <selection activeCell="B2" sqref="B2"/>
      <selection pane="topRight" activeCell="B2" sqref="B2"/>
      <selection pane="bottomLeft" activeCell="B2" sqref="B2"/>
      <selection pane="bottomRight" activeCell="C26" sqref="C26:G36"/>
    </sheetView>
  </sheetViews>
  <sheetFormatPr defaultRowHeight="15"/>
  <cols>
    <col min="1" max="1" width="9.85546875" style="1" bestFit="1" customWidth="1"/>
    <col min="2" max="2" width="82.7109375" style="18" customWidth="1"/>
    <col min="3" max="7" width="17.5703125" style="1" customWidth="1"/>
    <col min="9" max="11" width="13.42578125" bestFit="1" customWidth="1"/>
    <col min="12" max="12" width="15" bestFit="1" customWidth="1"/>
    <col min="13" max="13" width="12.28515625" bestFit="1" customWidth="1"/>
  </cols>
  <sheetData>
    <row r="1" spans="1:13">
      <c r="A1" s="1" t="s">
        <v>188</v>
      </c>
      <c r="B1" s="1" t="str">
        <f>Info!C2</f>
        <v>სს "ბანკი ქართუ"</v>
      </c>
    </row>
    <row r="2" spans="1:13">
      <c r="A2" s="1" t="s">
        <v>189</v>
      </c>
      <c r="B2" s="641">
        <f>'1. key ratios'!B2</f>
        <v>44926</v>
      </c>
    </row>
    <row r="3" spans="1:13">
      <c r="B3" s="368"/>
    </row>
    <row r="4" spans="1:13" ht="15.75" thickBot="1">
      <c r="A4" s="1" t="s">
        <v>659</v>
      </c>
      <c r="B4" s="240" t="s">
        <v>624</v>
      </c>
    </row>
    <row r="5" spans="1:13">
      <c r="A5" s="371"/>
      <c r="B5" s="372"/>
      <c r="C5" s="733" t="s">
        <v>625</v>
      </c>
      <c r="D5" s="733"/>
      <c r="E5" s="733"/>
      <c r="F5" s="733"/>
      <c r="G5" s="734" t="s">
        <v>626</v>
      </c>
    </row>
    <row r="6" spans="1:13">
      <c r="A6" s="373"/>
      <c r="B6" s="374"/>
      <c r="C6" s="375" t="s">
        <v>627</v>
      </c>
      <c r="D6" s="375" t="s">
        <v>628</v>
      </c>
      <c r="E6" s="375" t="s">
        <v>629</v>
      </c>
      <c r="F6" s="375" t="s">
        <v>630</v>
      </c>
      <c r="G6" s="735"/>
    </row>
    <row r="7" spans="1:13">
      <c r="A7" s="376"/>
      <c r="B7" s="377" t="s">
        <v>631</v>
      </c>
      <c r="C7" s="378"/>
      <c r="D7" s="378"/>
      <c r="E7" s="378"/>
      <c r="F7" s="378"/>
      <c r="G7" s="379"/>
    </row>
    <row r="8" spans="1:13">
      <c r="A8" s="380">
        <v>1</v>
      </c>
      <c r="B8" s="381" t="s">
        <v>632</v>
      </c>
      <c r="C8" s="382">
        <f>SUM(C9:C10)</f>
        <v>119823424</v>
      </c>
      <c r="D8" s="382">
        <f>SUM(D9:D10)</f>
        <v>0</v>
      </c>
      <c r="E8" s="382">
        <f>SUM(E9:E10)</f>
        <v>0</v>
      </c>
      <c r="F8" s="382">
        <f>SUM(F9:F10)</f>
        <v>325297183.49049997</v>
      </c>
      <c r="G8" s="383">
        <f>SUM(G9:G10)</f>
        <v>445120607.49049997</v>
      </c>
      <c r="I8" s="645"/>
      <c r="J8" s="645"/>
      <c r="K8" s="645"/>
      <c r="L8" s="645"/>
      <c r="M8" s="645"/>
    </row>
    <row r="9" spans="1:13">
      <c r="A9" s="380">
        <v>2</v>
      </c>
      <c r="B9" s="384" t="s">
        <v>88</v>
      </c>
      <c r="C9" s="382">
        <v>119823424</v>
      </c>
      <c r="D9" s="382"/>
      <c r="E9" s="382"/>
      <c r="F9" s="382">
        <v>216025200</v>
      </c>
      <c r="G9" s="383">
        <v>335848624</v>
      </c>
      <c r="I9" s="645"/>
      <c r="J9" s="645"/>
      <c r="K9" s="645"/>
      <c r="L9" s="645"/>
      <c r="M9" s="645"/>
    </row>
    <row r="10" spans="1:13">
      <c r="A10" s="380">
        <v>3</v>
      </c>
      <c r="B10" s="384" t="s">
        <v>633</v>
      </c>
      <c r="C10" s="385"/>
      <c r="D10" s="385"/>
      <c r="E10" s="385"/>
      <c r="F10" s="382">
        <v>109271983.4905</v>
      </c>
      <c r="G10" s="383">
        <v>109271983.4905</v>
      </c>
      <c r="I10" s="645"/>
      <c r="J10" s="645"/>
      <c r="K10" s="645"/>
      <c r="L10" s="645"/>
      <c r="M10" s="645"/>
    </row>
    <row r="11" spans="1:13" ht="26.25">
      <c r="A11" s="380">
        <v>4</v>
      </c>
      <c r="B11" s="381" t="s">
        <v>634</v>
      </c>
      <c r="C11" s="382">
        <f>SUM(C12:C13)</f>
        <v>211842101.09130049</v>
      </c>
      <c r="D11" s="382">
        <f>SUM(D12:D13)</f>
        <v>72223817.174500003</v>
      </c>
      <c r="E11" s="382">
        <f>SUM(E12:E13)</f>
        <v>142668322.61209995</v>
      </c>
      <c r="F11" s="382">
        <f>SUM(F12:F13)</f>
        <v>0</v>
      </c>
      <c r="G11" s="383">
        <f>SUM(G12:G13)</f>
        <v>395477848.4234854</v>
      </c>
      <c r="I11" s="645"/>
      <c r="J11" s="645"/>
      <c r="K11" s="645"/>
      <c r="L11" s="645"/>
      <c r="M11" s="645"/>
    </row>
    <row r="12" spans="1:13">
      <c r="A12" s="380">
        <v>5</v>
      </c>
      <c r="B12" s="384" t="s">
        <v>635</v>
      </c>
      <c r="C12" s="382">
        <v>194439785.51330048</v>
      </c>
      <c r="D12" s="386">
        <v>68429266.381300002</v>
      </c>
      <c r="E12" s="382">
        <v>141821454.73769996</v>
      </c>
      <c r="F12" s="382"/>
      <c r="G12" s="383">
        <v>384455981.30068541</v>
      </c>
      <c r="I12" s="645"/>
      <c r="J12" s="645"/>
      <c r="K12" s="645"/>
      <c r="L12" s="645"/>
      <c r="M12" s="645"/>
    </row>
    <row r="13" spans="1:13">
      <c r="A13" s="380">
        <v>6</v>
      </c>
      <c r="B13" s="384" t="s">
        <v>636</v>
      </c>
      <c r="C13" s="382">
        <v>17402315.578000002</v>
      </c>
      <c r="D13" s="386">
        <v>3794550.7932000002</v>
      </c>
      <c r="E13" s="382">
        <v>846867.87439999997</v>
      </c>
      <c r="F13" s="382"/>
      <c r="G13" s="383">
        <v>11021867.122800002</v>
      </c>
      <c r="I13" s="645"/>
      <c r="J13" s="645"/>
      <c r="K13" s="645"/>
      <c r="L13" s="645"/>
      <c r="M13" s="645"/>
    </row>
    <row r="14" spans="1:13">
      <c r="A14" s="380">
        <v>7</v>
      </c>
      <c r="B14" s="381" t="s">
        <v>637</v>
      </c>
      <c r="C14" s="382">
        <f>SUM(C15:C16)</f>
        <v>287215232.19549996</v>
      </c>
      <c r="D14" s="382">
        <f>SUM(D15:D16)</f>
        <v>234055144.75360003</v>
      </c>
      <c r="E14" s="382">
        <f>SUM(E15:E16)</f>
        <v>46968496.272499993</v>
      </c>
      <c r="F14" s="382">
        <f>SUM(F15:F16)</f>
        <v>0</v>
      </c>
      <c r="G14" s="383">
        <f>SUM(G15:G16)</f>
        <v>267901755.17919996</v>
      </c>
      <c r="I14" s="645"/>
      <c r="J14" s="645"/>
      <c r="K14" s="645"/>
      <c r="L14" s="645"/>
      <c r="M14" s="645"/>
    </row>
    <row r="15" spans="1:13" ht="51.75">
      <c r="A15" s="380">
        <v>8</v>
      </c>
      <c r="B15" s="384" t="s">
        <v>638</v>
      </c>
      <c r="C15" s="382">
        <v>278435802.34229994</v>
      </c>
      <c r="D15" s="382">
        <v>210399211.74360004</v>
      </c>
      <c r="E15" s="382">
        <v>41066496.272499993</v>
      </c>
      <c r="F15" s="382"/>
      <c r="G15" s="383">
        <v>264950755.17919996</v>
      </c>
      <c r="I15" s="645"/>
      <c r="J15" s="645"/>
      <c r="K15" s="645"/>
      <c r="L15" s="645"/>
      <c r="M15" s="645"/>
    </row>
    <row r="16" spans="1:13" ht="26.25">
      <c r="A16" s="380">
        <v>9</v>
      </c>
      <c r="B16" s="384" t="s">
        <v>639</v>
      </c>
      <c r="C16" s="382">
        <v>8779429.8531999998</v>
      </c>
      <c r="D16" s="386">
        <v>23655933.010000002</v>
      </c>
      <c r="E16" s="382">
        <v>5902000</v>
      </c>
      <c r="F16" s="382"/>
      <c r="G16" s="383">
        <v>2951000</v>
      </c>
      <c r="I16" s="645"/>
      <c r="J16" s="645"/>
      <c r="K16" s="645"/>
      <c r="L16" s="645"/>
      <c r="M16" s="645"/>
    </row>
    <row r="17" spans="1:13">
      <c r="A17" s="380">
        <v>10</v>
      </c>
      <c r="B17" s="381" t="s">
        <v>640</v>
      </c>
      <c r="C17" s="382"/>
      <c r="D17" s="386"/>
      <c r="E17" s="382"/>
      <c r="F17" s="382"/>
      <c r="G17" s="383"/>
      <c r="I17" s="645"/>
      <c r="J17" s="645"/>
      <c r="K17" s="645"/>
      <c r="L17" s="645"/>
      <c r="M17" s="645"/>
    </row>
    <row r="18" spans="1:13">
      <c r="A18" s="380">
        <v>11</v>
      </c>
      <c r="B18" s="381" t="s">
        <v>95</v>
      </c>
      <c r="C18" s="382">
        <f>SUM(C19:C20)</f>
        <v>0</v>
      </c>
      <c r="D18" s="386">
        <f>SUM(D19:D20)</f>
        <v>36175995.891765535</v>
      </c>
      <c r="E18" s="382">
        <f>SUM(E19:E20)</f>
        <v>5920313.115400061</v>
      </c>
      <c r="F18" s="382">
        <f>SUM(F19:F20)</f>
        <v>7582350.5094999969</v>
      </c>
      <c r="G18" s="383">
        <f>SUM(G19:G20)</f>
        <v>0</v>
      </c>
      <c r="I18" s="645"/>
      <c r="J18" s="645"/>
      <c r="K18" s="645"/>
      <c r="L18" s="645"/>
      <c r="M18" s="645"/>
    </row>
    <row r="19" spans="1:13">
      <c r="A19" s="380">
        <v>12</v>
      </c>
      <c r="B19" s="384" t="s">
        <v>641</v>
      </c>
      <c r="C19" s="385"/>
      <c r="D19" s="386">
        <v>0</v>
      </c>
      <c r="E19" s="382">
        <v>0</v>
      </c>
      <c r="F19" s="382"/>
      <c r="G19" s="383">
        <v>0</v>
      </c>
      <c r="I19" s="645"/>
      <c r="J19" s="645"/>
      <c r="K19" s="645"/>
      <c r="L19" s="645"/>
      <c r="M19" s="645"/>
    </row>
    <row r="20" spans="1:13" ht="26.25">
      <c r="A20" s="380">
        <v>13</v>
      </c>
      <c r="B20" s="384" t="s">
        <v>642</v>
      </c>
      <c r="C20" s="382">
        <v>0</v>
      </c>
      <c r="D20" s="382">
        <v>36175995.891765535</v>
      </c>
      <c r="E20" s="382">
        <v>5920313.115400061</v>
      </c>
      <c r="F20" s="382">
        <v>7582350.5094999969</v>
      </c>
      <c r="G20" s="383">
        <v>0</v>
      </c>
      <c r="I20" s="645"/>
      <c r="J20" s="645"/>
      <c r="K20" s="645"/>
      <c r="L20" s="645"/>
      <c r="M20" s="645"/>
    </row>
    <row r="21" spans="1:13">
      <c r="A21" s="387">
        <v>14</v>
      </c>
      <c r="B21" s="388" t="s">
        <v>643</v>
      </c>
      <c r="C21" s="385"/>
      <c r="D21" s="385"/>
      <c r="E21" s="385"/>
      <c r="F21" s="385"/>
      <c r="G21" s="389">
        <f>SUM(G8,G11,G14,G17,G18)</f>
        <v>1108500211.0931854</v>
      </c>
      <c r="H21" s="646"/>
      <c r="I21" s="645"/>
      <c r="J21" s="645"/>
      <c r="K21" s="645"/>
      <c r="L21" s="645"/>
      <c r="M21" s="645"/>
    </row>
    <row r="22" spans="1:13">
      <c r="A22" s="390"/>
      <c r="B22" s="406" t="s">
        <v>644</v>
      </c>
      <c r="C22" s="391"/>
      <c r="D22" s="392"/>
      <c r="E22" s="391"/>
      <c r="F22" s="391"/>
      <c r="G22" s="393"/>
      <c r="I22" s="645"/>
      <c r="J22" s="645"/>
      <c r="K22" s="645"/>
      <c r="L22" s="645"/>
      <c r="M22" s="645"/>
    </row>
    <row r="23" spans="1:13">
      <c r="A23" s="380">
        <v>15</v>
      </c>
      <c r="B23" s="381" t="s">
        <v>491</v>
      </c>
      <c r="C23" s="394">
        <v>682469406.78999996</v>
      </c>
      <c r="D23" s="395">
        <v>0</v>
      </c>
      <c r="E23" s="394">
        <v>0</v>
      </c>
      <c r="F23" s="394"/>
      <c r="G23" s="383">
        <v>16207893.789500002</v>
      </c>
      <c r="I23" s="645"/>
      <c r="J23" s="645"/>
      <c r="K23" s="645"/>
      <c r="L23" s="645"/>
      <c r="M23" s="645"/>
    </row>
    <row r="24" spans="1:13">
      <c r="A24" s="380">
        <v>16</v>
      </c>
      <c r="B24" s="381" t="s">
        <v>645</v>
      </c>
      <c r="C24" s="382">
        <f>SUM(C25:C27,C29,C31)</f>
        <v>38259049.829999976</v>
      </c>
      <c r="D24" s="386">
        <f>SUM(D25:D27,D29,D31)</f>
        <v>169876395.47993544</v>
      </c>
      <c r="E24" s="382">
        <f>SUM(E25:E27,E29,E31)</f>
        <v>72530409.543237075</v>
      </c>
      <c r="F24" s="382">
        <f>SUM(F25:F27,F29,F31)</f>
        <v>270593791.61222911</v>
      </c>
      <c r="G24" s="383">
        <f>SUM(G25:G27,G29,G31)</f>
        <v>356946982.85648102</v>
      </c>
      <c r="I24" s="645"/>
      <c r="J24" s="645"/>
      <c r="K24" s="645"/>
      <c r="L24" s="645"/>
      <c r="M24" s="645"/>
    </row>
    <row r="25" spans="1:13" ht="26.25">
      <c r="A25" s="380">
        <v>17</v>
      </c>
      <c r="B25" s="384" t="s">
        <v>646</v>
      </c>
      <c r="C25" s="382"/>
      <c r="D25" s="386">
        <v>0</v>
      </c>
      <c r="E25" s="382"/>
      <c r="F25" s="382"/>
      <c r="G25" s="383"/>
      <c r="I25" s="645"/>
      <c r="J25" s="645"/>
      <c r="K25" s="645"/>
      <c r="L25" s="645"/>
      <c r="M25" s="645"/>
    </row>
    <row r="26" spans="1:13" ht="26.25">
      <c r="A26" s="380">
        <v>18</v>
      </c>
      <c r="B26" s="384" t="s">
        <v>647</v>
      </c>
      <c r="C26" s="382">
        <v>38259049.829999976</v>
      </c>
      <c r="D26" s="386">
        <v>0</v>
      </c>
      <c r="E26" s="382">
        <v>0</v>
      </c>
      <c r="F26" s="382">
        <v>0</v>
      </c>
      <c r="G26" s="383">
        <v>5738857.4744999958</v>
      </c>
      <c r="I26" s="645"/>
      <c r="J26" s="645"/>
      <c r="K26" s="645"/>
      <c r="L26" s="645"/>
      <c r="M26" s="645"/>
    </row>
    <row r="27" spans="1:13">
      <c r="A27" s="380">
        <v>19</v>
      </c>
      <c r="B27" s="384" t="s">
        <v>648</v>
      </c>
      <c r="C27" s="382"/>
      <c r="D27" s="386">
        <v>162886611.86369666</v>
      </c>
      <c r="E27" s="382">
        <v>68427369.528992936</v>
      </c>
      <c r="F27" s="382">
        <v>246888243.38445985</v>
      </c>
      <c r="G27" s="383">
        <v>325511997.57313567</v>
      </c>
      <c r="I27" s="645"/>
      <c r="J27" s="645"/>
      <c r="K27" s="645"/>
      <c r="L27" s="645"/>
      <c r="M27" s="645"/>
    </row>
    <row r="28" spans="1:13">
      <c r="A28" s="380">
        <v>20</v>
      </c>
      <c r="B28" s="396" t="s">
        <v>649</v>
      </c>
      <c r="C28" s="382"/>
      <c r="D28" s="386"/>
      <c r="E28" s="382"/>
      <c r="F28" s="382"/>
      <c r="G28" s="383"/>
      <c r="I28" s="645"/>
      <c r="J28" s="645"/>
      <c r="K28" s="645"/>
      <c r="L28" s="645"/>
      <c r="M28" s="645"/>
    </row>
    <row r="29" spans="1:13">
      <c r="A29" s="380">
        <v>21</v>
      </c>
      <c r="B29" s="384" t="s">
        <v>650</v>
      </c>
      <c r="C29" s="382"/>
      <c r="D29" s="386">
        <v>5974853.8462387715</v>
      </c>
      <c r="E29" s="382">
        <v>4103040.0142441434</v>
      </c>
      <c r="F29" s="382">
        <v>20734898.227769267</v>
      </c>
      <c r="G29" s="383">
        <v>22663610.423845336</v>
      </c>
      <c r="I29" s="645"/>
      <c r="J29" s="645"/>
      <c r="K29" s="645"/>
      <c r="L29" s="645"/>
      <c r="M29" s="645"/>
    </row>
    <row r="30" spans="1:13">
      <c r="A30" s="380">
        <v>22</v>
      </c>
      <c r="B30" s="396" t="s">
        <v>649</v>
      </c>
      <c r="C30" s="382"/>
      <c r="D30" s="386"/>
      <c r="E30" s="382"/>
      <c r="F30" s="382"/>
      <c r="G30" s="383"/>
      <c r="I30" s="645"/>
      <c r="J30" s="645"/>
      <c r="K30" s="645"/>
      <c r="L30" s="645"/>
      <c r="M30" s="645"/>
    </row>
    <row r="31" spans="1:13" ht="26.25">
      <c r="A31" s="380">
        <v>23</v>
      </c>
      <c r="B31" s="384" t="s">
        <v>651</v>
      </c>
      <c r="C31" s="382"/>
      <c r="D31" s="386">
        <v>1014929.77</v>
      </c>
      <c r="E31" s="382">
        <v>0</v>
      </c>
      <c r="F31" s="382">
        <v>2970649.9999999995</v>
      </c>
      <c r="G31" s="383">
        <v>3032517.3849999998</v>
      </c>
      <c r="I31" s="645"/>
      <c r="J31" s="645"/>
      <c r="K31" s="645"/>
      <c r="L31" s="645"/>
      <c r="M31" s="645"/>
    </row>
    <row r="32" spans="1:13">
      <c r="A32" s="380">
        <v>24</v>
      </c>
      <c r="B32" s="381" t="s">
        <v>652</v>
      </c>
      <c r="C32" s="382"/>
      <c r="D32" s="386"/>
      <c r="E32" s="382"/>
      <c r="F32" s="382"/>
      <c r="G32" s="383"/>
      <c r="I32" s="645"/>
      <c r="J32" s="645"/>
      <c r="K32" s="645"/>
      <c r="L32" s="645"/>
      <c r="M32" s="645"/>
    </row>
    <row r="33" spans="1:13">
      <c r="A33" s="380">
        <v>25</v>
      </c>
      <c r="B33" s="381" t="s">
        <v>165</v>
      </c>
      <c r="C33" s="382">
        <v>0</v>
      </c>
      <c r="D33" s="382">
        <v>31241596.930064589</v>
      </c>
      <c r="E33" s="382">
        <v>40844321.456762925</v>
      </c>
      <c r="F33" s="382">
        <v>173239746.35777092</v>
      </c>
      <c r="G33" s="383">
        <v>215348257.03496075</v>
      </c>
      <c r="I33" s="645"/>
      <c r="J33" s="645"/>
      <c r="K33" s="645"/>
      <c r="L33" s="645"/>
      <c r="M33" s="645"/>
    </row>
    <row r="34" spans="1:13">
      <c r="A34" s="380">
        <v>26</v>
      </c>
      <c r="B34" s="384" t="s">
        <v>653</v>
      </c>
      <c r="C34" s="385"/>
      <c r="D34" s="386">
        <v>0</v>
      </c>
      <c r="E34" s="382"/>
      <c r="F34" s="382"/>
      <c r="G34" s="383">
        <v>0</v>
      </c>
      <c r="I34" s="645"/>
      <c r="J34" s="645"/>
      <c r="K34" s="645"/>
      <c r="L34" s="645"/>
      <c r="M34" s="645"/>
    </row>
    <row r="35" spans="1:13">
      <c r="A35" s="380">
        <v>27</v>
      </c>
      <c r="B35" s="384" t="s">
        <v>654</v>
      </c>
      <c r="C35" s="382"/>
      <c r="D35" s="386">
        <v>31241596.930064589</v>
      </c>
      <c r="E35" s="382">
        <v>40844321.456762925</v>
      </c>
      <c r="F35" s="382">
        <v>173239746.35777092</v>
      </c>
      <c r="G35" s="383">
        <v>215348257.03496075</v>
      </c>
      <c r="I35" s="645"/>
      <c r="J35" s="645"/>
      <c r="K35" s="645"/>
      <c r="L35" s="645"/>
      <c r="M35" s="645"/>
    </row>
    <row r="36" spans="1:13">
      <c r="A36" s="380">
        <v>28</v>
      </c>
      <c r="B36" s="381" t="s">
        <v>655</v>
      </c>
      <c r="C36" s="382"/>
      <c r="D36" s="386">
        <v>51055074.784000002</v>
      </c>
      <c r="E36" s="382">
        <v>7982196.0531123998</v>
      </c>
      <c r="F36" s="382">
        <v>21732639.422139999</v>
      </c>
      <c r="G36" s="383">
        <v>7580391.1482722405</v>
      </c>
      <c r="I36" s="645"/>
      <c r="J36" s="645"/>
      <c r="K36" s="645"/>
      <c r="L36" s="645"/>
      <c r="M36" s="645"/>
    </row>
    <row r="37" spans="1:13">
      <c r="A37" s="387">
        <v>29</v>
      </c>
      <c r="B37" s="388" t="s">
        <v>656</v>
      </c>
      <c r="C37" s="385"/>
      <c r="D37" s="385"/>
      <c r="E37" s="385"/>
      <c r="F37" s="385"/>
      <c r="G37" s="389">
        <f>SUM(G23:G24,G32:G33,G36)</f>
        <v>596083524.8292141</v>
      </c>
      <c r="H37" s="646"/>
      <c r="I37" s="645"/>
      <c r="J37" s="645"/>
      <c r="K37" s="645"/>
      <c r="L37" s="645"/>
      <c r="M37" s="645"/>
    </row>
    <row r="38" spans="1:13">
      <c r="A38" s="376"/>
      <c r="B38" s="397"/>
      <c r="C38" s="544"/>
      <c r="D38" s="544"/>
      <c r="E38" s="544"/>
      <c r="F38" s="544"/>
      <c r="G38" s="398"/>
      <c r="I38" s="645"/>
      <c r="J38" s="645"/>
      <c r="K38" s="645"/>
      <c r="L38" s="645"/>
      <c r="M38" s="645"/>
    </row>
    <row r="39" spans="1:13" ht="15.75" thickBot="1">
      <c r="A39" s="399">
        <v>30</v>
      </c>
      <c r="B39" s="400" t="s">
        <v>624</v>
      </c>
      <c r="C39" s="270"/>
      <c r="D39" s="256"/>
      <c r="E39" s="256"/>
      <c r="F39" s="401"/>
      <c r="G39" s="402">
        <f>IFERROR(G21/G37,0)</f>
        <v>1.8596390688885178</v>
      </c>
      <c r="I39" s="645"/>
      <c r="J39" s="645"/>
      <c r="K39" s="645"/>
      <c r="L39" s="645"/>
      <c r="M39" s="645"/>
    </row>
    <row r="42" spans="1:13" ht="39">
      <c r="B42" s="18" t="s">
        <v>657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M51"/>
  <sheetViews>
    <sheetView zoomScaleNormal="100" workbookViewId="0">
      <pane xSplit="1" ySplit="5" topLeftCell="B6" activePane="bottomRight" state="frozen"/>
      <selection pane="topRight"/>
      <selection pane="bottomLeft"/>
      <selection pane="bottomRight" activeCell="C25" sqref="C25:C30"/>
    </sheetView>
  </sheetViews>
  <sheetFormatPr defaultRowHeight="15.75"/>
  <cols>
    <col min="1" max="1" width="9.5703125" style="15" bestFit="1" customWidth="1"/>
    <col min="2" max="2" width="92.42578125" style="13" customWidth="1"/>
    <col min="3" max="3" width="12.7109375" style="13" customWidth="1"/>
    <col min="4" max="7" width="12.7109375" style="1" customWidth="1"/>
    <col min="8" max="13" width="6.7109375" customWidth="1"/>
  </cols>
  <sheetData>
    <row r="1" spans="1:13">
      <c r="A1" s="14" t="s">
        <v>188</v>
      </c>
      <c r="B1" s="336" t="str">
        <f>Info!C2</f>
        <v>სს "ბანკი ქართუ"</v>
      </c>
    </row>
    <row r="2" spans="1:13">
      <c r="A2" s="14" t="s">
        <v>189</v>
      </c>
      <c r="B2" s="644">
        <v>44926</v>
      </c>
    </row>
    <row r="3" spans="1:13">
      <c r="A3" s="14"/>
    </row>
    <row r="4" spans="1:13" ht="16.5" thickBot="1">
      <c r="A4" s="62" t="s">
        <v>405</v>
      </c>
      <c r="B4" s="189" t="s">
        <v>223</v>
      </c>
      <c r="C4" s="190"/>
      <c r="D4" s="191"/>
      <c r="E4" s="191"/>
      <c r="F4" s="191"/>
      <c r="G4" s="191"/>
    </row>
    <row r="5" spans="1:13" ht="15">
      <c r="A5" s="243" t="s">
        <v>26</v>
      </c>
      <c r="B5" s="244"/>
      <c r="C5" s="357" t="str">
        <f>INT((MONTH($B$2))/3)&amp;"Q"&amp;"-"&amp;YEAR($B$2)</f>
        <v>4Q-2022</v>
      </c>
      <c r="D5" s="357" t="str">
        <f>IF(INT(MONTH($B$2))=3, "4"&amp;"Q"&amp;"-"&amp;YEAR($B$2)-1, IF(INT(MONTH($B$2))=6, "1"&amp;"Q"&amp;"-"&amp;YEAR($B$2), IF(INT(MONTH($B$2))=9, "2"&amp;"Q"&amp;"-"&amp;YEAR($B$2),IF(INT(MONTH($B$2))=12, "3"&amp;"Q"&amp;"-"&amp;YEAR($B$2), 0))))</f>
        <v>3Q-2022</v>
      </c>
      <c r="E5" s="357" t="str">
        <f>IF(INT(MONTH($B$2))=3, "3"&amp;"Q"&amp;"-"&amp;YEAR($B$2)-1, IF(INT(MONTH($B$2))=6, "4"&amp;"Q"&amp;"-"&amp;YEAR($B$2)-1, IF(INT(MONTH($B$2))=9, "1"&amp;"Q"&amp;"-"&amp;YEAR($B$2),IF(INT(MONTH($B$2))=12, "2"&amp;"Q"&amp;"-"&amp;YEAR($B$2), 0))))</f>
        <v>2Q-2022</v>
      </c>
      <c r="F5" s="357" t="str">
        <f>IF(INT(MONTH($B$2))=3, "2"&amp;"Q"&amp;"-"&amp;YEAR($B$2)-1, IF(INT(MONTH($B$2))=6, "3"&amp;"Q"&amp;"-"&amp;YEAR($B$2)-1, IF(INT(MONTH($B$2))=9, "4"&amp;"Q"&amp;"-"&amp;YEAR($B$2)-1,IF(INT(MONTH($B$2))=12, "1"&amp;"Q"&amp;"-"&amp;YEAR($B$2), 0))))</f>
        <v>1Q-2022</v>
      </c>
      <c r="G5" s="472" t="str">
        <f>IF(INT(MONTH($B$2))=3, "1"&amp;"Q"&amp;"-"&amp;YEAR($B$2)-1, IF(INT(MONTH($B$2))=6, "2"&amp;"Q"&amp;"-"&amp;YEAR($B$2)-1, IF(INT(MONTH($B$2))=9, "3"&amp;"Q"&amp;"-"&amp;YEAR($B$2)-1,IF(INT(MONTH($B$2))=12, "4"&amp;"Q"&amp;"-"&amp;YEAR($B$2)-1, 0))))</f>
        <v>4Q-2021</v>
      </c>
    </row>
    <row r="6" spans="1:13" ht="15">
      <c r="A6" s="358"/>
      <c r="B6" s="359" t="s">
        <v>186</v>
      </c>
      <c r="C6" s="473"/>
      <c r="D6" s="473"/>
      <c r="E6" s="473"/>
      <c r="F6" s="473"/>
      <c r="G6" s="245"/>
    </row>
    <row r="7" spans="1:13" ht="15">
      <c r="A7" s="358"/>
      <c r="B7" s="360" t="s">
        <v>190</v>
      </c>
      <c r="C7" s="473"/>
      <c r="D7" s="473"/>
      <c r="E7" s="473"/>
      <c r="F7" s="473"/>
      <c r="G7" s="245"/>
    </row>
    <row r="8" spans="1:13" ht="15">
      <c r="A8" s="340">
        <v>1</v>
      </c>
      <c r="B8" s="341" t="s">
        <v>23</v>
      </c>
      <c r="C8" s="474">
        <v>234253424</v>
      </c>
      <c r="D8" s="474">
        <v>211365830</v>
      </c>
      <c r="E8" s="474">
        <v>204029629</v>
      </c>
      <c r="F8" s="474">
        <v>191863393</v>
      </c>
      <c r="G8" s="475">
        <v>189239889</v>
      </c>
      <c r="I8" s="625"/>
      <c r="J8" s="625"/>
      <c r="K8" s="625"/>
      <c r="L8" s="625"/>
      <c r="M8" s="625"/>
    </row>
    <row r="9" spans="1:13" ht="15">
      <c r="A9" s="340">
        <v>2</v>
      </c>
      <c r="B9" s="341" t="s">
        <v>89</v>
      </c>
      <c r="C9" s="474">
        <v>307207424</v>
      </c>
      <c r="D9" s="474">
        <v>287916230</v>
      </c>
      <c r="E9" s="474">
        <v>283109929</v>
      </c>
      <c r="F9" s="474">
        <v>275598493</v>
      </c>
      <c r="G9" s="475">
        <v>272875089</v>
      </c>
      <c r="I9" s="625"/>
      <c r="J9" s="625"/>
      <c r="K9" s="625"/>
      <c r="L9" s="625"/>
      <c r="M9" s="625"/>
    </row>
    <row r="10" spans="1:13" ht="15">
      <c r="A10" s="340">
        <v>3</v>
      </c>
      <c r="B10" s="341" t="s">
        <v>88</v>
      </c>
      <c r="C10" s="474">
        <v>346535560</v>
      </c>
      <c r="D10" s="474">
        <v>332079701</v>
      </c>
      <c r="E10" s="474">
        <v>328430263</v>
      </c>
      <c r="F10" s="474">
        <v>324944902</v>
      </c>
      <c r="G10" s="475">
        <v>322397605</v>
      </c>
      <c r="I10" s="625"/>
      <c r="J10" s="625"/>
      <c r="K10" s="625"/>
      <c r="L10" s="625"/>
      <c r="M10" s="625"/>
    </row>
    <row r="11" spans="1:13" ht="15">
      <c r="A11" s="340">
        <v>4</v>
      </c>
      <c r="B11" s="341" t="s">
        <v>615</v>
      </c>
      <c r="C11" s="474">
        <v>158652337.6268518</v>
      </c>
      <c r="D11" s="474">
        <v>155205238.53075585</v>
      </c>
      <c r="E11" s="474">
        <v>151883464.59065759</v>
      </c>
      <c r="F11" s="474">
        <v>156772134.65544373</v>
      </c>
      <c r="G11" s="475">
        <v>136577495.8508997</v>
      </c>
      <c r="I11" s="625"/>
      <c r="J11" s="625"/>
      <c r="K11" s="625"/>
      <c r="L11" s="625"/>
      <c r="M11" s="625"/>
    </row>
    <row r="12" spans="1:13" ht="15">
      <c r="A12" s="340">
        <v>5</v>
      </c>
      <c r="B12" s="341" t="s">
        <v>616</v>
      </c>
      <c r="C12" s="474">
        <v>199902308.17390835</v>
      </c>
      <c r="D12" s="474">
        <v>195580136.10504207</v>
      </c>
      <c r="E12" s="474">
        <v>191304963.68665263</v>
      </c>
      <c r="F12" s="474">
        <v>197780823.05211535</v>
      </c>
      <c r="G12" s="475">
        <v>171373251.16610357</v>
      </c>
      <c r="I12" s="625"/>
      <c r="J12" s="625"/>
      <c r="K12" s="625"/>
      <c r="L12" s="625"/>
      <c r="M12" s="625"/>
    </row>
    <row r="13" spans="1:13" ht="15">
      <c r="A13" s="340">
        <v>6</v>
      </c>
      <c r="B13" s="341" t="s">
        <v>617</v>
      </c>
      <c r="C13" s="474">
        <v>276281547.86632597</v>
      </c>
      <c r="D13" s="474">
        <v>270125489.45250708</v>
      </c>
      <c r="E13" s="474">
        <v>263335691.15359637</v>
      </c>
      <c r="F13" s="474">
        <v>272657637.15705895</v>
      </c>
      <c r="G13" s="475">
        <v>263543735.53833356</v>
      </c>
      <c r="I13" s="625"/>
      <c r="J13" s="625"/>
      <c r="K13" s="625"/>
      <c r="L13" s="625"/>
      <c r="M13" s="625"/>
    </row>
    <row r="14" spans="1:13" ht="15">
      <c r="A14" s="358"/>
      <c r="B14" s="359" t="s">
        <v>619</v>
      </c>
      <c r="C14" s="473"/>
      <c r="D14" s="473"/>
      <c r="E14" s="473"/>
      <c r="F14" s="473"/>
      <c r="G14" s="245"/>
      <c r="I14" s="625"/>
      <c r="J14" s="625"/>
      <c r="K14" s="625"/>
      <c r="L14" s="625"/>
      <c r="M14" s="625"/>
    </row>
    <row r="15" spans="1:13" ht="15" customHeight="1">
      <c r="A15" s="340">
        <v>7</v>
      </c>
      <c r="B15" s="341" t="s">
        <v>618</v>
      </c>
      <c r="C15" s="474">
        <v>1404709746.1948183</v>
      </c>
      <c r="D15" s="474">
        <v>1372073122.2972174</v>
      </c>
      <c r="E15" s="474">
        <v>1354126092.0266535</v>
      </c>
      <c r="F15" s="474">
        <v>1361151845.6909597</v>
      </c>
      <c r="G15" s="475">
        <v>1299143576.9453716</v>
      </c>
      <c r="I15" s="625"/>
      <c r="J15" s="625"/>
      <c r="K15" s="625"/>
      <c r="L15" s="625"/>
      <c r="M15" s="625"/>
    </row>
    <row r="16" spans="1:13" ht="15">
      <c r="A16" s="358"/>
      <c r="B16" s="359" t="s">
        <v>623</v>
      </c>
      <c r="C16" s="473"/>
      <c r="D16" s="473"/>
      <c r="E16" s="473"/>
      <c r="F16" s="473"/>
      <c r="G16" s="245"/>
      <c r="I16" s="625"/>
      <c r="J16" s="625"/>
      <c r="K16" s="625"/>
      <c r="L16" s="625"/>
      <c r="M16" s="625"/>
    </row>
    <row r="17" spans="1:13" ht="15">
      <c r="A17" s="340"/>
      <c r="B17" s="360" t="s">
        <v>604</v>
      </c>
      <c r="C17" s="473"/>
      <c r="D17" s="473"/>
      <c r="E17" s="473"/>
      <c r="F17" s="473"/>
      <c r="G17" s="245"/>
      <c r="I17" s="625"/>
      <c r="J17" s="625"/>
      <c r="K17" s="625"/>
      <c r="L17" s="625"/>
      <c r="M17" s="625"/>
    </row>
    <row r="18" spans="1:13" ht="15">
      <c r="A18" s="340">
        <v>8</v>
      </c>
      <c r="B18" s="341" t="s">
        <v>613</v>
      </c>
      <c r="C18" s="369">
        <v>0.16676286658832049</v>
      </c>
      <c r="D18" s="369">
        <v>0.15404851721467808</v>
      </c>
      <c r="E18" s="369">
        <v>0.15067254829617746</v>
      </c>
      <c r="F18" s="369">
        <v>0.14095664169092365</v>
      </c>
      <c r="G18" s="370">
        <v>0.14566510765881072</v>
      </c>
      <c r="I18" s="625"/>
      <c r="J18" s="625"/>
      <c r="K18" s="625"/>
      <c r="L18" s="625"/>
      <c r="M18" s="625"/>
    </row>
    <row r="19" spans="1:13" ht="15" customHeight="1">
      <c r="A19" s="340">
        <v>9</v>
      </c>
      <c r="B19" s="341" t="s">
        <v>612</v>
      </c>
      <c r="C19" s="369">
        <v>0.21869815086866609</v>
      </c>
      <c r="D19" s="369">
        <v>0.20984029591509762</v>
      </c>
      <c r="E19" s="369">
        <v>0.20907205810965757</v>
      </c>
      <c r="F19" s="369">
        <v>0.20247446592565749</v>
      </c>
      <c r="G19" s="370">
        <v>0.21004228773666506</v>
      </c>
      <c r="I19" s="625"/>
      <c r="J19" s="625"/>
      <c r="K19" s="625"/>
      <c r="L19" s="625"/>
      <c r="M19" s="625"/>
    </row>
    <row r="20" spans="1:13" ht="15">
      <c r="A20" s="340">
        <v>10</v>
      </c>
      <c r="B20" s="341" t="s">
        <v>614</v>
      </c>
      <c r="C20" s="369">
        <v>0.24669549060844859</v>
      </c>
      <c r="D20" s="369">
        <v>0.24202769925556866</v>
      </c>
      <c r="E20" s="369">
        <v>0.24254038448402887</v>
      </c>
      <c r="F20" s="369">
        <v>0.23872788552481347</v>
      </c>
      <c r="G20" s="370">
        <v>0.24816164334818297</v>
      </c>
      <c r="I20" s="625"/>
      <c r="J20" s="625"/>
      <c r="K20" s="625"/>
      <c r="L20" s="625"/>
      <c r="M20" s="625"/>
    </row>
    <row r="21" spans="1:13" ht="15">
      <c r="A21" s="340">
        <v>11</v>
      </c>
      <c r="B21" s="341" t="s">
        <v>615</v>
      </c>
      <c r="C21" s="476">
        <v>0.11294314576845572</v>
      </c>
      <c r="D21" s="476">
        <v>0.11311732298268533</v>
      </c>
      <c r="E21" s="476">
        <v>0.11216345766097832</v>
      </c>
      <c r="F21" s="476">
        <v>0.11517608057597843</v>
      </c>
      <c r="G21" s="477">
        <v>0.1051288697220282</v>
      </c>
      <c r="I21" s="625"/>
      <c r="J21" s="625"/>
      <c r="K21" s="625"/>
      <c r="L21" s="625"/>
      <c r="M21" s="625"/>
    </row>
    <row r="22" spans="1:13" ht="15">
      <c r="A22" s="340">
        <v>12</v>
      </c>
      <c r="B22" s="341" t="s">
        <v>616</v>
      </c>
      <c r="C22" s="476">
        <v>0.14230862191667604</v>
      </c>
      <c r="D22" s="476">
        <v>0.14254352259126585</v>
      </c>
      <c r="E22" s="476">
        <v>0.14127559081321295</v>
      </c>
      <c r="F22" s="476">
        <v>0.1453040112153807</v>
      </c>
      <c r="G22" s="477">
        <v>0.1319124800424655</v>
      </c>
      <c r="I22" s="625"/>
      <c r="J22" s="625"/>
      <c r="K22" s="625"/>
      <c r="L22" s="625"/>
      <c r="M22" s="625"/>
    </row>
    <row r="23" spans="1:13" ht="15">
      <c r="A23" s="340">
        <v>13</v>
      </c>
      <c r="B23" s="341" t="s">
        <v>617</v>
      </c>
      <c r="C23" s="476">
        <v>0.19668230295599348</v>
      </c>
      <c r="D23" s="476">
        <v>0.19687397490903746</v>
      </c>
      <c r="E23" s="476">
        <v>0.19446910646221643</v>
      </c>
      <c r="F23" s="476">
        <v>0.20031390180325556</v>
      </c>
      <c r="G23" s="477">
        <v>0.20285959166883943</v>
      </c>
      <c r="I23" s="625"/>
      <c r="J23" s="625"/>
      <c r="K23" s="625"/>
      <c r="L23" s="625"/>
      <c r="M23" s="625"/>
    </row>
    <row r="24" spans="1:13" ht="15">
      <c r="A24" s="358"/>
      <c r="B24" s="359" t="s">
        <v>6</v>
      </c>
      <c r="C24" s="473"/>
      <c r="D24" s="473"/>
      <c r="E24" s="473"/>
      <c r="F24" s="473"/>
      <c r="G24" s="245"/>
      <c r="I24" s="625"/>
      <c r="J24" s="625"/>
      <c r="K24" s="625"/>
      <c r="L24" s="625"/>
      <c r="M24" s="625"/>
    </row>
    <row r="25" spans="1:13" ht="15" customHeight="1">
      <c r="A25" s="361">
        <v>14</v>
      </c>
      <c r="B25" s="362" t="s">
        <v>7</v>
      </c>
      <c r="C25" s="369">
        <v>6.7127803190553309E-2</v>
      </c>
      <c r="D25" s="369">
        <v>6.4918111171587661E-2</v>
      </c>
      <c r="E25" s="369">
        <v>5.4130876345677141E-2</v>
      </c>
      <c r="F25" s="369">
        <v>5.5217963470513227E-2</v>
      </c>
      <c r="G25" s="478">
        <v>6.2673778124179097E-2</v>
      </c>
      <c r="I25" s="625"/>
      <c r="J25" s="625"/>
      <c r="K25" s="625"/>
      <c r="L25" s="625"/>
      <c r="M25" s="625"/>
    </row>
    <row r="26" spans="1:13" ht="15">
      <c r="A26" s="361">
        <v>15</v>
      </c>
      <c r="B26" s="362" t="s">
        <v>8</v>
      </c>
      <c r="C26" s="369">
        <v>2.0175430517247989E-2</v>
      </c>
      <c r="D26" s="369">
        <v>2.0861073414529214E-2</v>
      </c>
      <c r="E26" s="369">
        <v>2.1765817945438849E-2</v>
      </c>
      <c r="F26" s="369">
        <v>2.3750955387297712E-2</v>
      </c>
      <c r="G26" s="478">
        <v>2.6338428477537989E-2</v>
      </c>
      <c r="I26" s="625"/>
      <c r="J26" s="625"/>
      <c r="K26" s="625"/>
      <c r="L26" s="625"/>
      <c r="M26" s="625"/>
    </row>
    <row r="27" spans="1:13" ht="15">
      <c r="A27" s="361">
        <v>16</v>
      </c>
      <c r="B27" s="362" t="s">
        <v>9</v>
      </c>
      <c r="C27" s="369">
        <v>3.2186540324067661E-2</v>
      </c>
      <c r="D27" s="369">
        <v>3.1068451808200979E-2</v>
      </c>
      <c r="E27" s="369">
        <v>1.8001206168453712E-2</v>
      </c>
      <c r="F27" s="369">
        <v>1.3518240122090078E-2</v>
      </c>
      <c r="G27" s="478">
        <v>2.3620151247014328E-2</v>
      </c>
      <c r="I27" s="625"/>
      <c r="J27" s="625"/>
      <c r="K27" s="625"/>
      <c r="L27" s="625"/>
      <c r="M27" s="625"/>
    </row>
    <row r="28" spans="1:13" ht="15">
      <c r="A28" s="361">
        <v>17</v>
      </c>
      <c r="B28" s="362" t="s">
        <v>224</v>
      </c>
      <c r="C28" s="369">
        <v>4.6952372673305327E-2</v>
      </c>
      <c r="D28" s="369">
        <v>4.4057037757058444E-2</v>
      </c>
      <c r="E28" s="369">
        <v>3.2365058400238296E-2</v>
      </c>
      <c r="F28" s="369">
        <v>3.1467008083215516E-2</v>
      </c>
      <c r="G28" s="478">
        <v>3.6335349646641105E-2</v>
      </c>
      <c r="I28" s="625"/>
      <c r="J28" s="625"/>
      <c r="K28" s="625"/>
      <c r="L28" s="625"/>
      <c r="M28" s="625"/>
    </row>
    <row r="29" spans="1:13" ht="15">
      <c r="A29" s="361">
        <v>18</v>
      </c>
      <c r="B29" s="362" t="s">
        <v>10</v>
      </c>
      <c r="C29" s="369">
        <v>3.2311122762428368E-2</v>
      </c>
      <c r="D29" s="369">
        <v>2.01761673614121E-2</v>
      </c>
      <c r="E29" s="369">
        <v>2.1041192230812078E-2</v>
      </c>
      <c r="F29" s="369">
        <v>7.971422259524916E-3</v>
      </c>
      <c r="G29" s="478">
        <v>2.524722168252869E-2</v>
      </c>
      <c r="I29" s="625"/>
      <c r="J29" s="625"/>
      <c r="K29" s="625"/>
      <c r="L29" s="625"/>
      <c r="M29" s="625"/>
    </row>
    <row r="30" spans="1:13" ht="15">
      <c r="A30" s="361">
        <v>19</v>
      </c>
      <c r="B30" s="362" t="s">
        <v>11</v>
      </c>
      <c r="C30" s="369">
        <v>0.22314470762077446</v>
      </c>
      <c r="D30" s="369">
        <v>0.14146436938566304</v>
      </c>
      <c r="E30" s="369">
        <v>0.14662297148583683</v>
      </c>
      <c r="F30" s="369">
        <v>5.2637786581932862E-2</v>
      </c>
      <c r="G30" s="478">
        <v>0.1854104744367665</v>
      </c>
      <c r="I30" s="625"/>
      <c r="J30" s="625"/>
      <c r="K30" s="625"/>
      <c r="L30" s="625"/>
      <c r="M30" s="625"/>
    </row>
    <row r="31" spans="1:13" ht="15">
      <c r="A31" s="358"/>
      <c r="B31" s="359" t="s">
        <v>12</v>
      </c>
      <c r="C31" s="473"/>
      <c r="D31" s="473"/>
      <c r="E31" s="473"/>
      <c r="F31" s="473"/>
      <c r="G31" s="245"/>
      <c r="I31" s="625"/>
      <c r="J31" s="625"/>
      <c r="K31" s="625"/>
      <c r="L31" s="625"/>
      <c r="M31" s="625"/>
    </row>
    <row r="32" spans="1:13" ht="15">
      <c r="A32" s="361">
        <v>20</v>
      </c>
      <c r="B32" s="362" t="s">
        <v>13</v>
      </c>
      <c r="C32" s="369">
        <v>0.23788998918784013</v>
      </c>
      <c r="D32" s="369">
        <v>0.28027183471466433</v>
      </c>
      <c r="E32" s="369">
        <v>0.30309246452686134</v>
      </c>
      <c r="F32" s="369">
        <v>0.33475227028271398</v>
      </c>
      <c r="G32" s="478">
        <v>0.33812745576393999</v>
      </c>
      <c r="I32" s="625"/>
      <c r="J32" s="625"/>
      <c r="K32" s="625"/>
      <c r="L32" s="625"/>
      <c r="M32" s="625"/>
    </row>
    <row r="33" spans="1:13" ht="15" customHeight="1">
      <c r="A33" s="361">
        <v>21</v>
      </c>
      <c r="B33" s="362" t="s">
        <v>14</v>
      </c>
      <c r="C33" s="369">
        <v>0.14507380832078276</v>
      </c>
      <c r="D33" s="369">
        <v>0.15734224271039851</v>
      </c>
      <c r="E33" s="369">
        <v>0.16382420903175393</v>
      </c>
      <c r="F33" s="369">
        <v>0.1678699433937868</v>
      </c>
      <c r="G33" s="478">
        <v>0.16490978842264903</v>
      </c>
      <c r="I33" s="625"/>
      <c r="J33" s="625"/>
      <c r="K33" s="625"/>
      <c r="L33" s="625"/>
      <c r="M33" s="625"/>
    </row>
    <row r="34" spans="1:13" ht="15">
      <c r="A34" s="361">
        <v>22</v>
      </c>
      <c r="B34" s="362" t="s">
        <v>15</v>
      </c>
      <c r="C34" s="369">
        <v>0.62389313246499012</v>
      </c>
      <c r="D34" s="369">
        <v>0.6154047107117504</v>
      </c>
      <c r="E34" s="369">
        <v>0.61064724275037874</v>
      </c>
      <c r="F34" s="369">
        <v>0.64561336562421345</v>
      </c>
      <c r="G34" s="478">
        <v>0.6444377856671768</v>
      </c>
      <c r="I34" s="625"/>
      <c r="J34" s="625"/>
      <c r="K34" s="625"/>
      <c r="L34" s="625"/>
      <c r="M34" s="625"/>
    </row>
    <row r="35" spans="1:13" ht="15" customHeight="1">
      <c r="A35" s="361">
        <v>23</v>
      </c>
      <c r="B35" s="362" t="s">
        <v>16</v>
      </c>
      <c r="C35" s="369">
        <v>0.68241262287720073</v>
      </c>
      <c r="D35" s="369">
        <v>0.7027753056832502</v>
      </c>
      <c r="E35" s="369">
        <v>0.70108379089626094</v>
      </c>
      <c r="F35" s="369">
        <v>0.70853086473567184</v>
      </c>
      <c r="G35" s="478">
        <v>0.65562891198801532</v>
      </c>
      <c r="I35" s="625"/>
      <c r="J35" s="625"/>
      <c r="K35" s="625"/>
      <c r="L35" s="625"/>
      <c r="M35" s="625"/>
    </row>
    <row r="36" spans="1:13" ht="15">
      <c r="A36" s="361">
        <v>24</v>
      </c>
      <c r="B36" s="362" t="s">
        <v>17</v>
      </c>
      <c r="C36" s="369">
        <v>-0.21229239061533456</v>
      </c>
      <c r="D36" s="369">
        <v>-0.18613862403146308</v>
      </c>
      <c r="E36" s="369">
        <v>-0.13984400348300918</v>
      </c>
      <c r="F36" s="369">
        <v>-1.8561518919768538E-5</v>
      </c>
      <c r="G36" s="478">
        <v>-0.11443914848653591</v>
      </c>
      <c r="I36" s="625"/>
      <c r="J36" s="625"/>
      <c r="K36" s="625"/>
      <c r="L36" s="625"/>
      <c r="M36" s="625"/>
    </row>
    <row r="37" spans="1:13" ht="15" customHeight="1">
      <c r="A37" s="358"/>
      <c r="B37" s="359" t="s">
        <v>18</v>
      </c>
      <c r="C37" s="473"/>
      <c r="D37" s="473"/>
      <c r="E37" s="473"/>
      <c r="F37" s="473"/>
      <c r="G37" s="245"/>
      <c r="I37" s="625"/>
      <c r="J37" s="625"/>
      <c r="K37" s="625"/>
      <c r="L37" s="625"/>
      <c r="M37" s="625"/>
    </row>
    <row r="38" spans="1:13" ht="15" customHeight="1">
      <c r="A38" s="361">
        <v>25</v>
      </c>
      <c r="B38" s="362" t="s">
        <v>19</v>
      </c>
      <c r="C38" s="369">
        <v>0.48565679847351489</v>
      </c>
      <c r="D38" s="369">
        <v>0.47317434155458571</v>
      </c>
      <c r="E38" s="369">
        <v>0.44605749662012129</v>
      </c>
      <c r="F38" s="369">
        <v>0.32548879086164673</v>
      </c>
      <c r="G38" s="478">
        <v>0.25449985241213907</v>
      </c>
      <c r="I38" s="625"/>
      <c r="J38" s="625"/>
      <c r="K38" s="625"/>
      <c r="L38" s="625"/>
      <c r="M38" s="625"/>
    </row>
    <row r="39" spans="1:13" ht="15" customHeight="1">
      <c r="A39" s="361">
        <v>26</v>
      </c>
      <c r="B39" s="362" t="s">
        <v>20</v>
      </c>
      <c r="C39" s="369">
        <v>0.82089125076935576</v>
      </c>
      <c r="D39" s="369">
        <v>0.8554901024702104</v>
      </c>
      <c r="E39" s="369">
        <v>0.84703413513355286</v>
      </c>
      <c r="F39" s="369">
        <v>0.87279238032237949</v>
      </c>
      <c r="G39" s="478">
        <v>0.84522257781254639</v>
      </c>
      <c r="I39" s="625"/>
      <c r="J39" s="625"/>
      <c r="K39" s="625"/>
      <c r="L39" s="625"/>
      <c r="M39" s="625"/>
    </row>
    <row r="40" spans="1:13" ht="15" customHeight="1">
      <c r="A40" s="361">
        <v>27</v>
      </c>
      <c r="B40" s="363" t="s">
        <v>21</v>
      </c>
      <c r="C40" s="369">
        <v>0.4611070453292786</v>
      </c>
      <c r="D40" s="369">
        <v>0.48758691356806172</v>
      </c>
      <c r="E40" s="369">
        <v>0.40295698430299592</v>
      </c>
      <c r="F40" s="369">
        <v>0.38758967558553742</v>
      </c>
      <c r="G40" s="478">
        <v>0.30735457621809875</v>
      </c>
      <c r="I40" s="625"/>
      <c r="J40" s="625"/>
      <c r="K40" s="625"/>
      <c r="L40" s="625"/>
      <c r="M40" s="625"/>
    </row>
    <row r="41" spans="1:13" ht="15" customHeight="1">
      <c r="A41" s="367"/>
      <c r="B41" s="359" t="s">
        <v>525</v>
      </c>
      <c r="C41" s="473"/>
      <c r="D41" s="473"/>
      <c r="E41" s="473"/>
      <c r="F41" s="473"/>
      <c r="G41" s="245"/>
      <c r="I41" s="625"/>
      <c r="J41" s="625"/>
      <c r="K41" s="625"/>
      <c r="L41" s="625"/>
      <c r="M41" s="625"/>
    </row>
    <row r="42" spans="1:13" ht="15" customHeight="1">
      <c r="A42" s="361">
        <v>28</v>
      </c>
      <c r="B42" s="405" t="s">
        <v>509</v>
      </c>
      <c r="C42" s="363">
        <v>729588624.00502896</v>
      </c>
      <c r="D42" s="363">
        <v>639213571.84246445</v>
      </c>
      <c r="E42" s="363">
        <v>631144334.8084414</v>
      </c>
      <c r="F42" s="363">
        <v>373335681.19728094</v>
      </c>
      <c r="G42" s="366">
        <v>341714471.76642001</v>
      </c>
      <c r="I42" s="625"/>
      <c r="J42" s="625"/>
      <c r="K42" s="625"/>
      <c r="L42" s="625"/>
      <c r="M42" s="625"/>
    </row>
    <row r="43" spans="1:13" ht="15">
      <c r="A43" s="361">
        <v>29</v>
      </c>
      <c r="B43" s="362" t="s">
        <v>510</v>
      </c>
      <c r="C43" s="364">
        <v>437351307.64261466</v>
      </c>
      <c r="D43" s="364">
        <v>404688412.94228691</v>
      </c>
      <c r="E43" s="364">
        <v>356160850.5765754</v>
      </c>
      <c r="F43" s="364">
        <v>211298854.08155167</v>
      </c>
      <c r="G43" s="365">
        <v>186391521.88685745</v>
      </c>
      <c r="I43" s="625"/>
      <c r="J43" s="625"/>
      <c r="K43" s="625"/>
      <c r="L43" s="625"/>
      <c r="M43" s="625"/>
    </row>
    <row r="44" spans="1:13" thickBot="1">
      <c r="A44" s="403">
        <v>30</v>
      </c>
      <c r="B44" s="404" t="s">
        <v>508</v>
      </c>
      <c r="C44" s="479">
        <v>1.6681981081470059</v>
      </c>
      <c r="D44" s="479">
        <v>1.5795203208193249</v>
      </c>
      <c r="E44" s="479">
        <v>1.7720766720618102</v>
      </c>
      <c r="F44" s="479">
        <v>1.7668608891423068</v>
      </c>
      <c r="G44" s="480">
        <v>1.8333155301658302</v>
      </c>
      <c r="I44" s="625"/>
      <c r="J44" s="625"/>
      <c r="K44" s="625"/>
      <c r="L44" s="625"/>
      <c r="M44" s="625"/>
    </row>
    <row r="45" spans="1:13" ht="15">
      <c r="A45" s="403"/>
      <c r="B45" s="359" t="s">
        <v>624</v>
      </c>
      <c r="C45" s="473"/>
      <c r="D45" s="473"/>
      <c r="E45" s="473"/>
      <c r="F45" s="473"/>
      <c r="G45" s="245"/>
      <c r="I45" s="625"/>
      <c r="J45" s="625"/>
      <c r="K45" s="625"/>
      <c r="L45" s="625"/>
      <c r="M45" s="625"/>
    </row>
    <row r="46" spans="1:13" ht="15">
      <c r="A46" s="403">
        <v>31</v>
      </c>
      <c r="B46" s="404" t="s">
        <v>631</v>
      </c>
      <c r="C46" s="481">
        <v>1108500211.0931854</v>
      </c>
      <c r="D46" s="481">
        <v>1083242923.834146</v>
      </c>
      <c r="E46" s="481">
        <v>985451919.75065398</v>
      </c>
      <c r="F46" s="481">
        <v>995046414.02548432</v>
      </c>
      <c r="G46" s="482">
        <v>899894024.43556547</v>
      </c>
      <c r="I46" s="625"/>
      <c r="J46" s="625"/>
      <c r="K46" s="625"/>
      <c r="L46" s="625"/>
      <c r="M46" s="625"/>
    </row>
    <row r="47" spans="1:13" ht="15">
      <c r="A47" s="403">
        <v>32</v>
      </c>
      <c r="B47" s="404" t="s">
        <v>644</v>
      </c>
      <c r="C47" s="483">
        <v>596083524.8292141</v>
      </c>
      <c r="D47" s="483">
        <v>607887717.53463447</v>
      </c>
      <c r="E47" s="483">
        <v>625376566.17079306</v>
      </c>
      <c r="F47" s="483">
        <v>744830716.93965733</v>
      </c>
      <c r="G47" s="484">
        <v>727034249.07264376</v>
      </c>
      <c r="I47" s="625"/>
      <c r="J47" s="625"/>
      <c r="K47" s="625"/>
      <c r="L47" s="625"/>
      <c r="M47" s="625"/>
    </row>
    <row r="48" spans="1:13" thickBot="1">
      <c r="A48" s="110">
        <v>33</v>
      </c>
      <c r="B48" s="211" t="s">
        <v>658</v>
      </c>
      <c r="C48" s="485">
        <v>1.8596390688885178</v>
      </c>
      <c r="D48" s="485">
        <v>1.7819786328754506</v>
      </c>
      <c r="E48" s="485">
        <v>1.575773658716727</v>
      </c>
      <c r="F48" s="485">
        <v>1.3359363294171154</v>
      </c>
      <c r="G48" s="486">
        <v>1.2377601544678398</v>
      </c>
      <c r="I48" s="625"/>
      <c r="J48" s="625"/>
      <c r="K48" s="625"/>
      <c r="L48" s="625"/>
      <c r="M48" s="625"/>
    </row>
    <row r="49" spans="1:2">
      <c r="A49" s="16"/>
    </row>
    <row r="50" spans="1:2" ht="39.75">
      <c r="B50" s="18" t="s">
        <v>603</v>
      </c>
    </row>
    <row r="51" spans="1:2" ht="65.25">
      <c r="B51" s="286" t="s">
        <v>524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B1" sqref="B1"/>
    </sheetView>
  </sheetViews>
  <sheetFormatPr defaultColWidth="9.28515625" defaultRowHeight="12.75"/>
  <cols>
    <col min="1" max="1" width="11.7109375" style="408" bestFit="1" customWidth="1"/>
    <col min="2" max="2" width="105.28515625" style="408" bestFit="1" customWidth="1"/>
    <col min="3" max="4" width="17.28515625" style="408" bestFit="1" customWidth="1"/>
    <col min="5" max="5" width="17.42578125" style="408" bestFit="1" customWidth="1"/>
    <col min="6" max="6" width="17.28515625" style="408" bestFit="1" customWidth="1"/>
    <col min="7" max="7" width="30.42578125" style="408" customWidth="1"/>
    <col min="8" max="8" width="18.7109375" style="408" bestFit="1" customWidth="1"/>
    <col min="9" max="16384" width="9.28515625" style="408"/>
  </cols>
  <sheetData>
    <row r="1" spans="1:8">
      <c r="A1" s="407" t="s">
        <v>188</v>
      </c>
      <c r="B1" s="547" t="str">
        <f>'1. key ratios'!B1</f>
        <v>სს "ბანკი ქართუ"</v>
      </c>
    </row>
    <row r="2" spans="1:8" ht="13.5">
      <c r="A2" s="407" t="s">
        <v>189</v>
      </c>
      <c r="B2" s="641">
        <f>'1. key ratios'!B2</f>
        <v>44926</v>
      </c>
    </row>
    <row r="3" spans="1:8">
      <c r="A3" s="409" t="s">
        <v>664</v>
      </c>
      <c r="B3" s="410"/>
    </row>
    <row r="5" spans="1:8">
      <c r="A5" s="736" t="s">
        <v>665</v>
      </c>
      <c r="B5" s="737"/>
      <c r="C5" s="742" t="s">
        <v>666</v>
      </c>
      <c r="D5" s="743"/>
      <c r="E5" s="743"/>
      <c r="F5" s="743"/>
      <c r="G5" s="743"/>
      <c r="H5" s="744"/>
    </row>
    <row r="6" spans="1:8">
      <c r="A6" s="738"/>
      <c r="B6" s="739"/>
      <c r="C6" s="745"/>
      <c r="D6" s="746"/>
      <c r="E6" s="746"/>
      <c r="F6" s="746"/>
      <c r="G6" s="746"/>
      <c r="H6" s="747"/>
    </row>
    <row r="7" spans="1:8" ht="25.5">
      <c r="A7" s="740"/>
      <c r="B7" s="741"/>
      <c r="C7" s="411" t="s">
        <v>667</v>
      </c>
      <c r="D7" s="411" t="s">
        <v>668</v>
      </c>
      <c r="E7" s="411" t="s">
        <v>669</v>
      </c>
      <c r="F7" s="411" t="s">
        <v>670</v>
      </c>
      <c r="G7" s="411" t="s">
        <v>941</v>
      </c>
      <c r="H7" s="411" t="s">
        <v>68</v>
      </c>
    </row>
    <row r="8" spans="1:8">
      <c r="A8" s="412">
        <v>1</v>
      </c>
      <c r="B8" s="413" t="s">
        <v>216</v>
      </c>
      <c r="C8" s="545">
        <v>330333988</v>
      </c>
      <c r="D8" s="545">
        <v>945010.77000000014</v>
      </c>
      <c r="E8" s="545">
        <v>7000000</v>
      </c>
      <c r="F8" s="545">
        <v>21053000</v>
      </c>
      <c r="G8" s="545"/>
      <c r="H8" s="546">
        <f>SUM(C8:G8)</f>
        <v>359331998.76999998</v>
      </c>
    </row>
    <row r="9" spans="1:8">
      <c r="A9" s="412">
        <v>2</v>
      </c>
      <c r="B9" s="413" t="s">
        <v>217</v>
      </c>
      <c r="C9" s="545"/>
      <c r="D9" s="545"/>
      <c r="E9" s="545"/>
      <c r="F9" s="545"/>
      <c r="G9" s="545"/>
      <c r="H9" s="546"/>
    </row>
    <row r="10" spans="1:8">
      <c r="A10" s="412">
        <v>3</v>
      </c>
      <c r="B10" s="413" t="s">
        <v>218</v>
      </c>
      <c r="C10" s="545"/>
      <c r="D10" s="545"/>
      <c r="E10" s="545"/>
      <c r="F10" s="545"/>
      <c r="G10" s="545"/>
      <c r="H10" s="546"/>
    </row>
    <row r="11" spans="1:8">
      <c r="A11" s="412">
        <v>4</v>
      </c>
      <c r="B11" s="413" t="s">
        <v>219</v>
      </c>
      <c r="C11" s="545"/>
      <c r="D11" s="545"/>
      <c r="E11" s="545"/>
      <c r="F11" s="545"/>
      <c r="G11" s="545"/>
      <c r="H11" s="546"/>
    </row>
    <row r="12" spans="1:8">
      <c r="A12" s="412">
        <v>5</v>
      </c>
      <c r="B12" s="413" t="s">
        <v>220</v>
      </c>
      <c r="C12" s="545"/>
      <c r="D12" s="545"/>
      <c r="E12" s="545"/>
      <c r="F12" s="545"/>
      <c r="G12" s="545"/>
      <c r="H12" s="546"/>
    </row>
    <row r="13" spans="1:8">
      <c r="A13" s="412">
        <v>6</v>
      </c>
      <c r="B13" s="413" t="s">
        <v>221</v>
      </c>
      <c r="C13" s="545">
        <v>264233691.61999997</v>
      </c>
      <c r="D13" s="545">
        <v>65132884</v>
      </c>
      <c r="E13" s="545">
        <v>0</v>
      </c>
      <c r="F13" s="545">
        <v>2812348.97</v>
      </c>
      <c r="G13" s="545"/>
      <c r="H13" s="546">
        <f>SUM(C13:G13)</f>
        <v>332178924.59000003</v>
      </c>
    </row>
    <row r="14" spans="1:8">
      <c r="A14" s="412">
        <v>7</v>
      </c>
      <c r="B14" s="413" t="s">
        <v>73</v>
      </c>
      <c r="C14" s="545"/>
      <c r="D14" s="545">
        <v>245057483.751618</v>
      </c>
      <c r="E14" s="545">
        <v>214132965.80970389</v>
      </c>
      <c r="F14" s="545">
        <v>200412598</v>
      </c>
      <c r="G14" s="545">
        <v>25996815</v>
      </c>
      <c r="H14" s="546">
        <f>SUM(C14:G14)</f>
        <v>685599862.56132185</v>
      </c>
    </row>
    <row r="15" spans="1:8">
      <c r="A15" s="412">
        <v>8</v>
      </c>
      <c r="B15" s="415" t="s">
        <v>74</v>
      </c>
      <c r="C15" s="545"/>
      <c r="D15" s="545"/>
      <c r="E15" s="545"/>
      <c r="F15" s="545"/>
      <c r="G15" s="545"/>
      <c r="H15" s="546"/>
    </row>
    <row r="16" spans="1:8">
      <c r="A16" s="412">
        <v>9</v>
      </c>
      <c r="B16" s="413" t="s">
        <v>75</v>
      </c>
      <c r="C16" s="545"/>
      <c r="D16" s="545"/>
      <c r="E16" s="545"/>
      <c r="F16" s="545"/>
      <c r="G16" s="545"/>
      <c r="H16" s="546"/>
    </row>
    <row r="17" spans="1:8">
      <c r="A17" s="412">
        <v>10</v>
      </c>
      <c r="B17" s="471" t="s">
        <v>692</v>
      </c>
      <c r="C17" s="545"/>
      <c r="D17" s="545">
        <v>16231513.949521998</v>
      </c>
      <c r="E17" s="545">
        <v>7418466.1223920006</v>
      </c>
      <c r="F17" s="545">
        <v>18883172.415233016</v>
      </c>
      <c r="G17" s="545">
        <v>26091907.497582011</v>
      </c>
      <c r="H17" s="546">
        <f>SUM(C17:G17)</f>
        <v>68625059.984729022</v>
      </c>
    </row>
    <row r="18" spans="1:8">
      <c r="A18" s="412">
        <v>11</v>
      </c>
      <c r="B18" s="413" t="s">
        <v>70</v>
      </c>
      <c r="C18" s="545"/>
      <c r="D18" s="545"/>
      <c r="E18" s="545"/>
      <c r="F18" s="545"/>
      <c r="G18" s="545"/>
      <c r="H18" s="546"/>
    </row>
    <row r="19" spans="1:8">
      <c r="A19" s="412">
        <v>12</v>
      </c>
      <c r="B19" s="413" t="s">
        <v>71</v>
      </c>
      <c r="C19" s="545"/>
      <c r="D19" s="545"/>
      <c r="E19" s="545"/>
      <c r="F19" s="545"/>
      <c r="G19" s="545"/>
      <c r="H19" s="546"/>
    </row>
    <row r="20" spans="1:8">
      <c r="A20" s="416">
        <v>13</v>
      </c>
      <c r="B20" s="415" t="s">
        <v>72</v>
      </c>
      <c r="C20" s="545"/>
      <c r="D20" s="545"/>
      <c r="E20" s="545"/>
      <c r="F20" s="545"/>
      <c r="G20" s="545"/>
      <c r="H20" s="546"/>
    </row>
    <row r="21" spans="1:8">
      <c r="A21" s="412">
        <v>14</v>
      </c>
      <c r="B21" s="413" t="s">
        <v>671</v>
      </c>
      <c r="C21" s="545">
        <v>27977543</v>
      </c>
      <c r="D21" s="545">
        <v>4138769.6878159977</v>
      </c>
      <c r="E21" s="545">
        <v>3875775.2061380022</v>
      </c>
      <c r="F21" s="545">
        <v>11955464.614514006</v>
      </c>
      <c r="G21" s="545">
        <v>68450717.482769996</v>
      </c>
      <c r="H21" s="546">
        <f>SUM(C21:G21)</f>
        <v>116398269.991238</v>
      </c>
    </row>
    <row r="22" spans="1:8">
      <c r="A22" s="417">
        <v>15</v>
      </c>
      <c r="B22" s="414" t="s">
        <v>68</v>
      </c>
      <c r="C22" s="546">
        <f t="shared" ref="C22:H22" si="0">SUM(C$8:C$16,C$18:C$21)</f>
        <v>622545222.62</v>
      </c>
      <c r="D22" s="546">
        <f t="shared" si="0"/>
        <v>315274148.20943403</v>
      </c>
      <c r="E22" s="546">
        <f t="shared" si="0"/>
        <v>225008741.0158419</v>
      </c>
      <c r="F22" s="546">
        <f t="shared" si="0"/>
        <v>236233411.58451399</v>
      </c>
      <c r="G22" s="546">
        <f t="shared" si="0"/>
        <v>94447532.482769996</v>
      </c>
      <c r="H22" s="546">
        <f t="shared" si="0"/>
        <v>1493509055.91256</v>
      </c>
    </row>
    <row r="26" spans="1:8" ht="38.25">
      <c r="B26" s="470" t="s">
        <v>940</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Normal="100" workbookViewId="0"/>
  </sheetViews>
  <sheetFormatPr defaultColWidth="9.28515625" defaultRowHeight="12.75"/>
  <cols>
    <col min="1" max="1" width="11.7109375" style="418" bestFit="1" customWidth="1"/>
    <col min="2" max="2" width="114.7109375" style="408" customWidth="1"/>
    <col min="3" max="3" width="22.42578125" style="408" customWidth="1"/>
    <col min="4" max="4" width="23.5703125" style="408" customWidth="1"/>
    <col min="5" max="8" width="22.28515625" style="408" customWidth="1"/>
    <col min="9" max="9" width="41.42578125" style="408" customWidth="1"/>
    <col min="10" max="16384" width="9.28515625" style="408"/>
  </cols>
  <sheetData>
    <row r="1" spans="1:9">
      <c r="A1" s="407" t="s">
        <v>188</v>
      </c>
      <c r="B1" s="547" t="str">
        <f>'1. key ratios'!B1</f>
        <v>სს "ბანკი ქართუ"</v>
      </c>
    </row>
    <row r="2" spans="1:9" ht="13.5">
      <c r="A2" s="407" t="s">
        <v>189</v>
      </c>
      <c r="B2" s="641">
        <f>'1. key ratios'!B2</f>
        <v>44926</v>
      </c>
    </row>
    <row r="3" spans="1:9">
      <c r="A3" s="409" t="s">
        <v>672</v>
      </c>
      <c r="B3" s="410"/>
    </row>
    <row r="4" spans="1:9">
      <c r="C4" s="419" t="s">
        <v>673</v>
      </c>
      <c r="D4" s="419" t="s">
        <v>674</v>
      </c>
      <c r="E4" s="419" t="s">
        <v>675</v>
      </c>
      <c r="F4" s="419" t="s">
        <v>676</v>
      </c>
      <c r="G4" s="419" t="s">
        <v>677</v>
      </c>
      <c r="H4" s="419" t="s">
        <v>678</v>
      </c>
      <c r="I4" s="419" t="s">
        <v>679</v>
      </c>
    </row>
    <row r="5" spans="1:9" ht="34.15" customHeight="1">
      <c r="A5" s="736" t="s">
        <v>682</v>
      </c>
      <c r="B5" s="737"/>
      <c r="C5" s="750" t="s">
        <v>683</v>
      </c>
      <c r="D5" s="750"/>
      <c r="E5" s="750" t="s">
        <v>684</v>
      </c>
      <c r="F5" s="750" t="s">
        <v>685</v>
      </c>
      <c r="G5" s="748" t="s">
        <v>686</v>
      </c>
      <c r="H5" s="748" t="s">
        <v>687</v>
      </c>
      <c r="I5" s="420" t="s">
        <v>688</v>
      </c>
    </row>
    <row r="6" spans="1:9" ht="38.25">
      <c r="A6" s="740"/>
      <c r="B6" s="741"/>
      <c r="C6" s="454" t="s">
        <v>689</v>
      </c>
      <c r="D6" s="454" t="s">
        <v>690</v>
      </c>
      <c r="E6" s="750"/>
      <c r="F6" s="750"/>
      <c r="G6" s="749"/>
      <c r="H6" s="749"/>
      <c r="I6" s="420" t="s">
        <v>691</v>
      </c>
    </row>
    <row r="7" spans="1:9">
      <c r="A7" s="421">
        <v>1</v>
      </c>
      <c r="B7" s="413" t="s">
        <v>216</v>
      </c>
      <c r="C7" s="545"/>
      <c r="D7" s="545">
        <v>359362729</v>
      </c>
      <c r="E7" s="545"/>
      <c r="F7" s="545"/>
      <c r="G7" s="545"/>
      <c r="H7" s="545">
        <v>0</v>
      </c>
      <c r="I7" s="548">
        <f t="shared" ref="I7:I23" si="0">C7+D7-E7-F7-G7</f>
        <v>359362729</v>
      </c>
    </row>
    <row r="8" spans="1:9">
      <c r="A8" s="421">
        <v>2</v>
      </c>
      <c r="B8" s="413" t="s">
        <v>217</v>
      </c>
      <c r="C8" s="545"/>
      <c r="D8" s="545"/>
      <c r="E8" s="545"/>
      <c r="F8" s="545"/>
      <c r="G8" s="545"/>
      <c r="H8" s="545">
        <v>0</v>
      </c>
      <c r="I8" s="548">
        <f t="shared" si="0"/>
        <v>0</v>
      </c>
    </row>
    <row r="9" spans="1:9">
      <c r="A9" s="421">
        <v>3</v>
      </c>
      <c r="B9" s="413" t="s">
        <v>218</v>
      </c>
      <c r="C9" s="545"/>
      <c r="D9" s="545"/>
      <c r="E9" s="545"/>
      <c r="F9" s="545"/>
      <c r="G9" s="545"/>
      <c r="H9" s="545">
        <v>0</v>
      </c>
      <c r="I9" s="548">
        <f t="shared" si="0"/>
        <v>0</v>
      </c>
    </row>
    <row r="10" spans="1:9">
      <c r="A10" s="421">
        <v>4</v>
      </c>
      <c r="B10" s="413" t="s">
        <v>219</v>
      </c>
      <c r="C10" s="545"/>
      <c r="D10" s="545"/>
      <c r="E10" s="545"/>
      <c r="F10" s="545"/>
      <c r="G10" s="545"/>
      <c r="H10" s="545">
        <v>0</v>
      </c>
      <c r="I10" s="548">
        <f t="shared" si="0"/>
        <v>0</v>
      </c>
    </row>
    <row r="11" spans="1:9">
      <c r="A11" s="421">
        <v>5</v>
      </c>
      <c r="B11" s="413" t="s">
        <v>220</v>
      </c>
      <c r="C11" s="545"/>
      <c r="D11" s="545"/>
      <c r="E11" s="545"/>
      <c r="F11" s="545"/>
      <c r="G11" s="545"/>
      <c r="H11" s="545">
        <v>0</v>
      </c>
      <c r="I11" s="548">
        <f t="shared" si="0"/>
        <v>0</v>
      </c>
    </row>
    <row r="12" spans="1:9">
      <c r="A12" s="421">
        <v>6</v>
      </c>
      <c r="B12" s="413" t="s">
        <v>221</v>
      </c>
      <c r="C12" s="545"/>
      <c r="D12" s="545">
        <v>332178925</v>
      </c>
      <c r="E12" s="545"/>
      <c r="F12" s="545"/>
      <c r="G12" s="545"/>
      <c r="H12" s="545">
        <v>0</v>
      </c>
      <c r="I12" s="548">
        <f t="shared" si="0"/>
        <v>332178925</v>
      </c>
    </row>
    <row r="13" spans="1:9">
      <c r="A13" s="421">
        <v>7</v>
      </c>
      <c r="B13" s="413" t="s">
        <v>73</v>
      </c>
      <c r="C13" s="545">
        <v>178247258.28180003</v>
      </c>
      <c r="D13" s="545">
        <v>602306100.29095948</v>
      </c>
      <c r="E13" s="545">
        <v>94953496.482820943</v>
      </c>
      <c r="F13" s="545">
        <v>9502401.727982983</v>
      </c>
      <c r="G13" s="545"/>
      <c r="H13" s="545">
        <v>7695605.8200000003</v>
      </c>
      <c r="I13" s="548">
        <f t="shared" si="0"/>
        <v>676097460.36195552</v>
      </c>
    </row>
    <row r="14" spans="1:9">
      <c r="A14" s="421">
        <v>8</v>
      </c>
      <c r="B14" s="415" t="s">
        <v>74</v>
      </c>
      <c r="C14" s="545"/>
      <c r="D14" s="545"/>
      <c r="E14" s="545"/>
      <c r="F14" s="545"/>
      <c r="G14" s="545"/>
      <c r="H14" s="545">
        <v>0</v>
      </c>
      <c r="I14" s="548">
        <f t="shared" si="0"/>
        <v>0</v>
      </c>
    </row>
    <row r="15" spans="1:9">
      <c r="A15" s="421">
        <v>9</v>
      </c>
      <c r="B15" s="413" t="s">
        <v>75</v>
      </c>
      <c r="C15" s="545"/>
      <c r="D15" s="545"/>
      <c r="E15" s="545"/>
      <c r="F15" s="545"/>
      <c r="G15" s="545"/>
      <c r="H15" s="545">
        <v>0</v>
      </c>
      <c r="I15" s="548">
        <f t="shared" si="0"/>
        <v>0</v>
      </c>
    </row>
    <row r="16" spans="1:9">
      <c r="A16" s="421">
        <v>10</v>
      </c>
      <c r="B16" s="471" t="s">
        <v>692</v>
      </c>
      <c r="C16" s="545">
        <v>134616160.73889998</v>
      </c>
      <c r="D16" s="545">
        <v>76798.824199999901</v>
      </c>
      <c r="E16" s="545">
        <v>66067899.578370988</v>
      </c>
      <c r="F16" s="545">
        <v>1535.9764840000023</v>
      </c>
      <c r="G16" s="545"/>
      <c r="H16" s="545">
        <v>7695605.8200000003</v>
      </c>
      <c r="I16" s="548">
        <f t="shared" si="0"/>
        <v>68623524.008244991</v>
      </c>
    </row>
    <row r="17" spans="1:9">
      <c r="A17" s="421">
        <v>11</v>
      </c>
      <c r="B17" s="413" t="s">
        <v>70</v>
      </c>
      <c r="C17" s="545"/>
      <c r="D17" s="545"/>
      <c r="E17" s="545"/>
      <c r="F17" s="545"/>
      <c r="G17" s="545"/>
      <c r="H17" s="545">
        <v>0</v>
      </c>
      <c r="I17" s="548">
        <f t="shared" si="0"/>
        <v>0</v>
      </c>
    </row>
    <row r="18" spans="1:9">
      <c r="A18" s="421">
        <v>12</v>
      </c>
      <c r="B18" s="413" t="s">
        <v>71</v>
      </c>
      <c r="C18" s="545"/>
      <c r="D18" s="545"/>
      <c r="E18" s="545"/>
      <c r="F18" s="545"/>
      <c r="G18" s="545"/>
      <c r="H18" s="545">
        <v>0</v>
      </c>
      <c r="I18" s="548">
        <f t="shared" si="0"/>
        <v>0</v>
      </c>
    </row>
    <row r="19" spans="1:9">
      <c r="A19" s="423">
        <v>13</v>
      </c>
      <c r="B19" s="415" t="s">
        <v>72</v>
      </c>
      <c r="C19" s="545"/>
      <c r="D19" s="545"/>
      <c r="E19" s="545"/>
      <c r="F19" s="545"/>
      <c r="G19" s="545"/>
      <c r="H19" s="545">
        <v>0</v>
      </c>
      <c r="I19" s="548">
        <f t="shared" si="0"/>
        <v>0</v>
      </c>
    </row>
    <row r="20" spans="1:9">
      <c r="A20" s="421">
        <v>14</v>
      </c>
      <c r="B20" s="413" t="s">
        <v>671</v>
      </c>
      <c r="C20" s="545">
        <v>70586225.444499999</v>
      </c>
      <c r="D20" s="545">
        <v>90369595.071631938</v>
      </c>
      <c r="E20" s="545">
        <v>39117807.864894003</v>
      </c>
      <c r="F20" s="545">
        <v>283753.93721500167</v>
      </c>
      <c r="G20" s="545">
        <v>0</v>
      </c>
      <c r="H20" s="545">
        <v>279101.20999999996</v>
      </c>
      <c r="I20" s="548">
        <f t="shared" si="0"/>
        <v>121554258.71402293</v>
      </c>
    </row>
    <row r="21" spans="1:9" s="425" customFormat="1">
      <c r="A21" s="424">
        <v>15</v>
      </c>
      <c r="B21" s="414" t="s">
        <v>68</v>
      </c>
      <c r="C21" s="546">
        <f>SUM(C7:C15)+SUM(C17:C20)</f>
        <v>248833483.72630003</v>
      </c>
      <c r="D21" s="546">
        <f t="shared" ref="D21:H21" si="1">SUM(D7:D15)+SUM(D17:D20)</f>
        <v>1384217349.3625913</v>
      </c>
      <c r="E21" s="546">
        <f t="shared" si="1"/>
        <v>134071304.34771495</v>
      </c>
      <c r="F21" s="546">
        <f t="shared" si="1"/>
        <v>9786155.6651979852</v>
      </c>
      <c r="G21" s="546">
        <v>4668181.54</v>
      </c>
      <c r="H21" s="546">
        <f t="shared" si="1"/>
        <v>7974707.0300000003</v>
      </c>
      <c r="I21" s="635">
        <f t="shared" si="0"/>
        <v>1484525191.5359783</v>
      </c>
    </row>
    <row r="22" spans="1:9">
      <c r="A22" s="426">
        <v>16</v>
      </c>
      <c r="B22" s="427" t="s">
        <v>693</v>
      </c>
      <c r="C22" s="545">
        <v>180929579.72630009</v>
      </c>
      <c r="D22" s="545">
        <v>612730682.73005104</v>
      </c>
      <c r="E22" s="545">
        <v>96002328.347714961</v>
      </c>
      <c r="F22" s="545">
        <v>9624874.6651979666</v>
      </c>
      <c r="G22" s="545">
        <v>4668181.54</v>
      </c>
      <c r="H22" s="545">
        <v>7695605.8200000003</v>
      </c>
      <c r="I22" s="548">
        <f t="shared" si="0"/>
        <v>683364877.90343821</v>
      </c>
    </row>
    <row r="23" spans="1:9">
      <c r="A23" s="426">
        <v>17</v>
      </c>
      <c r="B23" s="427" t="s">
        <v>694</v>
      </c>
      <c r="C23" s="545"/>
      <c r="D23" s="545">
        <v>37098659.539999999</v>
      </c>
      <c r="E23" s="545">
        <v>0</v>
      </c>
      <c r="F23" s="545">
        <v>160000</v>
      </c>
      <c r="G23" s="545">
        <v>0</v>
      </c>
      <c r="H23" s="545">
        <v>0</v>
      </c>
      <c r="I23" s="548">
        <f t="shared" si="0"/>
        <v>36938659.539999999</v>
      </c>
    </row>
    <row r="26" spans="1:9" ht="42.4" customHeight="1">
      <c r="B26" s="470" t="s">
        <v>940</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3"/>
  <sheetViews>
    <sheetView showGridLines="0" zoomScaleNormal="100" workbookViewId="0"/>
  </sheetViews>
  <sheetFormatPr defaultColWidth="9.28515625" defaultRowHeight="12.75"/>
  <cols>
    <col min="1" max="1" width="11" style="408" bestFit="1" customWidth="1"/>
    <col min="2" max="2" width="93.42578125" style="408" customWidth="1"/>
    <col min="3" max="8" width="22" style="408" customWidth="1"/>
    <col min="9" max="9" width="42.28515625" style="408" bestFit="1" customWidth="1"/>
    <col min="10" max="16384" width="9.28515625" style="408"/>
  </cols>
  <sheetData>
    <row r="1" spans="1:9">
      <c r="A1" s="407" t="s">
        <v>188</v>
      </c>
      <c r="B1" s="547" t="str">
        <f>'1. key ratios'!B1</f>
        <v>სს "ბანკი ქართუ"</v>
      </c>
    </row>
    <row r="2" spans="1:9">
      <c r="A2" s="407" t="s">
        <v>189</v>
      </c>
      <c r="B2" s="639">
        <f>'1. key ratios'!B2</f>
        <v>44926</v>
      </c>
    </row>
    <row r="3" spans="1:9">
      <c r="A3" s="409" t="s">
        <v>695</v>
      </c>
      <c r="B3" s="410"/>
    </row>
    <row r="4" spans="1:9">
      <c r="C4" s="419" t="s">
        <v>673</v>
      </c>
      <c r="D4" s="419" t="s">
        <v>674</v>
      </c>
      <c r="E4" s="419" t="s">
        <v>675</v>
      </c>
      <c r="F4" s="419" t="s">
        <v>676</v>
      </c>
      <c r="G4" s="419" t="s">
        <v>677</v>
      </c>
      <c r="H4" s="419" t="s">
        <v>678</v>
      </c>
      <c r="I4" s="419" t="s">
        <v>679</v>
      </c>
    </row>
    <row r="5" spans="1:9" ht="41.65" customHeight="1">
      <c r="A5" s="736" t="s">
        <v>951</v>
      </c>
      <c r="B5" s="737"/>
      <c r="C5" s="750" t="s">
        <v>683</v>
      </c>
      <c r="D5" s="750"/>
      <c r="E5" s="750" t="s">
        <v>684</v>
      </c>
      <c r="F5" s="750" t="s">
        <v>685</v>
      </c>
      <c r="G5" s="748" t="s">
        <v>686</v>
      </c>
      <c r="H5" s="748" t="s">
        <v>687</v>
      </c>
      <c r="I5" s="420" t="s">
        <v>688</v>
      </c>
    </row>
    <row r="6" spans="1:9" ht="41.65" customHeight="1">
      <c r="A6" s="740"/>
      <c r="B6" s="741"/>
      <c r="C6" s="454" t="s">
        <v>689</v>
      </c>
      <c r="D6" s="454" t="s">
        <v>690</v>
      </c>
      <c r="E6" s="750"/>
      <c r="F6" s="750"/>
      <c r="G6" s="749"/>
      <c r="H6" s="749"/>
      <c r="I6" s="420" t="s">
        <v>691</v>
      </c>
    </row>
    <row r="7" spans="1:9">
      <c r="A7" s="422">
        <v>1</v>
      </c>
      <c r="B7" s="428" t="s">
        <v>696</v>
      </c>
      <c r="C7" s="545">
        <v>296371.93</v>
      </c>
      <c r="D7" s="545">
        <v>367561686.18945998</v>
      </c>
      <c r="E7" s="545">
        <v>77255.509185999996</v>
      </c>
      <c r="F7" s="545">
        <v>163062.51101499994</v>
      </c>
      <c r="G7" s="545">
        <v>0</v>
      </c>
      <c r="H7" s="545">
        <v>0</v>
      </c>
      <c r="I7" s="548">
        <f t="shared" ref="I7:I34" si="0">C7+D7-E7-F7-G7</f>
        <v>367617740.09925896</v>
      </c>
    </row>
    <row r="8" spans="1:9">
      <c r="A8" s="422">
        <v>2</v>
      </c>
      <c r="B8" s="428" t="s">
        <v>697</v>
      </c>
      <c r="C8" s="545">
        <v>299102.63999999996</v>
      </c>
      <c r="D8" s="545">
        <v>335125613.6426</v>
      </c>
      <c r="E8" s="545">
        <v>98901.421908000004</v>
      </c>
      <c r="F8" s="545">
        <v>56762.715505000022</v>
      </c>
      <c r="G8" s="545">
        <v>0</v>
      </c>
      <c r="H8" s="545">
        <v>0</v>
      </c>
      <c r="I8" s="548">
        <f t="shared" si="0"/>
        <v>335269052.14518696</v>
      </c>
    </row>
    <row r="9" spans="1:9">
      <c r="A9" s="422">
        <v>3</v>
      </c>
      <c r="B9" s="428" t="s">
        <v>698</v>
      </c>
      <c r="C9" s="545">
        <v>0</v>
      </c>
      <c r="D9" s="545">
        <v>0</v>
      </c>
      <c r="E9" s="545">
        <v>0</v>
      </c>
      <c r="F9" s="545">
        <v>0</v>
      </c>
      <c r="G9" s="545">
        <v>0</v>
      </c>
      <c r="H9" s="545">
        <v>0</v>
      </c>
      <c r="I9" s="548">
        <f t="shared" si="0"/>
        <v>0</v>
      </c>
    </row>
    <row r="10" spans="1:9">
      <c r="A10" s="422">
        <v>4</v>
      </c>
      <c r="B10" s="428" t="s">
        <v>699</v>
      </c>
      <c r="C10" s="545">
        <v>36632400.569999993</v>
      </c>
      <c r="D10" s="545">
        <v>33293035.452120002</v>
      </c>
      <c r="E10" s="545">
        <v>15948479.709352002</v>
      </c>
      <c r="F10" s="545">
        <v>413262.99878299993</v>
      </c>
      <c r="G10" s="545">
        <v>0</v>
      </c>
      <c r="H10" s="545">
        <v>0</v>
      </c>
      <c r="I10" s="548">
        <f t="shared" si="0"/>
        <v>53563693.313984998</v>
      </c>
    </row>
    <row r="11" spans="1:9">
      <c r="A11" s="422">
        <v>5</v>
      </c>
      <c r="B11" s="428" t="s">
        <v>700</v>
      </c>
      <c r="C11" s="545">
        <v>13791885.780000001</v>
      </c>
      <c r="D11" s="545">
        <v>63926099.89669998</v>
      </c>
      <c r="E11" s="545">
        <v>11816578.095518004</v>
      </c>
      <c r="F11" s="545">
        <v>712624.73022699985</v>
      </c>
      <c r="G11" s="545">
        <v>0</v>
      </c>
      <c r="H11" s="545">
        <v>0</v>
      </c>
      <c r="I11" s="548">
        <f t="shared" si="0"/>
        <v>65188782.850954972</v>
      </c>
    </row>
    <row r="12" spans="1:9">
      <c r="A12" s="422">
        <v>6</v>
      </c>
      <c r="B12" s="428" t="s">
        <v>701</v>
      </c>
      <c r="C12" s="545">
        <v>2029779.41</v>
      </c>
      <c r="D12" s="545">
        <v>48043426.402307987</v>
      </c>
      <c r="E12" s="545">
        <v>608933.82522</v>
      </c>
      <c r="F12" s="545">
        <v>855066.44049299997</v>
      </c>
      <c r="G12" s="545">
        <v>0</v>
      </c>
      <c r="H12" s="545">
        <v>0</v>
      </c>
      <c r="I12" s="548">
        <f t="shared" si="0"/>
        <v>48609205.546594977</v>
      </c>
    </row>
    <row r="13" spans="1:9">
      <c r="A13" s="422">
        <v>7</v>
      </c>
      <c r="B13" s="428" t="s">
        <v>702</v>
      </c>
      <c r="C13" s="545">
        <v>5557859.580000001</v>
      </c>
      <c r="D13" s="545">
        <v>8077154.123519998</v>
      </c>
      <c r="E13" s="545">
        <v>2921029.0212400006</v>
      </c>
      <c r="F13" s="545">
        <v>109262.202832</v>
      </c>
      <c r="G13" s="545">
        <v>0</v>
      </c>
      <c r="H13" s="545">
        <v>0</v>
      </c>
      <c r="I13" s="548">
        <f t="shared" si="0"/>
        <v>10604722.479448</v>
      </c>
    </row>
    <row r="14" spans="1:9">
      <c r="A14" s="422">
        <v>8</v>
      </c>
      <c r="B14" s="428" t="s">
        <v>703</v>
      </c>
      <c r="C14" s="545">
        <v>13241605.779999999</v>
      </c>
      <c r="D14" s="545">
        <v>4373444.0668839999</v>
      </c>
      <c r="E14" s="545">
        <v>3972481.7320859996</v>
      </c>
      <c r="F14" s="545">
        <v>85634.989561000009</v>
      </c>
      <c r="G14" s="545">
        <v>0</v>
      </c>
      <c r="H14" s="545">
        <v>0</v>
      </c>
      <c r="I14" s="548">
        <f t="shared" si="0"/>
        <v>13556933.125236997</v>
      </c>
    </row>
    <row r="15" spans="1:9">
      <c r="A15" s="422">
        <v>9</v>
      </c>
      <c r="B15" s="428" t="s">
        <v>704</v>
      </c>
      <c r="C15" s="545">
        <v>31254236.059999999</v>
      </c>
      <c r="D15" s="545">
        <v>103879193.21554397</v>
      </c>
      <c r="E15" s="545">
        <v>20891926.822139997</v>
      </c>
      <c r="F15" s="545">
        <v>1897098.4326619999</v>
      </c>
      <c r="G15" s="545">
        <v>0</v>
      </c>
      <c r="H15" s="545">
        <v>6213593.0500000007</v>
      </c>
      <c r="I15" s="548">
        <f t="shared" si="0"/>
        <v>112344404.02074197</v>
      </c>
    </row>
    <row r="16" spans="1:9">
      <c r="A16" s="422">
        <v>10</v>
      </c>
      <c r="B16" s="428" t="s">
        <v>705</v>
      </c>
      <c r="C16" s="545">
        <v>32343.530000000002</v>
      </c>
      <c r="D16" s="545">
        <v>1961475.9112160001</v>
      </c>
      <c r="E16" s="545">
        <v>9703.0603320000009</v>
      </c>
      <c r="F16" s="545">
        <v>39029.037339000002</v>
      </c>
      <c r="G16" s="545">
        <v>0</v>
      </c>
      <c r="H16" s="545">
        <v>0</v>
      </c>
      <c r="I16" s="548">
        <f t="shared" si="0"/>
        <v>1945087.3435450001</v>
      </c>
    </row>
    <row r="17" spans="1:9">
      <c r="A17" s="422">
        <v>11</v>
      </c>
      <c r="B17" s="428" t="s">
        <v>706</v>
      </c>
      <c r="C17" s="545">
        <v>0</v>
      </c>
      <c r="D17" s="545">
        <v>917985.15803599986</v>
      </c>
      <c r="E17" s="545">
        <v>0</v>
      </c>
      <c r="F17" s="545">
        <v>18326.925357</v>
      </c>
      <c r="G17" s="545">
        <v>0</v>
      </c>
      <c r="H17" s="545">
        <v>0</v>
      </c>
      <c r="I17" s="548">
        <f t="shared" si="0"/>
        <v>899658.23267899989</v>
      </c>
    </row>
    <row r="18" spans="1:9">
      <c r="A18" s="422">
        <v>12</v>
      </c>
      <c r="B18" s="428" t="s">
        <v>707</v>
      </c>
      <c r="C18" s="545">
        <v>21907581.890000001</v>
      </c>
      <c r="D18" s="545">
        <v>8098804.4777239989</v>
      </c>
      <c r="E18" s="545">
        <v>6822535.8656039992</v>
      </c>
      <c r="F18" s="545">
        <v>136045.04374499997</v>
      </c>
      <c r="G18" s="545">
        <v>0</v>
      </c>
      <c r="H18" s="545">
        <v>0</v>
      </c>
      <c r="I18" s="548">
        <f t="shared" si="0"/>
        <v>23047805.458375003</v>
      </c>
    </row>
    <row r="19" spans="1:9">
      <c r="A19" s="422">
        <v>13</v>
      </c>
      <c r="B19" s="428" t="s">
        <v>708</v>
      </c>
      <c r="C19" s="545">
        <v>3625785.84</v>
      </c>
      <c r="D19" s="545">
        <v>9602804.4340599999</v>
      </c>
      <c r="E19" s="545">
        <v>1089537.3914940001</v>
      </c>
      <c r="F19" s="545">
        <v>177334.00940399995</v>
      </c>
      <c r="G19" s="545">
        <v>0</v>
      </c>
      <c r="H19" s="545">
        <v>953512.19</v>
      </c>
      <c r="I19" s="548">
        <f t="shared" si="0"/>
        <v>11961718.873162</v>
      </c>
    </row>
    <row r="20" spans="1:9">
      <c r="A20" s="422">
        <v>14</v>
      </c>
      <c r="B20" s="428" t="s">
        <v>709</v>
      </c>
      <c r="C20" s="545">
        <v>16564907.969999999</v>
      </c>
      <c r="D20" s="545">
        <v>32711537.406419996</v>
      </c>
      <c r="E20" s="545">
        <v>6595191.527960998</v>
      </c>
      <c r="F20" s="545">
        <v>546252.61413</v>
      </c>
      <c r="G20" s="545">
        <v>0</v>
      </c>
      <c r="H20" s="545">
        <v>0</v>
      </c>
      <c r="I20" s="548">
        <f t="shared" si="0"/>
        <v>42135001.234328993</v>
      </c>
    </row>
    <row r="21" spans="1:9">
      <c r="A21" s="422">
        <v>15</v>
      </c>
      <c r="B21" s="428" t="s">
        <v>710</v>
      </c>
      <c r="C21" s="545">
        <v>339165.01</v>
      </c>
      <c r="D21" s="545">
        <v>165518.57</v>
      </c>
      <c r="E21" s="545">
        <v>115411.04718000001</v>
      </c>
      <c r="F21" s="545">
        <v>573.5838</v>
      </c>
      <c r="G21" s="545">
        <v>0</v>
      </c>
      <c r="H21" s="545">
        <v>0</v>
      </c>
      <c r="I21" s="548">
        <f t="shared" si="0"/>
        <v>388698.94902</v>
      </c>
    </row>
    <row r="22" spans="1:9">
      <c r="A22" s="422">
        <v>16</v>
      </c>
      <c r="B22" s="428" t="s">
        <v>711</v>
      </c>
      <c r="C22" s="545">
        <v>63740.86</v>
      </c>
      <c r="D22" s="545">
        <v>53138979.36682</v>
      </c>
      <c r="E22" s="545">
        <v>31870.427749999999</v>
      </c>
      <c r="F22" s="545">
        <v>952644.83066900005</v>
      </c>
      <c r="G22" s="545">
        <v>0</v>
      </c>
      <c r="H22" s="545">
        <v>0</v>
      </c>
      <c r="I22" s="548">
        <f t="shared" si="0"/>
        <v>52218204.968401</v>
      </c>
    </row>
    <row r="23" spans="1:9">
      <c r="A23" s="422">
        <v>17</v>
      </c>
      <c r="B23" s="428" t="s">
        <v>712</v>
      </c>
      <c r="C23" s="545">
        <v>0</v>
      </c>
      <c r="D23" s="545">
        <v>19717134.356140003</v>
      </c>
      <c r="E23" s="545">
        <v>245542.51300000001</v>
      </c>
      <c r="F23" s="545">
        <v>343246.71310899995</v>
      </c>
      <c r="G23" s="545">
        <v>0</v>
      </c>
      <c r="H23" s="545">
        <v>0</v>
      </c>
      <c r="I23" s="548">
        <f t="shared" si="0"/>
        <v>19128345.130031001</v>
      </c>
    </row>
    <row r="24" spans="1:9">
      <c r="A24" s="422">
        <v>18</v>
      </c>
      <c r="B24" s="428" t="s">
        <v>713</v>
      </c>
      <c r="C24" s="545">
        <v>1810340</v>
      </c>
      <c r="D24" s="545">
        <v>1264089.9039999999</v>
      </c>
      <c r="E24" s="545">
        <v>1267238</v>
      </c>
      <c r="F24" s="545">
        <v>25166.314516999999</v>
      </c>
      <c r="G24" s="545">
        <v>0</v>
      </c>
      <c r="H24" s="545">
        <v>0</v>
      </c>
      <c r="I24" s="548">
        <f t="shared" si="0"/>
        <v>1782025.5894830001</v>
      </c>
    </row>
    <row r="25" spans="1:9">
      <c r="A25" s="422">
        <v>19</v>
      </c>
      <c r="B25" s="428" t="s">
        <v>714</v>
      </c>
      <c r="C25" s="545">
        <v>0</v>
      </c>
      <c r="D25" s="545">
        <v>21168484.868080001</v>
      </c>
      <c r="E25" s="545">
        <v>198416.31996200001</v>
      </c>
      <c r="F25" s="545">
        <v>382714.33083300001</v>
      </c>
      <c r="G25" s="545">
        <v>0</v>
      </c>
      <c r="H25" s="545">
        <v>0</v>
      </c>
      <c r="I25" s="548">
        <f t="shared" si="0"/>
        <v>20587354.217285004</v>
      </c>
    </row>
    <row r="26" spans="1:9">
      <c r="A26" s="422">
        <v>20</v>
      </c>
      <c r="B26" s="428" t="s">
        <v>715</v>
      </c>
      <c r="C26" s="545">
        <v>0</v>
      </c>
      <c r="D26" s="545">
        <v>36042727.91164799</v>
      </c>
      <c r="E26" s="545">
        <v>0</v>
      </c>
      <c r="F26" s="545">
        <v>718037.51674500026</v>
      </c>
      <c r="G26" s="545">
        <v>0</v>
      </c>
      <c r="H26" s="545">
        <v>0</v>
      </c>
      <c r="I26" s="548">
        <f t="shared" si="0"/>
        <v>35324690.394902989</v>
      </c>
    </row>
    <row r="27" spans="1:9">
      <c r="A27" s="422">
        <v>21</v>
      </c>
      <c r="B27" s="428" t="s">
        <v>716</v>
      </c>
      <c r="C27" s="545">
        <v>0</v>
      </c>
      <c r="D27" s="545">
        <v>1396223.610628</v>
      </c>
      <c r="E27" s="545">
        <v>0</v>
      </c>
      <c r="F27" s="545">
        <v>27804.303102999995</v>
      </c>
      <c r="G27" s="545">
        <v>0</v>
      </c>
      <c r="H27" s="545">
        <v>0</v>
      </c>
      <c r="I27" s="548">
        <f t="shared" si="0"/>
        <v>1368419.3075250001</v>
      </c>
    </row>
    <row r="28" spans="1:9">
      <c r="A28" s="422">
        <v>22</v>
      </c>
      <c r="B28" s="428" t="s">
        <v>717</v>
      </c>
      <c r="C28" s="545">
        <v>8709386.6099999994</v>
      </c>
      <c r="D28" s="545">
        <v>35494048.858400002</v>
      </c>
      <c r="E28" s="545">
        <v>8330361.3053339999</v>
      </c>
      <c r="F28" s="545">
        <v>12317.286085</v>
      </c>
      <c r="G28" s="545">
        <v>0</v>
      </c>
      <c r="H28" s="545">
        <v>0</v>
      </c>
      <c r="I28" s="548">
        <f t="shared" si="0"/>
        <v>35860756.876980998</v>
      </c>
    </row>
    <row r="29" spans="1:9">
      <c r="A29" s="422">
        <v>23</v>
      </c>
      <c r="B29" s="428" t="s">
        <v>718</v>
      </c>
      <c r="C29" s="545">
        <v>8408613.0999999996</v>
      </c>
      <c r="D29" s="545">
        <v>59998441.940140016</v>
      </c>
      <c r="E29" s="545">
        <v>4291799.4276500018</v>
      </c>
      <c r="F29" s="545">
        <v>1163511.6506479997</v>
      </c>
      <c r="G29" s="545">
        <v>0</v>
      </c>
      <c r="H29" s="545">
        <v>18670.330000000002</v>
      </c>
      <c r="I29" s="548">
        <f t="shared" si="0"/>
        <v>62951743.961842015</v>
      </c>
    </row>
    <row r="30" spans="1:9">
      <c r="A30" s="422">
        <v>24</v>
      </c>
      <c r="B30" s="428" t="s">
        <v>719</v>
      </c>
      <c r="C30" s="545">
        <v>10853895.250000002</v>
      </c>
      <c r="D30" s="545">
        <v>33216341.596880008</v>
      </c>
      <c r="E30" s="545">
        <v>7247844.9122480005</v>
      </c>
      <c r="F30" s="545">
        <v>452835.32988300006</v>
      </c>
      <c r="G30" s="545">
        <v>0</v>
      </c>
      <c r="H30" s="545">
        <v>509830.25</v>
      </c>
      <c r="I30" s="548">
        <f t="shared" si="0"/>
        <v>36369556.604749009</v>
      </c>
    </row>
    <row r="31" spans="1:9">
      <c r="A31" s="422">
        <v>25</v>
      </c>
      <c r="B31" s="428" t="s">
        <v>720</v>
      </c>
      <c r="C31" s="545">
        <v>5488193.6337000011</v>
      </c>
      <c r="D31" s="545">
        <v>31825994.579616006</v>
      </c>
      <c r="E31" s="545">
        <v>3406091.0115900002</v>
      </c>
      <c r="F31" s="545">
        <v>476623.5195409999</v>
      </c>
      <c r="G31" s="545">
        <v>0</v>
      </c>
      <c r="H31" s="545">
        <v>0</v>
      </c>
      <c r="I31" s="548">
        <f t="shared" si="0"/>
        <v>33431473.682185005</v>
      </c>
    </row>
    <row r="32" spans="1:9">
      <c r="A32" s="422">
        <v>26</v>
      </c>
      <c r="B32" s="428" t="s">
        <v>721</v>
      </c>
      <c r="C32" s="545">
        <v>22384.282600000002</v>
      </c>
      <c r="D32" s="545">
        <v>1342009.5611080017</v>
      </c>
      <c r="E32" s="545">
        <v>15199.400960000001</v>
      </c>
      <c r="F32" s="545">
        <v>19636.635212000008</v>
      </c>
      <c r="G32" s="545">
        <v>0</v>
      </c>
      <c r="H32" s="545">
        <v>0</v>
      </c>
      <c r="I32" s="548">
        <f t="shared" si="0"/>
        <v>1329557.8075360018</v>
      </c>
    </row>
    <row r="33" spans="1:9">
      <c r="A33" s="422">
        <v>27</v>
      </c>
      <c r="B33" s="422" t="s">
        <v>165</v>
      </c>
      <c r="C33" s="545">
        <v>67903904</v>
      </c>
      <c r="D33" s="545">
        <v>71875093.862539992</v>
      </c>
      <c r="E33" s="545">
        <v>38068976</v>
      </c>
      <c r="F33" s="545">
        <v>1281</v>
      </c>
      <c r="G33" s="545">
        <v>0</v>
      </c>
      <c r="H33" s="545">
        <v>279101.20999999996</v>
      </c>
      <c r="I33" s="548">
        <f t="shared" si="0"/>
        <v>101708740.86254001</v>
      </c>
    </row>
    <row r="34" spans="1:9">
      <c r="A34" s="422">
        <v>28</v>
      </c>
      <c r="B34" s="414" t="s">
        <v>68</v>
      </c>
      <c r="C34" s="546">
        <f>SUM(C7:C33)</f>
        <v>248833483.72629997</v>
      </c>
      <c r="D34" s="546">
        <f t="shared" ref="D34:H34" si="1">SUM(D7:D33)</f>
        <v>1384217349.362592</v>
      </c>
      <c r="E34" s="546">
        <f t="shared" si="1"/>
        <v>134071304.34771501</v>
      </c>
      <c r="F34" s="546">
        <f t="shared" si="1"/>
        <v>9786155.6651979983</v>
      </c>
      <c r="G34" s="546">
        <v>4668181.54</v>
      </c>
      <c r="H34" s="546">
        <f t="shared" si="1"/>
        <v>7974707.0300000003</v>
      </c>
      <c r="I34" s="548">
        <f t="shared" si="0"/>
        <v>1484525191.535979</v>
      </c>
    </row>
    <row r="36" spans="1:9">
      <c r="B36" s="429"/>
      <c r="C36" s="638"/>
      <c r="D36" s="638"/>
      <c r="E36" s="638"/>
      <c r="F36" s="638"/>
      <c r="G36" s="638"/>
      <c r="H36" s="638"/>
      <c r="I36" s="638"/>
    </row>
    <row r="37" spans="1:9">
      <c r="C37" s="638"/>
      <c r="D37" s="638"/>
      <c r="E37" s="638"/>
      <c r="F37" s="638"/>
      <c r="G37" s="638"/>
      <c r="H37" s="638"/>
      <c r="I37" s="638"/>
    </row>
    <row r="38" spans="1:9">
      <c r="C38" s="638"/>
      <c r="D38" s="638"/>
      <c r="E38" s="638"/>
      <c r="F38" s="638"/>
      <c r="G38" s="638"/>
      <c r="H38" s="638"/>
      <c r="I38" s="638"/>
    </row>
    <row r="39" spans="1:9">
      <c r="C39" s="638"/>
      <c r="D39" s="638"/>
      <c r="E39" s="638"/>
      <c r="F39" s="638"/>
      <c r="G39" s="638"/>
      <c r="H39" s="638"/>
      <c r="I39" s="638"/>
    </row>
    <row r="40" spans="1:9">
      <c r="C40" s="638"/>
      <c r="D40" s="638"/>
      <c r="E40" s="638"/>
      <c r="F40" s="638"/>
      <c r="G40" s="638"/>
      <c r="H40" s="638"/>
      <c r="I40" s="638"/>
    </row>
    <row r="41" spans="1:9">
      <c r="C41" s="638"/>
      <c r="D41" s="638"/>
      <c r="E41" s="638"/>
      <c r="F41" s="638"/>
      <c r="G41" s="638"/>
      <c r="H41" s="638"/>
      <c r="I41" s="638"/>
    </row>
    <row r="42" spans="1:9">
      <c r="A42" s="425"/>
      <c r="B42" s="425"/>
      <c r="C42" s="638"/>
      <c r="D42" s="638"/>
      <c r="E42" s="638"/>
      <c r="F42" s="638"/>
      <c r="G42" s="638"/>
      <c r="H42" s="638"/>
      <c r="I42" s="638"/>
    </row>
    <row r="43" spans="1:9">
      <c r="A43" s="425"/>
      <c r="B43" s="425"/>
      <c r="C43" s="638"/>
      <c r="D43" s="638"/>
      <c r="E43" s="638"/>
      <c r="F43" s="638"/>
      <c r="G43" s="638"/>
      <c r="H43" s="638"/>
      <c r="I43" s="638"/>
    </row>
    <row r="44" spans="1:9">
      <c r="C44" s="638"/>
      <c r="D44" s="638"/>
      <c r="E44" s="638"/>
      <c r="F44" s="638"/>
      <c r="G44" s="638"/>
      <c r="H44" s="638"/>
      <c r="I44" s="638"/>
    </row>
    <row r="45" spans="1:9">
      <c r="C45" s="638"/>
      <c r="D45" s="638"/>
      <c r="E45" s="638"/>
      <c r="F45" s="638"/>
      <c r="G45" s="638"/>
      <c r="H45" s="638"/>
      <c r="I45" s="638"/>
    </row>
    <row r="46" spans="1:9">
      <c r="C46" s="638"/>
      <c r="D46" s="638"/>
      <c r="E46" s="638"/>
      <c r="F46" s="638"/>
      <c r="G46" s="638"/>
      <c r="H46" s="638"/>
      <c r="I46" s="638"/>
    </row>
    <row r="47" spans="1:9">
      <c r="C47" s="638"/>
      <c r="D47" s="638"/>
      <c r="E47" s="638"/>
      <c r="F47" s="638"/>
      <c r="G47" s="638"/>
      <c r="H47" s="638"/>
      <c r="I47" s="638"/>
    </row>
    <row r="48" spans="1:9">
      <c r="C48" s="638"/>
      <c r="D48" s="638"/>
      <c r="E48" s="638"/>
      <c r="F48" s="638"/>
      <c r="G48" s="638"/>
      <c r="H48" s="638"/>
      <c r="I48" s="638"/>
    </row>
    <row r="49" spans="3:9">
      <c r="C49" s="638"/>
      <c r="D49" s="638"/>
      <c r="E49" s="638"/>
      <c r="F49" s="638"/>
      <c r="G49" s="638"/>
      <c r="H49" s="638"/>
      <c r="I49" s="638"/>
    </row>
    <row r="50" spans="3:9">
      <c r="C50" s="638"/>
      <c r="D50" s="638"/>
      <c r="E50" s="638"/>
      <c r="F50" s="638"/>
      <c r="G50" s="638"/>
      <c r="H50" s="638"/>
      <c r="I50" s="638"/>
    </row>
    <row r="51" spans="3:9">
      <c r="C51" s="638"/>
      <c r="D51" s="638"/>
      <c r="E51" s="638"/>
      <c r="F51" s="638"/>
      <c r="G51" s="638"/>
      <c r="H51" s="638"/>
      <c r="I51" s="638"/>
    </row>
    <row r="52" spans="3:9">
      <c r="C52" s="638"/>
      <c r="D52" s="638"/>
      <c r="E52" s="638"/>
      <c r="F52" s="638"/>
      <c r="G52" s="638"/>
      <c r="H52" s="638"/>
      <c r="I52" s="638"/>
    </row>
    <row r="53" spans="3:9">
      <c r="C53" s="638"/>
      <c r="D53" s="638"/>
      <c r="E53" s="638"/>
      <c r="F53" s="638"/>
      <c r="G53" s="638"/>
      <c r="H53" s="638"/>
      <c r="I53" s="638"/>
    </row>
    <row r="54" spans="3:9">
      <c r="C54" s="638"/>
      <c r="D54" s="638"/>
      <c r="E54" s="638"/>
      <c r="F54" s="638"/>
      <c r="G54" s="638"/>
      <c r="H54" s="638"/>
      <c r="I54" s="638"/>
    </row>
    <row r="55" spans="3:9">
      <c r="C55" s="638"/>
      <c r="D55" s="638"/>
      <c r="E55" s="638"/>
      <c r="F55" s="638"/>
      <c r="G55" s="638"/>
      <c r="H55" s="638"/>
      <c r="I55" s="638"/>
    </row>
    <row r="56" spans="3:9">
      <c r="C56" s="638"/>
      <c r="D56" s="638"/>
      <c r="E56" s="638"/>
      <c r="F56" s="638"/>
      <c r="G56" s="638"/>
      <c r="H56" s="638"/>
      <c r="I56" s="638"/>
    </row>
    <row r="57" spans="3:9">
      <c r="C57" s="638"/>
      <c r="D57" s="638"/>
      <c r="E57" s="638"/>
      <c r="F57" s="638"/>
      <c r="G57" s="638"/>
      <c r="H57" s="638"/>
      <c r="I57" s="638"/>
    </row>
    <row r="58" spans="3:9">
      <c r="C58" s="638"/>
      <c r="D58" s="638"/>
      <c r="E58" s="638"/>
      <c r="F58" s="638"/>
      <c r="G58" s="638"/>
      <c r="H58" s="638"/>
      <c r="I58" s="638"/>
    </row>
    <row r="59" spans="3:9">
      <c r="C59" s="638"/>
      <c r="D59" s="638"/>
      <c r="E59" s="638"/>
      <c r="F59" s="638"/>
      <c r="G59" s="638"/>
      <c r="H59" s="638"/>
      <c r="I59" s="638"/>
    </row>
    <row r="60" spans="3:9">
      <c r="C60" s="638"/>
      <c r="D60" s="638"/>
      <c r="E60" s="638"/>
      <c r="F60" s="638"/>
      <c r="G60" s="638"/>
      <c r="H60" s="638"/>
      <c r="I60" s="638"/>
    </row>
    <row r="61" spans="3:9">
      <c r="C61" s="638"/>
      <c r="D61" s="638"/>
      <c r="E61" s="638"/>
      <c r="F61" s="638"/>
      <c r="G61" s="638"/>
      <c r="H61" s="638"/>
      <c r="I61" s="638"/>
    </row>
    <row r="62" spans="3:9">
      <c r="C62" s="638"/>
      <c r="D62" s="638"/>
      <c r="E62" s="638"/>
      <c r="F62" s="638"/>
      <c r="G62" s="638"/>
      <c r="H62" s="638"/>
      <c r="I62" s="638"/>
    </row>
    <row r="63" spans="3:9">
      <c r="C63" s="638"/>
      <c r="D63" s="638"/>
      <c r="E63" s="638"/>
      <c r="F63" s="638"/>
      <c r="G63" s="638"/>
      <c r="H63" s="638"/>
      <c r="I63" s="638"/>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B1" sqref="B1"/>
    </sheetView>
  </sheetViews>
  <sheetFormatPr defaultColWidth="9.28515625" defaultRowHeight="12.75"/>
  <cols>
    <col min="1" max="1" width="11.7109375" style="408" bestFit="1" customWidth="1"/>
    <col min="2" max="2" width="108" style="408" bestFit="1" customWidth="1"/>
    <col min="3" max="3" width="35.5703125" style="408" customWidth="1"/>
    <col min="4" max="4" width="38.42578125" style="408" customWidth="1"/>
    <col min="5" max="16384" width="9.28515625" style="408"/>
  </cols>
  <sheetData>
    <row r="1" spans="1:4">
      <c r="A1" s="407" t="s">
        <v>188</v>
      </c>
      <c r="B1" s="547" t="str">
        <f>'1. key ratios'!B1</f>
        <v>სს "ბანკი ქართუ"</v>
      </c>
    </row>
    <row r="2" spans="1:4">
      <c r="A2" s="407" t="s">
        <v>189</v>
      </c>
      <c r="B2" s="639">
        <f>'1. key ratios'!B2</f>
        <v>44926</v>
      </c>
    </row>
    <row r="3" spans="1:4">
      <c r="A3" s="409" t="s">
        <v>722</v>
      </c>
      <c r="B3" s="410"/>
    </row>
    <row r="5" spans="1:4" ht="51">
      <c r="A5" s="751" t="s">
        <v>723</v>
      </c>
      <c r="B5" s="751"/>
      <c r="C5" s="411" t="s">
        <v>724</v>
      </c>
      <c r="D5" s="411" t="s">
        <v>725</v>
      </c>
    </row>
    <row r="6" spans="1:4">
      <c r="A6" s="430">
        <v>1</v>
      </c>
      <c r="B6" s="431" t="s">
        <v>726</v>
      </c>
      <c r="C6" s="546">
        <v>123594481</v>
      </c>
      <c r="D6" s="546">
        <v>60000</v>
      </c>
    </row>
    <row r="7" spans="1:4">
      <c r="A7" s="432">
        <v>2</v>
      </c>
      <c r="B7" s="431" t="s">
        <v>727</v>
      </c>
      <c r="C7" s="546">
        <f>SUM(C8:C11)</f>
        <v>21090072.033996351</v>
      </c>
      <c r="D7" s="546">
        <f>SUM(D8:D11)</f>
        <v>160000</v>
      </c>
    </row>
    <row r="8" spans="1:4">
      <c r="A8" s="432">
        <v>2.1</v>
      </c>
      <c r="B8" s="433" t="s">
        <v>728</v>
      </c>
      <c r="C8" s="545">
        <v>13039109.215700328</v>
      </c>
      <c r="D8" s="545">
        <v>160000</v>
      </c>
    </row>
    <row r="9" spans="1:4">
      <c r="A9" s="432">
        <v>2.2000000000000002</v>
      </c>
      <c r="B9" s="433" t="s">
        <v>729</v>
      </c>
      <c r="C9" s="545">
        <v>3315371.6930776578</v>
      </c>
      <c r="D9" s="545"/>
    </row>
    <row r="10" spans="1:4">
      <c r="A10" s="432">
        <v>2.2999999999999998</v>
      </c>
      <c r="B10" s="433" t="s">
        <v>730</v>
      </c>
      <c r="C10" s="545">
        <v>67409.585218364504</v>
      </c>
      <c r="D10" s="545"/>
    </row>
    <row r="11" spans="1:4">
      <c r="A11" s="432">
        <v>2.4</v>
      </c>
      <c r="B11" s="433" t="s">
        <v>731</v>
      </c>
      <c r="C11" s="545">
        <v>4668181.54</v>
      </c>
      <c r="D11" s="545"/>
    </row>
    <row r="12" spans="1:4">
      <c r="A12" s="430">
        <v>3</v>
      </c>
      <c r="B12" s="431" t="s">
        <v>732</v>
      </c>
      <c r="C12" s="546">
        <f>SUM(C13:C18)</f>
        <v>34389167.782465912</v>
      </c>
      <c r="D12" s="545">
        <f>SUM(D13:D18)</f>
        <v>60000</v>
      </c>
    </row>
    <row r="13" spans="1:4">
      <c r="A13" s="432">
        <v>3.1</v>
      </c>
      <c r="B13" s="433" t="s">
        <v>733</v>
      </c>
      <c r="C13" s="545">
        <v>7550695.8659399999</v>
      </c>
      <c r="D13" s="545"/>
    </row>
    <row r="14" spans="1:4">
      <c r="A14" s="432">
        <v>3.2</v>
      </c>
      <c r="B14" s="433" t="s">
        <v>734</v>
      </c>
      <c r="C14" s="545">
        <v>1941549.786086991</v>
      </c>
      <c r="D14" s="545">
        <v>60000</v>
      </c>
    </row>
    <row r="15" spans="1:4">
      <c r="A15" s="432">
        <v>3.3</v>
      </c>
      <c r="B15" s="433" t="s">
        <v>735</v>
      </c>
      <c r="C15" s="545">
        <v>17535903.191068027</v>
      </c>
      <c r="D15" s="545"/>
    </row>
    <row r="16" spans="1:4">
      <c r="A16" s="432">
        <v>3.4</v>
      </c>
      <c r="B16" s="433" t="s">
        <v>736</v>
      </c>
      <c r="C16" s="545">
        <v>3445092.4381345841</v>
      </c>
      <c r="D16" s="545"/>
    </row>
    <row r="17" spans="1:4">
      <c r="A17" s="432">
        <v>3.5</v>
      </c>
      <c r="B17" s="433" t="s">
        <v>737</v>
      </c>
      <c r="C17" s="545">
        <v>3915926.5012363112</v>
      </c>
      <c r="D17" s="545">
        <v>0</v>
      </c>
    </row>
    <row r="18" spans="1:4">
      <c r="A18" s="432">
        <v>3.6</v>
      </c>
      <c r="B18" s="433" t="s">
        <v>738</v>
      </c>
      <c r="C18" s="545">
        <v>0</v>
      </c>
      <c r="D18" s="545"/>
    </row>
    <row r="19" spans="1:4">
      <c r="A19" s="434">
        <v>4</v>
      </c>
      <c r="B19" s="431" t="s">
        <v>739</v>
      </c>
      <c r="C19" s="546">
        <f>C6+C7-C12</f>
        <v>110295385.25153044</v>
      </c>
      <c r="D19" s="546">
        <f>D6+D7-D12</f>
        <v>160000</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heetViews>
  <sheetFormatPr defaultColWidth="9.28515625" defaultRowHeight="12.75"/>
  <cols>
    <col min="1" max="1" width="11.7109375" style="408" bestFit="1" customWidth="1"/>
    <col min="2" max="2" width="124.7109375" style="408" customWidth="1"/>
    <col min="3" max="3" width="21.5703125" style="408" customWidth="1"/>
    <col min="4" max="4" width="49.28515625" style="408" customWidth="1"/>
    <col min="5" max="16384" width="9.28515625" style="408"/>
  </cols>
  <sheetData>
    <row r="1" spans="1:4">
      <c r="A1" s="407" t="s">
        <v>188</v>
      </c>
      <c r="B1" s="547" t="str">
        <f>'1. key ratios'!B1</f>
        <v>სს "ბანკი ქართუ"</v>
      </c>
    </row>
    <row r="2" spans="1:4">
      <c r="A2" s="407" t="s">
        <v>189</v>
      </c>
      <c r="B2" s="639">
        <f>'1. key ratios'!B2</f>
        <v>44926</v>
      </c>
    </row>
    <row r="3" spans="1:4">
      <c r="A3" s="409" t="s">
        <v>740</v>
      </c>
      <c r="B3" s="410"/>
    </row>
    <row r="4" spans="1:4">
      <c r="A4" s="409"/>
    </row>
    <row r="5" spans="1:4" ht="15" customHeight="1">
      <c r="A5" s="752" t="s">
        <v>741</v>
      </c>
      <c r="B5" s="753"/>
      <c r="C5" s="742" t="s">
        <v>742</v>
      </c>
      <c r="D5" s="756" t="s">
        <v>743</v>
      </c>
    </row>
    <row r="6" spans="1:4" ht="22.5" customHeight="1">
      <c r="A6" s="754"/>
      <c r="B6" s="755"/>
      <c r="C6" s="745"/>
      <c r="D6" s="756"/>
    </row>
    <row r="7" spans="1:4">
      <c r="A7" s="414">
        <v>1</v>
      </c>
      <c r="B7" s="414" t="s">
        <v>744</v>
      </c>
      <c r="C7" s="546">
        <v>220157353.75129992</v>
      </c>
      <c r="D7" s="549"/>
    </row>
    <row r="8" spans="1:4">
      <c r="A8" s="422">
        <v>2</v>
      </c>
      <c r="B8" s="422" t="s">
        <v>745</v>
      </c>
      <c r="C8" s="545">
        <v>14639681.377724897</v>
      </c>
      <c r="D8" s="549"/>
    </row>
    <row r="9" spans="1:4">
      <c r="A9" s="422">
        <v>3</v>
      </c>
      <c r="B9" s="435" t="s">
        <v>746</v>
      </c>
      <c r="C9" s="545">
        <v>97433.894027405084</v>
      </c>
      <c r="D9" s="549"/>
    </row>
    <row r="10" spans="1:4">
      <c r="A10" s="422">
        <v>4</v>
      </c>
      <c r="B10" s="422" t="s">
        <v>747</v>
      </c>
      <c r="C10" s="545">
        <v>54033642.646752305</v>
      </c>
      <c r="D10" s="549"/>
    </row>
    <row r="11" spans="1:4">
      <c r="A11" s="422">
        <v>5</v>
      </c>
      <c r="B11" s="436" t="s">
        <v>748</v>
      </c>
      <c r="C11" s="545">
        <v>0</v>
      </c>
      <c r="D11" s="549"/>
    </row>
    <row r="12" spans="1:4">
      <c r="A12" s="422">
        <v>6</v>
      </c>
      <c r="B12" s="436" t="s">
        <v>749</v>
      </c>
      <c r="C12" s="545">
        <v>542216.64</v>
      </c>
      <c r="D12" s="549"/>
    </row>
    <row r="13" spans="1:4">
      <c r="A13" s="422">
        <v>7</v>
      </c>
      <c r="B13" s="436" t="s">
        <v>750</v>
      </c>
      <c r="C13" s="545">
        <v>35691980.650233798</v>
      </c>
      <c r="D13" s="549"/>
    </row>
    <row r="14" spans="1:4">
      <c r="A14" s="422">
        <v>8</v>
      </c>
      <c r="B14" s="436" t="s">
        <v>751</v>
      </c>
      <c r="C14" s="545">
        <v>3253708.0591400005</v>
      </c>
      <c r="D14" s="545">
        <v>4565892.2699999996</v>
      </c>
    </row>
    <row r="15" spans="1:4">
      <c r="A15" s="422">
        <v>9</v>
      </c>
      <c r="B15" s="436" t="s">
        <v>752</v>
      </c>
      <c r="C15" s="545">
        <v>0</v>
      </c>
      <c r="D15" s="545">
        <v>0</v>
      </c>
    </row>
    <row r="16" spans="1:4">
      <c r="A16" s="422">
        <v>10</v>
      </c>
      <c r="B16" s="436" t="s">
        <v>753</v>
      </c>
      <c r="C16" s="545">
        <v>7550695.8659399999</v>
      </c>
      <c r="D16" s="549"/>
    </row>
    <row r="17" spans="1:4">
      <c r="A17" s="422">
        <v>11</v>
      </c>
      <c r="B17" s="436" t="s">
        <v>754</v>
      </c>
      <c r="C17" s="545">
        <v>0</v>
      </c>
      <c r="D17" s="545"/>
    </row>
    <row r="18" spans="1:4" ht="25.5">
      <c r="A18" s="422">
        <v>12</v>
      </c>
      <c r="B18" s="436" t="s">
        <v>755</v>
      </c>
      <c r="C18" s="545">
        <v>6995041.4314385038</v>
      </c>
      <c r="D18" s="549"/>
    </row>
    <row r="19" spans="1:4">
      <c r="A19" s="414">
        <v>13</v>
      </c>
      <c r="B19" s="437" t="s">
        <v>756</v>
      </c>
      <c r="C19" s="546">
        <f>C7+C8+C9-C10</f>
        <v>180860826.37629992</v>
      </c>
      <c r="D19" s="550"/>
    </row>
    <row r="22" spans="1:4">
      <c r="B22" s="407"/>
    </row>
    <row r="23" spans="1:4">
      <c r="B23" s="407"/>
    </row>
    <row r="24" spans="1:4">
      <c r="B24" s="40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zoomScaleNormal="100" workbookViewId="0"/>
  </sheetViews>
  <sheetFormatPr defaultColWidth="9.28515625" defaultRowHeight="12.75"/>
  <cols>
    <col min="1" max="1" width="11.7109375" style="408" bestFit="1" customWidth="1"/>
    <col min="2" max="2" width="80.7109375" style="408" customWidth="1"/>
    <col min="3" max="3" width="15.5703125" style="408" customWidth="1"/>
    <col min="4" max="5" width="22.28515625" style="408" customWidth="1"/>
    <col min="6" max="6" width="23.42578125" style="408" customWidth="1"/>
    <col min="7" max="14" width="22.28515625" style="408" customWidth="1"/>
    <col min="15" max="15" width="23.28515625" style="408" bestFit="1" customWidth="1"/>
    <col min="16" max="16" width="21.85546875" style="408" bestFit="1" customWidth="1"/>
    <col min="17" max="19" width="19.140625" style="408" bestFit="1" customWidth="1"/>
    <col min="20" max="20" width="16.28515625" style="408" customWidth="1"/>
    <col min="21" max="21" width="13.28515625" style="408" bestFit="1" customWidth="1"/>
    <col min="22" max="22" width="20" style="408" customWidth="1"/>
    <col min="23" max="16384" width="9.28515625" style="408"/>
  </cols>
  <sheetData>
    <row r="1" spans="1:22">
      <c r="A1" s="407" t="s">
        <v>188</v>
      </c>
      <c r="B1" s="547" t="str">
        <f>'1. key ratios'!B1</f>
        <v>სს "ბანკი ქართუ"</v>
      </c>
    </row>
    <row r="2" spans="1:22">
      <c r="A2" s="407" t="s">
        <v>189</v>
      </c>
      <c r="B2" s="640">
        <f>'1. key ratios'!B2</f>
        <v>44926</v>
      </c>
      <c r="C2" s="418"/>
    </row>
    <row r="3" spans="1:22">
      <c r="A3" s="409" t="s">
        <v>757</v>
      </c>
      <c r="B3" s="410"/>
    </row>
    <row r="5" spans="1:22" ht="15" customHeight="1">
      <c r="A5" s="742" t="s">
        <v>758</v>
      </c>
      <c r="B5" s="744"/>
      <c r="C5" s="759" t="s">
        <v>759</v>
      </c>
      <c r="D5" s="760"/>
      <c r="E5" s="760"/>
      <c r="F5" s="760"/>
      <c r="G5" s="760"/>
      <c r="H5" s="760"/>
      <c r="I5" s="760"/>
      <c r="J5" s="760"/>
      <c r="K5" s="760"/>
      <c r="L5" s="760"/>
      <c r="M5" s="760"/>
      <c r="N5" s="760"/>
      <c r="O5" s="760"/>
      <c r="P5" s="760"/>
      <c r="Q5" s="760"/>
      <c r="R5" s="760"/>
      <c r="S5" s="760"/>
      <c r="T5" s="760"/>
      <c r="U5" s="761"/>
      <c r="V5" s="438"/>
    </row>
    <row r="6" spans="1:22">
      <c r="A6" s="757"/>
      <c r="B6" s="758"/>
      <c r="C6" s="762" t="s">
        <v>68</v>
      </c>
      <c r="D6" s="764" t="s">
        <v>760</v>
      </c>
      <c r="E6" s="764"/>
      <c r="F6" s="749"/>
      <c r="G6" s="765" t="s">
        <v>761</v>
      </c>
      <c r="H6" s="766"/>
      <c r="I6" s="766"/>
      <c r="J6" s="766"/>
      <c r="K6" s="767"/>
      <c r="L6" s="439"/>
      <c r="M6" s="768" t="s">
        <v>762</v>
      </c>
      <c r="N6" s="768"/>
      <c r="O6" s="749"/>
      <c r="P6" s="749"/>
      <c r="Q6" s="749"/>
      <c r="R6" s="749"/>
      <c r="S6" s="749"/>
      <c r="T6" s="749"/>
      <c r="U6" s="749"/>
      <c r="V6" s="439"/>
    </row>
    <row r="7" spans="1:22" ht="25.5">
      <c r="A7" s="745"/>
      <c r="B7" s="747"/>
      <c r="C7" s="763"/>
      <c r="D7" s="440"/>
      <c r="E7" s="420" t="s">
        <v>763</v>
      </c>
      <c r="F7" s="420" t="s">
        <v>764</v>
      </c>
      <c r="G7" s="418"/>
      <c r="H7" s="420" t="s">
        <v>763</v>
      </c>
      <c r="I7" s="420" t="s">
        <v>790</v>
      </c>
      <c r="J7" s="420" t="s">
        <v>765</v>
      </c>
      <c r="K7" s="420" t="s">
        <v>766</v>
      </c>
      <c r="L7" s="441"/>
      <c r="M7" s="454" t="s">
        <v>767</v>
      </c>
      <c r="N7" s="420" t="s">
        <v>765</v>
      </c>
      <c r="O7" s="420" t="s">
        <v>768</v>
      </c>
      <c r="P7" s="420" t="s">
        <v>769</v>
      </c>
      <c r="Q7" s="420" t="s">
        <v>770</v>
      </c>
      <c r="R7" s="420" t="s">
        <v>771</v>
      </c>
      <c r="S7" s="420" t="s">
        <v>772</v>
      </c>
      <c r="T7" s="442" t="s">
        <v>773</v>
      </c>
      <c r="U7" s="420" t="s">
        <v>774</v>
      </c>
      <c r="V7" s="438"/>
    </row>
    <row r="8" spans="1:22">
      <c r="A8" s="443">
        <v>1</v>
      </c>
      <c r="B8" s="414" t="s">
        <v>775</v>
      </c>
      <c r="C8" s="546">
        <f>SUM(C9:C14)</f>
        <v>760270850.41289949</v>
      </c>
      <c r="D8" s="546">
        <f t="shared" ref="D8:U8" si="0">SUM(D9:D14)</f>
        <v>514523969.31660056</v>
      </c>
      <c r="E8" s="546">
        <f t="shared" si="0"/>
        <v>1568648.52</v>
      </c>
      <c r="F8" s="546">
        <f t="shared" si="0"/>
        <v>77557.109000000069</v>
      </c>
      <c r="G8" s="546">
        <f t="shared" si="0"/>
        <v>64886054.720000006</v>
      </c>
      <c r="H8" s="546">
        <f t="shared" si="0"/>
        <v>1084821.3500000001</v>
      </c>
      <c r="I8" s="546">
        <f t="shared" si="0"/>
        <v>6588404.5199999996</v>
      </c>
      <c r="J8" s="546">
        <f t="shared" si="0"/>
        <v>1247586.3</v>
      </c>
      <c r="K8" s="546">
        <f t="shared" si="0"/>
        <v>0</v>
      </c>
      <c r="L8" s="546">
        <f t="shared" si="0"/>
        <v>180860826.3763001</v>
      </c>
      <c r="M8" s="546">
        <f t="shared" si="0"/>
        <v>4263561.3073999994</v>
      </c>
      <c r="N8" s="546">
        <f t="shared" si="0"/>
        <v>210212.69000000003</v>
      </c>
      <c r="O8" s="546">
        <f t="shared" si="0"/>
        <v>2178029.4299999997</v>
      </c>
      <c r="P8" s="546">
        <f t="shared" si="0"/>
        <v>43429658.279999986</v>
      </c>
      <c r="Q8" s="546">
        <f t="shared" si="0"/>
        <v>6531965.0599999996</v>
      </c>
      <c r="R8" s="546">
        <f t="shared" si="0"/>
        <v>55309121.943700001</v>
      </c>
      <c r="S8" s="546">
        <f t="shared" si="0"/>
        <v>11693365.9352</v>
      </c>
      <c r="T8" s="546">
        <f t="shared" si="0"/>
        <v>7618097.3499999996</v>
      </c>
      <c r="U8" s="546">
        <f t="shared" si="0"/>
        <v>64146903.569200002</v>
      </c>
    </row>
    <row r="9" spans="1:22">
      <c r="A9" s="422">
        <v>1.1000000000000001</v>
      </c>
      <c r="B9" s="444" t="s">
        <v>776</v>
      </c>
      <c r="C9" s="551"/>
      <c r="D9" s="545"/>
      <c r="E9" s="545"/>
      <c r="F9" s="545"/>
      <c r="G9" s="545"/>
      <c r="H9" s="545"/>
      <c r="I9" s="545"/>
      <c r="J9" s="545"/>
      <c r="K9" s="545"/>
      <c r="L9" s="545"/>
      <c r="M9" s="545"/>
      <c r="N9" s="545"/>
      <c r="O9" s="545"/>
      <c r="P9" s="545"/>
      <c r="Q9" s="545"/>
      <c r="R9" s="545"/>
      <c r="S9" s="545"/>
      <c r="T9" s="545"/>
      <c r="U9" s="545"/>
    </row>
    <row r="10" spans="1:22">
      <c r="A10" s="422">
        <v>1.2</v>
      </c>
      <c r="B10" s="444" t="s">
        <v>777</v>
      </c>
      <c r="C10" s="551"/>
      <c r="D10" s="545"/>
      <c r="E10" s="545"/>
      <c r="F10" s="545"/>
      <c r="G10" s="545"/>
      <c r="H10" s="545"/>
      <c r="I10" s="545"/>
      <c r="J10" s="545"/>
      <c r="K10" s="545"/>
      <c r="L10" s="545"/>
      <c r="M10" s="545"/>
      <c r="N10" s="545"/>
      <c r="O10" s="545"/>
      <c r="P10" s="545"/>
      <c r="Q10" s="545"/>
      <c r="R10" s="545"/>
      <c r="S10" s="545"/>
      <c r="T10" s="545"/>
      <c r="U10" s="545"/>
    </row>
    <row r="11" spans="1:22">
      <c r="A11" s="422">
        <v>1.3</v>
      </c>
      <c r="B11" s="444" t="s">
        <v>778</v>
      </c>
      <c r="C11" s="551"/>
      <c r="D11" s="545"/>
      <c r="E11" s="545"/>
      <c r="F11" s="545"/>
      <c r="G11" s="545"/>
      <c r="H11" s="545"/>
      <c r="I11" s="545"/>
      <c r="J11" s="545"/>
      <c r="K11" s="545"/>
      <c r="L11" s="545"/>
      <c r="M11" s="545"/>
      <c r="N11" s="545"/>
      <c r="O11" s="545"/>
      <c r="P11" s="545"/>
      <c r="Q11" s="545"/>
      <c r="R11" s="545"/>
      <c r="S11" s="545"/>
      <c r="T11" s="545"/>
      <c r="U11" s="545"/>
    </row>
    <row r="12" spans="1:22">
      <c r="A12" s="422">
        <v>1.4</v>
      </c>
      <c r="B12" s="444" t="s">
        <v>779</v>
      </c>
      <c r="C12" s="551">
        <v>182900</v>
      </c>
      <c r="D12" s="545">
        <v>182900</v>
      </c>
      <c r="E12" s="545">
        <v>0</v>
      </c>
      <c r="F12" s="545">
        <v>0</v>
      </c>
      <c r="G12" s="545">
        <v>0</v>
      </c>
      <c r="H12" s="545">
        <v>0</v>
      </c>
      <c r="I12" s="545">
        <v>0</v>
      </c>
      <c r="J12" s="545">
        <v>0</v>
      </c>
      <c r="K12" s="545">
        <v>0</v>
      </c>
      <c r="L12" s="545">
        <v>0</v>
      </c>
      <c r="M12" s="545">
        <v>0</v>
      </c>
      <c r="N12" s="545">
        <v>0</v>
      </c>
      <c r="O12" s="545">
        <v>0</v>
      </c>
      <c r="P12" s="545">
        <v>0</v>
      </c>
      <c r="Q12" s="545">
        <v>0</v>
      </c>
      <c r="R12" s="545">
        <v>0</v>
      </c>
      <c r="S12" s="545">
        <v>0</v>
      </c>
      <c r="T12" s="545">
        <v>0</v>
      </c>
      <c r="U12" s="545">
        <v>0</v>
      </c>
    </row>
    <row r="13" spans="1:22">
      <c r="A13" s="422">
        <v>1.5</v>
      </c>
      <c r="B13" s="444" t="s">
        <v>780</v>
      </c>
      <c r="C13" s="551">
        <v>686626779.4768995</v>
      </c>
      <c r="D13" s="545">
        <v>464193999.85510051</v>
      </c>
      <c r="E13" s="545">
        <v>618758</v>
      </c>
      <c r="F13" s="545">
        <v>13805.030900000016</v>
      </c>
      <c r="G13" s="545">
        <v>59378161.290000007</v>
      </c>
      <c r="H13" s="545">
        <v>0</v>
      </c>
      <c r="I13" s="545">
        <v>6588404.5199999996</v>
      </c>
      <c r="J13" s="545">
        <v>1176831</v>
      </c>
      <c r="K13" s="545">
        <v>0</v>
      </c>
      <c r="L13" s="545">
        <v>163054618.3318001</v>
      </c>
      <c r="M13" s="545">
        <v>4258574.2799999993</v>
      </c>
      <c r="N13" s="545">
        <v>208472.68000000002</v>
      </c>
      <c r="O13" s="545">
        <v>1267992.0999999999</v>
      </c>
      <c r="P13" s="545">
        <v>43208658.809999987</v>
      </c>
      <c r="Q13" s="545">
        <v>5777004.8799999999</v>
      </c>
      <c r="R13" s="545">
        <v>51342871.331799999</v>
      </c>
      <c r="S13" s="545">
        <v>8526894.4000000004</v>
      </c>
      <c r="T13" s="545">
        <v>3068103.71</v>
      </c>
      <c r="U13" s="545">
        <v>63315709.321800001</v>
      </c>
    </row>
    <row r="14" spans="1:22">
      <c r="A14" s="422">
        <v>1.6</v>
      </c>
      <c r="B14" s="444" t="s">
        <v>781</v>
      </c>
      <c r="C14" s="551">
        <v>73461170.93599999</v>
      </c>
      <c r="D14" s="545">
        <v>50147069.461500019</v>
      </c>
      <c r="E14" s="545">
        <v>949890.52</v>
      </c>
      <c r="F14" s="545">
        <v>63752.078100000057</v>
      </c>
      <c r="G14" s="545">
        <v>5507893.4299999997</v>
      </c>
      <c r="H14" s="545">
        <v>1084821.3500000001</v>
      </c>
      <c r="I14" s="545">
        <v>0</v>
      </c>
      <c r="J14" s="545">
        <v>70755.3</v>
      </c>
      <c r="K14" s="545">
        <v>0</v>
      </c>
      <c r="L14" s="545">
        <v>17806208.044500001</v>
      </c>
      <c r="M14" s="545">
        <v>4987.0273999999999</v>
      </c>
      <c r="N14" s="545">
        <v>1740.01</v>
      </c>
      <c r="O14" s="545">
        <v>910037.33000000007</v>
      </c>
      <c r="P14" s="545">
        <v>220999.47</v>
      </c>
      <c r="Q14" s="545">
        <v>754960.17999999993</v>
      </c>
      <c r="R14" s="545">
        <v>3966250.6119000008</v>
      </c>
      <c r="S14" s="545">
        <v>3166471.5351999998</v>
      </c>
      <c r="T14" s="545">
        <v>4549993.6399999997</v>
      </c>
      <c r="U14" s="545">
        <v>831194.24739999988</v>
      </c>
    </row>
    <row r="15" spans="1:22">
      <c r="A15" s="443">
        <v>2</v>
      </c>
      <c r="B15" s="414" t="s">
        <v>782</v>
      </c>
      <c r="C15" s="546">
        <f>SUM(C16:C21)</f>
        <v>36083730</v>
      </c>
      <c r="D15" s="546">
        <f t="shared" ref="D15:U15" si="1">SUM(D16:D21)</f>
        <v>36083730</v>
      </c>
      <c r="E15" s="546">
        <f t="shared" si="1"/>
        <v>0</v>
      </c>
      <c r="F15" s="546">
        <f t="shared" si="1"/>
        <v>0</v>
      </c>
      <c r="G15" s="546">
        <f t="shared" si="1"/>
        <v>0</v>
      </c>
      <c r="H15" s="546">
        <f t="shared" si="1"/>
        <v>0</v>
      </c>
      <c r="I15" s="546">
        <f t="shared" si="1"/>
        <v>0</v>
      </c>
      <c r="J15" s="546">
        <f t="shared" si="1"/>
        <v>0</v>
      </c>
      <c r="K15" s="546">
        <f t="shared" si="1"/>
        <v>0</v>
      </c>
      <c r="L15" s="546">
        <f t="shared" si="1"/>
        <v>0</v>
      </c>
      <c r="M15" s="546">
        <f t="shared" si="1"/>
        <v>0</v>
      </c>
      <c r="N15" s="546">
        <f t="shared" si="1"/>
        <v>0</v>
      </c>
      <c r="O15" s="546">
        <f t="shared" si="1"/>
        <v>0</v>
      </c>
      <c r="P15" s="546">
        <f t="shared" si="1"/>
        <v>0</v>
      </c>
      <c r="Q15" s="546">
        <f t="shared" si="1"/>
        <v>0</v>
      </c>
      <c r="R15" s="546">
        <f t="shared" si="1"/>
        <v>0</v>
      </c>
      <c r="S15" s="546">
        <f t="shared" si="1"/>
        <v>0</v>
      </c>
      <c r="T15" s="546">
        <f t="shared" si="1"/>
        <v>0</v>
      </c>
      <c r="U15" s="546">
        <f t="shared" si="1"/>
        <v>0</v>
      </c>
    </row>
    <row r="16" spans="1:22">
      <c r="A16" s="422">
        <v>2.1</v>
      </c>
      <c r="B16" s="444" t="s">
        <v>776</v>
      </c>
      <c r="C16" s="551">
        <v>0</v>
      </c>
      <c r="D16" s="545">
        <v>0</v>
      </c>
      <c r="E16" s="545"/>
      <c r="F16" s="545"/>
      <c r="G16" s="545"/>
      <c r="H16" s="545"/>
      <c r="I16" s="545"/>
      <c r="J16" s="545"/>
      <c r="K16" s="545"/>
      <c r="L16" s="545"/>
      <c r="M16" s="545"/>
      <c r="N16" s="545"/>
      <c r="O16" s="545"/>
      <c r="P16" s="545"/>
      <c r="Q16" s="545"/>
      <c r="R16" s="545"/>
      <c r="S16" s="545"/>
      <c r="T16" s="545"/>
      <c r="U16" s="545"/>
    </row>
    <row r="17" spans="1:21">
      <c r="A17" s="422">
        <v>2.2000000000000002</v>
      </c>
      <c r="B17" s="444" t="s">
        <v>777</v>
      </c>
      <c r="C17" s="551">
        <v>28083730</v>
      </c>
      <c r="D17" s="545">
        <v>28083730</v>
      </c>
      <c r="E17" s="545"/>
      <c r="F17" s="545"/>
      <c r="G17" s="545"/>
      <c r="H17" s="545"/>
      <c r="I17" s="545"/>
      <c r="J17" s="545"/>
      <c r="K17" s="545"/>
      <c r="L17" s="545"/>
      <c r="M17" s="545"/>
      <c r="N17" s="545"/>
      <c r="O17" s="545"/>
      <c r="P17" s="545"/>
      <c r="Q17" s="545"/>
      <c r="R17" s="545"/>
      <c r="S17" s="545"/>
      <c r="T17" s="545"/>
      <c r="U17" s="545"/>
    </row>
    <row r="18" spans="1:21">
      <c r="A18" s="422">
        <v>2.2999999999999998</v>
      </c>
      <c r="B18" s="444" t="s">
        <v>778</v>
      </c>
      <c r="C18" s="551"/>
      <c r="D18" s="545"/>
      <c r="E18" s="545"/>
      <c r="F18" s="545"/>
      <c r="G18" s="545"/>
      <c r="H18" s="545"/>
      <c r="I18" s="545"/>
      <c r="J18" s="545"/>
      <c r="K18" s="545"/>
      <c r="L18" s="545"/>
      <c r="M18" s="545"/>
      <c r="N18" s="545"/>
      <c r="O18" s="545"/>
      <c r="P18" s="545"/>
      <c r="Q18" s="545"/>
      <c r="R18" s="545"/>
      <c r="S18" s="545"/>
      <c r="T18" s="545"/>
      <c r="U18" s="545"/>
    </row>
    <row r="19" spans="1:21">
      <c r="A19" s="422">
        <v>2.4</v>
      </c>
      <c r="B19" s="444" t="s">
        <v>779</v>
      </c>
      <c r="C19" s="551"/>
      <c r="D19" s="545"/>
      <c r="E19" s="545"/>
      <c r="F19" s="545"/>
      <c r="G19" s="545"/>
      <c r="H19" s="545"/>
      <c r="I19" s="545"/>
      <c r="J19" s="545"/>
      <c r="K19" s="545"/>
      <c r="L19" s="545"/>
      <c r="M19" s="545"/>
      <c r="N19" s="545"/>
      <c r="O19" s="545"/>
      <c r="P19" s="545"/>
      <c r="Q19" s="545"/>
      <c r="R19" s="545"/>
      <c r="S19" s="545"/>
      <c r="T19" s="545"/>
      <c r="U19" s="545"/>
    </row>
    <row r="20" spans="1:21">
      <c r="A20" s="422">
        <v>2.5</v>
      </c>
      <c r="B20" s="444" t="s">
        <v>780</v>
      </c>
      <c r="C20" s="551">
        <v>8000000</v>
      </c>
      <c r="D20" s="545">
        <v>8000000</v>
      </c>
      <c r="E20" s="545">
        <v>0</v>
      </c>
      <c r="F20" s="545">
        <v>0</v>
      </c>
      <c r="G20" s="545">
        <v>0</v>
      </c>
      <c r="H20" s="545">
        <v>0</v>
      </c>
      <c r="I20" s="545">
        <v>0</v>
      </c>
      <c r="J20" s="545">
        <v>0</v>
      </c>
      <c r="K20" s="545">
        <v>0</v>
      </c>
      <c r="L20" s="545">
        <v>0</v>
      </c>
      <c r="M20" s="545">
        <v>0</v>
      </c>
      <c r="N20" s="545">
        <v>0</v>
      </c>
      <c r="O20" s="545">
        <v>0</v>
      </c>
      <c r="P20" s="545">
        <v>0</v>
      </c>
      <c r="Q20" s="545">
        <v>0</v>
      </c>
      <c r="R20" s="545">
        <v>0</v>
      </c>
      <c r="S20" s="545">
        <v>0</v>
      </c>
      <c r="T20" s="545">
        <v>0</v>
      </c>
      <c r="U20" s="545">
        <v>0</v>
      </c>
    </row>
    <row r="21" spans="1:21">
      <c r="A21" s="422">
        <v>2.6</v>
      </c>
      <c r="B21" s="444" t="s">
        <v>781</v>
      </c>
      <c r="C21" s="551"/>
      <c r="D21" s="545"/>
      <c r="E21" s="545"/>
      <c r="F21" s="545"/>
      <c r="G21" s="545"/>
      <c r="H21" s="545"/>
      <c r="I21" s="545"/>
      <c r="J21" s="545"/>
      <c r="K21" s="545"/>
      <c r="L21" s="545"/>
      <c r="M21" s="545"/>
      <c r="N21" s="545"/>
      <c r="O21" s="545"/>
      <c r="P21" s="545"/>
      <c r="Q21" s="545"/>
      <c r="R21" s="545"/>
      <c r="S21" s="545"/>
      <c r="T21" s="545"/>
      <c r="U21" s="545"/>
    </row>
    <row r="22" spans="1:21">
      <c r="A22" s="443">
        <v>3</v>
      </c>
      <c r="B22" s="414" t="s">
        <v>783</v>
      </c>
      <c r="C22" s="546">
        <f>SUM(C23:C28)</f>
        <v>82634962.237300009</v>
      </c>
      <c r="D22" s="546">
        <f t="shared" ref="D22:L22" si="2">SUM(D23:D28)</f>
        <v>47729409.810000002</v>
      </c>
      <c r="E22" s="624"/>
      <c r="F22" s="624"/>
      <c r="G22" s="546">
        <f t="shared" si="2"/>
        <v>40000</v>
      </c>
      <c r="H22" s="624"/>
      <c r="I22" s="624"/>
      <c r="J22" s="624"/>
      <c r="K22" s="624"/>
      <c r="L22" s="546">
        <f t="shared" si="2"/>
        <v>3200915.58</v>
      </c>
      <c r="M22" s="552"/>
      <c r="N22" s="552"/>
      <c r="O22" s="552"/>
      <c r="P22" s="552"/>
      <c r="Q22" s="552"/>
      <c r="R22" s="552"/>
      <c r="S22" s="552"/>
      <c r="T22" s="552"/>
      <c r="U22" s="545">
        <f t="shared" ref="U22" si="3">SUM(U23:U28)</f>
        <v>0</v>
      </c>
    </row>
    <row r="23" spans="1:21">
      <c r="A23" s="422">
        <v>3.1</v>
      </c>
      <c r="B23" s="444" t="s">
        <v>776</v>
      </c>
      <c r="C23" s="551"/>
      <c r="D23" s="545"/>
      <c r="E23" s="552"/>
      <c r="F23" s="552"/>
      <c r="G23" s="545"/>
      <c r="H23" s="552"/>
      <c r="I23" s="552"/>
      <c r="J23" s="552"/>
      <c r="K23" s="552"/>
      <c r="L23" s="545"/>
      <c r="M23" s="552"/>
      <c r="N23" s="552"/>
      <c r="O23" s="552"/>
      <c r="P23" s="552"/>
      <c r="Q23" s="552"/>
      <c r="R23" s="552"/>
      <c r="S23" s="552"/>
      <c r="T23" s="552"/>
      <c r="U23" s="545"/>
    </row>
    <row r="24" spans="1:21">
      <c r="A24" s="422">
        <v>3.2</v>
      </c>
      <c r="B24" s="444" t="s">
        <v>777</v>
      </c>
      <c r="C24" s="551"/>
      <c r="D24" s="545"/>
      <c r="E24" s="552"/>
      <c r="F24" s="552"/>
      <c r="G24" s="545"/>
      <c r="H24" s="552"/>
      <c r="I24" s="552"/>
      <c r="J24" s="552"/>
      <c r="K24" s="552"/>
      <c r="L24" s="545"/>
      <c r="M24" s="552"/>
      <c r="N24" s="552"/>
      <c r="O24" s="552"/>
      <c r="P24" s="552"/>
      <c r="Q24" s="552"/>
      <c r="R24" s="552"/>
      <c r="S24" s="552"/>
      <c r="T24" s="552"/>
      <c r="U24" s="545"/>
    </row>
    <row r="25" spans="1:21">
      <c r="A25" s="422">
        <v>3.3</v>
      </c>
      <c r="B25" s="444" t="s">
        <v>778</v>
      </c>
      <c r="C25" s="551"/>
      <c r="D25" s="545"/>
      <c r="E25" s="552"/>
      <c r="F25" s="552"/>
      <c r="G25" s="545"/>
      <c r="H25" s="552"/>
      <c r="I25" s="552"/>
      <c r="J25" s="552"/>
      <c r="K25" s="552"/>
      <c r="L25" s="545"/>
      <c r="M25" s="552"/>
      <c r="N25" s="552"/>
      <c r="O25" s="552"/>
      <c r="P25" s="552"/>
      <c r="Q25" s="552"/>
      <c r="R25" s="552"/>
      <c r="S25" s="552"/>
      <c r="T25" s="552"/>
      <c r="U25" s="545"/>
    </row>
    <row r="26" spans="1:21">
      <c r="A26" s="422">
        <v>3.4</v>
      </c>
      <c r="B26" s="444" t="s">
        <v>779</v>
      </c>
      <c r="C26" s="551">
        <v>11153534.779999999</v>
      </c>
      <c r="D26" s="545">
        <v>11113434.779999999</v>
      </c>
      <c r="E26" s="552"/>
      <c r="F26" s="552"/>
      <c r="G26" s="545">
        <v>0</v>
      </c>
      <c r="H26" s="552"/>
      <c r="I26" s="552"/>
      <c r="J26" s="552"/>
      <c r="K26" s="552"/>
      <c r="L26" s="545">
        <v>0</v>
      </c>
      <c r="M26" s="552"/>
      <c r="N26" s="552"/>
      <c r="O26" s="552"/>
      <c r="P26" s="552"/>
      <c r="Q26" s="552"/>
      <c r="R26" s="552"/>
      <c r="S26" s="552"/>
      <c r="T26" s="552"/>
      <c r="U26" s="545">
        <v>0</v>
      </c>
    </row>
    <row r="27" spans="1:21">
      <c r="A27" s="422">
        <v>3.5</v>
      </c>
      <c r="B27" s="444" t="s">
        <v>780</v>
      </c>
      <c r="C27" s="551">
        <v>67440532.88000001</v>
      </c>
      <c r="D27" s="545">
        <v>36592575.030000001</v>
      </c>
      <c r="E27" s="552"/>
      <c r="F27" s="552"/>
      <c r="G27" s="545">
        <v>40000</v>
      </c>
      <c r="H27" s="552"/>
      <c r="I27" s="552"/>
      <c r="J27" s="552"/>
      <c r="K27" s="552"/>
      <c r="L27" s="545">
        <v>3200915.58</v>
      </c>
      <c r="M27" s="552"/>
      <c r="N27" s="552"/>
      <c r="O27" s="552"/>
      <c r="P27" s="552"/>
      <c r="Q27" s="552"/>
      <c r="R27" s="552"/>
      <c r="S27" s="552"/>
      <c r="T27" s="552"/>
      <c r="U27" s="545">
        <v>0</v>
      </c>
    </row>
    <row r="28" spans="1:21">
      <c r="A28" s="422">
        <v>3.6</v>
      </c>
      <c r="B28" s="444" t="s">
        <v>781</v>
      </c>
      <c r="C28" s="551">
        <v>4040894.5772999986</v>
      </c>
      <c r="D28" s="545">
        <v>23400</v>
      </c>
      <c r="E28" s="552"/>
      <c r="F28" s="552"/>
      <c r="G28" s="545">
        <v>0</v>
      </c>
      <c r="H28" s="552"/>
      <c r="I28" s="552"/>
      <c r="J28" s="552"/>
      <c r="K28" s="552"/>
      <c r="L28" s="545">
        <v>0</v>
      </c>
      <c r="M28" s="552"/>
      <c r="N28" s="552"/>
      <c r="O28" s="552"/>
      <c r="P28" s="552"/>
      <c r="Q28" s="552"/>
      <c r="R28" s="552"/>
      <c r="S28" s="552"/>
      <c r="T28" s="552"/>
      <c r="U28" s="545">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Normal="100" workbookViewId="0"/>
  </sheetViews>
  <sheetFormatPr defaultColWidth="9.28515625" defaultRowHeight="12.75"/>
  <cols>
    <col min="1" max="1" width="11.7109375" style="408" bestFit="1" customWidth="1"/>
    <col min="2" max="2" width="90.28515625" style="408" bestFit="1" customWidth="1"/>
    <col min="3" max="3" width="20.28515625" style="408" customWidth="1"/>
    <col min="4" max="4" width="22.28515625" style="408" customWidth="1"/>
    <col min="5" max="5" width="17.140625" style="408" customWidth="1"/>
    <col min="6" max="7" width="22.28515625" style="408" customWidth="1"/>
    <col min="8" max="8" width="17.140625" style="408" customWidth="1"/>
    <col min="9" max="14" width="22.28515625" style="408" customWidth="1"/>
    <col min="15" max="15" width="23.28515625" style="408" bestFit="1" customWidth="1"/>
    <col min="16" max="16" width="21.7109375" style="408" bestFit="1" customWidth="1"/>
    <col min="17" max="19" width="19" style="408" bestFit="1" customWidth="1"/>
    <col min="20" max="20" width="15.28515625" style="408" customWidth="1"/>
    <col min="21" max="21" width="20" style="408" customWidth="1"/>
    <col min="22" max="16384" width="9.28515625" style="408"/>
  </cols>
  <sheetData>
    <row r="1" spans="1:21">
      <c r="A1" s="407" t="s">
        <v>188</v>
      </c>
      <c r="B1" s="547" t="str">
        <f>'1. key ratios'!B1</f>
        <v>სს "ბანკი ქართუ"</v>
      </c>
    </row>
    <row r="2" spans="1:21">
      <c r="A2" s="407" t="s">
        <v>189</v>
      </c>
      <c r="B2" s="639">
        <f>'1. key ratios'!B2</f>
        <v>44926</v>
      </c>
    </row>
    <row r="3" spans="1:21">
      <c r="A3" s="409" t="s">
        <v>784</v>
      </c>
      <c r="B3" s="410"/>
      <c r="C3" s="410"/>
    </row>
    <row r="4" spans="1:21">
      <c r="A4" s="409"/>
      <c r="B4" s="410"/>
      <c r="C4" s="410"/>
    </row>
    <row r="5" spans="1:21" ht="13.5" customHeight="1">
      <c r="A5" s="769" t="s">
        <v>785</v>
      </c>
      <c r="B5" s="770"/>
      <c r="C5" s="775" t="s">
        <v>786</v>
      </c>
      <c r="D5" s="776"/>
      <c r="E5" s="776"/>
      <c r="F5" s="776"/>
      <c r="G5" s="776"/>
      <c r="H5" s="776"/>
      <c r="I5" s="776"/>
      <c r="J5" s="776"/>
      <c r="K5" s="776"/>
      <c r="L5" s="776"/>
      <c r="M5" s="776"/>
      <c r="N5" s="776"/>
      <c r="O5" s="776"/>
      <c r="P5" s="776"/>
      <c r="Q5" s="776"/>
      <c r="R5" s="776"/>
      <c r="S5" s="776"/>
      <c r="T5" s="777"/>
      <c r="U5" s="438"/>
    </row>
    <row r="6" spans="1:21">
      <c r="A6" s="771"/>
      <c r="B6" s="772"/>
      <c r="C6" s="756" t="s">
        <v>68</v>
      </c>
      <c r="D6" s="775" t="s">
        <v>787</v>
      </c>
      <c r="E6" s="776"/>
      <c r="F6" s="777"/>
      <c r="G6" s="775" t="s">
        <v>788</v>
      </c>
      <c r="H6" s="776"/>
      <c r="I6" s="776"/>
      <c r="J6" s="776"/>
      <c r="K6" s="777"/>
      <c r="L6" s="778" t="s">
        <v>789</v>
      </c>
      <c r="M6" s="779"/>
      <c r="N6" s="779"/>
      <c r="O6" s="779"/>
      <c r="P6" s="779"/>
      <c r="Q6" s="779"/>
      <c r="R6" s="779"/>
      <c r="S6" s="779"/>
      <c r="T6" s="780"/>
      <c r="U6" s="439"/>
    </row>
    <row r="7" spans="1:21" ht="25.5">
      <c r="A7" s="773"/>
      <c r="B7" s="774"/>
      <c r="C7" s="756"/>
      <c r="E7" s="454" t="s">
        <v>763</v>
      </c>
      <c r="F7" s="420" t="s">
        <v>764</v>
      </c>
      <c r="H7" s="454" t="s">
        <v>763</v>
      </c>
      <c r="I7" s="420" t="s">
        <v>790</v>
      </c>
      <c r="J7" s="420" t="s">
        <v>765</v>
      </c>
      <c r="K7" s="420" t="s">
        <v>766</v>
      </c>
      <c r="L7" s="445"/>
      <c r="M7" s="454" t="s">
        <v>767</v>
      </c>
      <c r="N7" s="420" t="s">
        <v>765</v>
      </c>
      <c r="O7" s="420" t="s">
        <v>768</v>
      </c>
      <c r="P7" s="420" t="s">
        <v>769</v>
      </c>
      <c r="Q7" s="420" t="s">
        <v>770</v>
      </c>
      <c r="R7" s="420" t="s">
        <v>771</v>
      </c>
      <c r="S7" s="420" t="s">
        <v>772</v>
      </c>
      <c r="T7" s="442" t="s">
        <v>773</v>
      </c>
      <c r="U7" s="438"/>
    </row>
    <row r="8" spans="1:21">
      <c r="A8" s="445">
        <v>1</v>
      </c>
      <c r="B8" s="437" t="s">
        <v>775</v>
      </c>
      <c r="C8" s="553">
        <v>760270850.41290021</v>
      </c>
      <c r="D8" s="553">
        <v>514523969.31660092</v>
      </c>
      <c r="E8" s="553">
        <v>1568648.52</v>
      </c>
      <c r="F8" s="553">
        <v>77557.108999999939</v>
      </c>
      <c r="G8" s="553">
        <v>64886054.719999999</v>
      </c>
      <c r="H8" s="553">
        <v>1084821.3500000001</v>
      </c>
      <c r="I8" s="553">
        <v>6588404.5199999996</v>
      </c>
      <c r="J8" s="553">
        <v>1247586.3</v>
      </c>
      <c r="K8" s="553">
        <v>0</v>
      </c>
      <c r="L8" s="553">
        <v>180860826.37630013</v>
      </c>
      <c r="M8" s="553">
        <v>4263561.3073999994</v>
      </c>
      <c r="N8" s="553">
        <v>210212.69000000003</v>
      </c>
      <c r="O8" s="553">
        <v>2178029.4300000002</v>
      </c>
      <c r="P8" s="553">
        <v>43429658.279999986</v>
      </c>
      <c r="Q8" s="553">
        <v>6531965.0599999996</v>
      </c>
      <c r="R8" s="553">
        <v>55309121.943700001</v>
      </c>
      <c r="S8" s="553">
        <v>11693365.9352</v>
      </c>
      <c r="T8" s="553">
        <v>7618097.3499999996</v>
      </c>
    </row>
    <row r="9" spans="1:21">
      <c r="A9" s="444">
        <v>1.1000000000000001</v>
      </c>
      <c r="B9" s="444" t="s">
        <v>791</v>
      </c>
      <c r="C9" s="654">
        <v>741731582.69910014</v>
      </c>
      <c r="D9" s="654">
        <v>496014304.24909985</v>
      </c>
      <c r="E9" s="654">
        <v>1568648.52</v>
      </c>
      <c r="F9" s="654">
        <v>0</v>
      </c>
      <c r="G9" s="654">
        <v>64877071.699999996</v>
      </c>
      <c r="H9" s="654">
        <v>1084821.3500000001</v>
      </c>
      <c r="I9" s="654">
        <v>6588404.5199999996</v>
      </c>
      <c r="J9" s="654">
        <v>1247586.3</v>
      </c>
      <c r="K9" s="654">
        <v>0</v>
      </c>
      <c r="L9" s="654">
        <v>180840206.75000009</v>
      </c>
      <c r="M9" s="654">
        <v>4258574.2799999993</v>
      </c>
      <c r="N9" s="654">
        <v>208472.68000000002</v>
      </c>
      <c r="O9" s="654">
        <v>2177129.6</v>
      </c>
      <c r="P9" s="654">
        <v>43428004.29999999</v>
      </c>
      <c r="Q9" s="654">
        <v>6530545.1199999992</v>
      </c>
      <c r="R9" s="654">
        <v>55302927.769999996</v>
      </c>
      <c r="S9" s="654">
        <v>11692846.119999999</v>
      </c>
      <c r="T9" s="654">
        <v>7618097.3499999996</v>
      </c>
    </row>
    <row r="10" spans="1:21">
      <c r="A10" s="446" t="s">
        <v>252</v>
      </c>
      <c r="B10" s="446" t="s">
        <v>792</v>
      </c>
      <c r="C10" s="654">
        <v>684951082.30910027</v>
      </c>
      <c r="D10" s="654">
        <v>455361260.03909969</v>
      </c>
      <c r="E10" s="654">
        <v>1568648.52</v>
      </c>
      <c r="F10" s="654">
        <v>0</v>
      </c>
      <c r="G10" s="654">
        <v>64869338.960000001</v>
      </c>
      <c r="H10" s="654">
        <v>1084821.3500000001</v>
      </c>
      <c r="I10" s="654">
        <v>6588404.5199999996</v>
      </c>
      <c r="J10" s="654">
        <v>1247586.3</v>
      </c>
      <c r="K10" s="654">
        <v>0</v>
      </c>
      <c r="L10" s="654">
        <v>164720483.31000003</v>
      </c>
      <c r="M10" s="654">
        <v>4258574.2799999993</v>
      </c>
      <c r="N10" s="654">
        <v>208472.68000000002</v>
      </c>
      <c r="O10" s="654">
        <v>2177129.6</v>
      </c>
      <c r="P10" s="654">
        <v>43372008.43999999</v>
      </c>
      <c r="Q10" s="654">
        <v>6530545.1199999992</v>
      </c>
      <c r="R10" s="654">
        <v>53299326</v>
      </c>
      <c r="S10" s="654">
        <v>6102597.7399999993</v>
      </c>
      <c r="T10" s="654">
        <v>7552381.4399999995</v>
      </c>
    </row>
    <row r="11" spans="1:21">
      <c r="A11" s="447" t="s">
        <v>793</v>
      </c>
      <c r="B11" s="447" t="s">
        <v>794</v>
      </c>
      <c r="C11" s="654">
        <v>433362705.73000008</v>
      </c>
      <c r="D11" s="654">
        <v>312730500.70999986</v>
      </c>
      <c r="E11" s="654">
        <v>949890.52</v>
      </c>
      <c r="F11" s="654">
        <v>0</v>
      </c>
      <c r="G11" s="654">
        <v>32022171.630000003</v>
      </c>
      <c r="H11" s="654">
        <v>164351.82</v>
      </c>
      <c r="I11" s="654">
        <v>6588404.5199999996</v>
      </c>
      <c r="J11" s="654">
        <v>1247586.3</v>
      </c>
      <c r="K11" s="654">
        <v>0</v>
      </c>
      <c r="L11" s="654">
        <v>88610033.389999926</v>
      </c>
      <c r="M11" s="654">
        <v>2990428.44</v>
      </c>
      <c r="N11" s="654">
        <v>208472.68000000002</v>
      </c>
      <c r="O11" s="654">
        <v>1636729.6</v>
      </c>
      <c r="P11" s="654">
        <v>18480397.890000001</v>
      </c>
      <c r="Q11" s="654">
        <v>6525873.6599999992</v>
      </c>
      <c r="R11" s="654">
        <v>26221568.66</v>
      </c>
      <c r="S11" s="654">
        <v>4656971.7899999991</v>
      </c>
      <c r="T11" s="654">
        <v>3066128.66</v>
      </c>
    </row>
    <row r="12" spans="1:21">
      <c r="A12" s="447" t="s">
        <v>795</v>
      </c>
      <c r="B12" s="447" t="s">
        <v>796</v>
      </c>
      <c r="C12" s="654">
        <v>120144819.19999997</v>
      </c>
      <c r="D12" s="654">
        <v>77965872.269999996</v>
      </c>
      <c r="E12" s="654">
        <v>0</v>
      </c>
      <c r="F12" s="654">
        <v>0</v>
      </c>
      <c r="G12" s="654">
        <v>25864715.129999999</v>
      </c>
      <c r="H12" s="654">
        <v>0</v>
      </c>
      <c r="I12" s="654">
        <v>0</v>
      </c>
      <c r="J12" s="654">
        <v>0</v>
      </c>
      <c r="K12" s="654">
        <v>0</v>
      </c>
      <c r="L12" s="654">
        <v>16314231.800000001</v>
      </c>
      <c r="M12" s="654">
        <v>340369.91</v>
      </c>
      <c r="N12" s="654">
        <v>0</v>
      </c>
      <c r="O12" s="654">
        <v>540400</v>
      </c>
      <c r="P12" s="654">
        <v>6614410.0500000007</v>
      </c>
      <c r="Q12" s="654">
        <v>0</v>
      </c>
      <c r="R12" s="654">
        <v>1822002.05</v>
      </c>
      <c r="S12" s="654">
        <v>1013305.9500000001</v>
      </c>
      <c r="T12" s="654">
        <v>0</v>
      </c>
    </row>
    <row r="13" spans="1:21">
      <c r="A13" s="447" t="s">
        <v>797</v>
      </c>
      <c r="B13" s="447" t="s">
        <v>798</v>
      </c>
      <c r="C13" s="654">
        <v>32801563.440000005</v>
      </c>
      <c r="D13" s="654">
        <v>5717587.2999999998</v>
      </c>
      <c r="E13" s="654">
        <v>618758</v>
      </c>
      <c r="F13" s="654">
        <v>0</v>
      </c>
      <c r="G13" s="654">
        <v>920853.77</v>
      </c>
      <c r="H13" s="654">
        <v>920469.53</v>
      </c>
      <c r="I13" s="654">
        <v>0</v>
      </c>
      <c r="J13" s="654">
        <v>0</v>
      </c>
      <c r="K13" s="654">
        <v>0</v>
      </c>
      <c r="L13" s="654">
        <v>26163122.370000001</v>
      </c>
      <c r="M13" s="654">
        <v>927775.92999999993</v>
      </c>
      <c r="N13" s="654">
        <v>0</v>
      </c>
      <c r="O13" s="654">
        <v>0</v>
      </c>
      <c r="P13" s="654">
        <v>18171422.629999999</v>
      </c>
      <c r="Q13" s="654">
        <v>0</v>
      </c>
      <c r="R13" s="654">
        <v>667346.05000000005</v>
      </c>
      <c r="S13" s="654">
        <v>0</v>
      </c>
      <c r="T13" s="654">
        <v>0</v>
      </c>
    </row>
    <row r="14" spans="1:21">
      <c r="A14" s="447" t="s">
        <v>799</v>
      </c>
      <c r="B14" s="447" t="s">
        <v>800</v>
      </c>
      <c r="C14" s="654">
        <v>98641993.939099967</v>
      </c>
      <c r="D14" s="654">
        <v>58947299.759099998</v>
      </c>
      <c r="E14" s="654">
        <v>0</v>
      </c>
      <c r="F14" s="654">
        <v>0</v>
      </c>
      <c r="G14" s="654">
        <v>6061598.4300000006</v>
      </c>
      <c r="H14" s="654">
        <v>0</v>
      </c>
      <c r="I14" s="654">
        <v>0</v>
      </c>
      <c r="J14" s="654">
        <v>0</v>
      </c>
      <c r="K14" s="654">
        <v>0</v>
      </c>
      <c r="L14" s="654">
        <v>33633095.750000015</v>
      </c>
      <c r="M14" s="654">
        <v>0</v>
      </c>
      <c r="N14" s="654">
        <v>0</v>
      </c>
      <c r="O14" s="654">
        <v>0</v>
      </c>
      <c r="P14" s="654">
        <v>105777.87</v>
      </c>
      <c r="Q14" s="654">
        <v>4671.46</v>
      </c>
      <c r="R14" s="654">
        <v>24588409.239999998</v>
      </c>
      <c r="S14" s="654">
        <v>432320</v>
      </c>
      <c r="T14" s="654">
        <v>4486252.7799999993</v>
      </c>
    </row>
    <row r="15" spans="1:21">
      <c r="A15" s="448">
        <v>1.2</v>
      </c>
      <c r="B15" s="448" t="s">
        <v>801</v>
      </c>
      <c r="C15" s="654">
        <v>105320423.75091289</v>
      </c>
      <c r="D15" s="654">
        <v>9335350.6645899955</v>
      </c>
      <c r="E15" s="654">
        <v>18997.810212999997</v>
      </c>
      <c r="F15" s="654">
        <v>0</v>
      </c>
      <c r="G15" s="654">
        <v>6487707.1733640023</v>
      </c>
      <c r="H15" s="654">
        <v>108482.135958</v>
      </c>
      <c r="I15" s="654">
        <v>658840.45277199999</v>
      </c>
      <c r="J15" s="654">
        <v>124758.63015400001</v>
      </c>
      <c r="K15" s="654">
        <v>0</v>
      </c>
      <c r="L15" s="654">
        <v>89497365.91295898</v>
      </c>
      <c r="M15" s="654">
        <v>1277572.2862500001</v>
      </c>
      <c r="N15" s="654">
        <v>62541.802469999995</v>
      </c>
      <c r="O15" s="654">
        <v>653571.39751400007</v>
      </c>
      <c r="P15" s="654">
        <v>16693143.280773997</v>
      </c>
      <c r="Q15" s="654">
        <v>1959163.5384359995</v>
      </c>
      <c r="R15" s="654">
        <v>33523569.705901008</v>
      </c>
      <c r="S15" s="654">
        <v>6970010.2407319993</v>
      </c>
      <c r="T15" s="654">
        <v>3906652.3459620005</v>
      </c>
    </row>
    <row r="16" spans="1:21">
      <c r="A16" s="444">
        <v>1.3</v>
      </c>
      <c r="B16" s="448" t="s">
        <v>802</v>
      </c>
      <c r="C16" s="655"/>
      <c r="D16" s="655"/>
      <c r="E16" s="655"/>
      <c r="F16" s="655"/>
      <c r="G16" s="655"/>
      <c r="H16" s="655"/>
      <c r="I16" s="655"/>
      <c r="J16" s="655"/>
      <c r="K16" s="655"/>
      <c r="L16" s="655"/>
      <c r="M16" s="655"/>
      <c r="N16" s="655"/>
      <c r="O16" s="655"/>
      <c r="P16" s="655"/>
      <c r="Q16" s="655"/>
      <c r="R16" s="655"/>
      <c r="S16" s="655"/>
      <c r="T16" s="655"/>
    </row>
    <row r="17" spans="1:20" ht="25.5">
      <c r="A17" s="449" t="s">
        <v>803</v>
      </c>
      <c r="B17" s="450" t="s">
        <v>804</v>
      </c>
      <c r="C17" s="654">
        <v>662926445.7763108</v>
      </c>
      <c r="D17" s="654">
        <v>440523819.93622917</v>
      </c>
      <c r="E17" s="654">
        <v>1413975.7071434581</v>
      </c>
      <c r="F17" s="654">
        <v>0</v>
      </c>
      <c r="G17" s="654">
        <v>63192830.527019992</v>
      </c>
      <c r="H17" s="654">
        <v>1084821.3500000001</v>
      </c>
      <c r="I17" s="654">
        <v>6588404.5199999996</v>
      </c>
      <c r="J17" s="654">
        <v>1247586.3</v>
      </c>
      <c r="K17" s="654">
        <v>0</v>
      </c>
      <c r="L17" s="654">
        <v>159209795.31306154</v>
      </c>
      <c r="M17" s="654">
        <v>4026655.3184775724</v>
      </c>
      <c r="N17" s="654">
        <v>208472.68000000002</v>
      </c>
      <c r="O17" s="654">
        <v>2177129.6</v>
      </c>
      <c r="P17" s="654">
        <v>43364799.52984596</v>
      </c>
      <c r="Q17" s="654">
        <v>6225308.8063403741</v>
      </c>
      <c r="R17" s="654">
        <v>46862981.292516209</v>
      </c>
      <c r="S17" s="654">
        <v>6122223.2199999997</v>
      </c>
      <c r="T17" s="654">
        <v>7468554.5699999956</v>
      </c>
    </row>
    <row r="18" spans="1:20" ht="25.5">
      <c r="A18" s="451" t="s">
        <v>805</v>
      </c>
      <c r="B18" s="451" t="s">
        <v>806</v>
      </c>
      <c r="C18" s="654">
        <v>589570037.28783548</v>
      </c>
      <c r="D18" s="654">
        <v>378305235.63645786</v>
      </c>
      <c r="E18" s="654">
        <v>1105794.4023384142</v>
      </c>
      <c r="F18" s="654">
        <v>0</v>
      </c>
      <c r="G18" s="654">
        <v>62889983.667019986</v>
      </c>
      <c r="H18" s="654">
        <v>1084821.3500000001</v>
      </c>
      <c r="I18" s="654">
        <v>6588404.5199999996</v>
      </c>
      <c r="J18" s="654">
        <v>1247586.3</v>
      </c>
      <c r="K18" s="654">
        <v>0</v>
      </c>
      <c r="L18" s="654">
        <v>148374817.98435694</v>
      </c>
      <c r="M18" s="654">
        <v>3503896.5087127248</v>
      </c>
      <c r="N18" s="654">
        <v>208472.68000000002</v>
      </c>
      <c r="O18" s="654">
        <v>2080810.0441709021</v>
      </c>
      <c r="P18" s="654">
        <v>42151491.476826295</v>
      </c>
      <c r="Q18" s="654">
        <v>6225308.8063403741</v>
      </c>
      <c r="R18" s="654">
        <v>43526076.892516211</v>
      </c>
      <c r="S18" s="654">
        <v>6075577.7399999993</v>
      </c>
      <c r="T18" s="654">
        <v>7402838.6599999955</v>
      </c>
    </row>
    <row r="19" spans="1:20">
      <c r="A19" s="449" t="s">
        <v>807</v>
      </c>
      <c r="B19" s="449" t="s">
        <v>808</v>
      </c>
      <c r="C19" s="654">
        <v>1017595198.7486925</v>
      </c>
      <c r="D19" s="654">
        <v>838822867.86291754</v>
      </c>
      <c r="E19" s="654">
        <v>961394.81254062126</v>
      </c>
      <c r="F19" s="654">
        <v>0</v>
      </c>
      <c r="G19" s="654">
        <v>68738389.726017118</v>
      </c>
      <c r="H19" s="654">
        <v>267709.50959939795</v>
      </c>
      <c r="I19" s="654">
        <v>10747075.787029622</v>
      </c>
      <c r="J19" s="654">
        <v>1670158.6228911241</v>
      </c>
      <c r="K19" s="654">
        <v>0</v>
      </c>
      <c r="L19" s="654">
        <v>110033941.15975778</v>
      </c>
      <c r="M19" s="654">
        <v>4035016.5278537758</v>
      </c>
      <c r="N19" s="654">
        <v>1202550.7706597701</v>
      </c>
      <c r="O19" s="654">
        <v>3681544.4596779002</v>
      </c>
      <c r="P19" s="654">
        <v>17185874.629677586</v>
      </c>
      <c r="Q19" s="654">
        <v>5839073.7489029691</v>
      </c>
      <c r="R19" s="654">
        <v>23031583.126765899</v>
      </c>
      <c r="S19" s="654">
        <v>7617859.8081222866</v>
      </c>
      <c r="T19" s="654">
        <v>5720354.8868222916</v>
      </c>
    </row>
    <row r="20" spans="1:20">
      <c r="A20" s="451" t="s">
        <v>809</v>
      </c>
      <c r="B20" s="451" t="s">
        <v>810</v>
      </c>
      <c r="C20" s="654">
        <v>666386115.10039711</v>
      </c>
      <c r="D20" s="654">
        <v>516358643.61675674</v>
      </c>
      <c r="E20" s="654">
        <v>961394.81254062126</v>
      </c>
      <c r="F20" s="654">
        <v>0</v>
      </c>
      <c r="G20" s="654">
        <v>53615297.81840159</v>
      </c>
      <c r="H20" s="654">
        <v>262406.06676175876</v>
      </c>
      <c r="I20" s="654">
        <v>6145699.6223255228</v>
      </c>
      <c r="J20" s="654">
        <v>890478.71118702402</v>
      </c>
      <c r="K20" s="654">
        <v>0</v>
      </c>
      <c r="L20" s="654">
        <v>96412173.665239125</v>
      </c>
      <c r="M20" s="654">
        <v>3440294.9981581224</v>
      </c>
      <c r="N20" s="654">
        <v>1135188.4883563532</v>
      </c>
      <c r="O20" s="654">
        <v>3319231.7517718137</v>
      </c>
      <c r="P20" s="654">
        <v>14491079.954737829</v>
      </c>
      <c r="Q20" s="654">
        <v>4753141.0697363876</v>
      </c>
      <c r="R20" s="654">
        <v>20519932.351222694</v>
      </c>
      <c r="S20" s="654">
        <v>7509537.9140399992</v>
      </c>
      <c r="T20" s="654">
        <v>4707188.3333861418</v>
      </c>
    </row>
    <row r="21" spans="1:20">
      <c r="A21" s="452">
        <v>1.4</v>
      </c>
      <c r="B21" s="468" t="s">
        <v>942</v>
      </c>
      <c r="C21" s="654">
        <v>8643835.1246739998</v>
      </c>
      <c r="D21" s="654">
        <v>4394061.1850000005</v>
      </c>
      <c r="E21" s="654">
        <v>0</v>
      </c>
      <c r="F21" s="654">
        <v>0</v>
      </c>
      <c r="G21" s="654">
        <v>646317.95567400008</v>
      </c>
      <c r="H21" s="654">
        <v>0</v>
      </c>
      <c r="I21" s="654">
        <v>0</v>
      </c>
      <c r="J21" s="654">
        <v>0</v>
      </c>
      <c r="K21" s="654">
        <v>0</v>
      </c>
      <c r="L21" s="654">
        <v>3603455.9839999997</v>
      </c>
      <c r="M21" s="654">
        <v>0</v>
      </c>
      <c r="N21" s="654">
        <v>0</v>
      </c>
      <c r="O21" s="654">
        <v>0</v>
      </c>
      <c r="P21" s="654">
        <v>0</v>
      </c>
      <c r="Q21" s="654">
        <v>183614.55</v>
      </c>
      <c r="R21" s="654">
        <v>1113696.4739999999</v>
      </c>
      <c r="S21" s="654">
        <v>2304355.4500000002</v>
      </c>
      <c r="T21" s="654">
        <v>0</v>
      </c>
    </row>
    <row r="22" spans="1:20">
      <c r="A22" s="452">
        <v>1.5</v>
      </c>
      <c r="B22" s="468" t="s">
        <v>943</v>
      </c>
      <c r="C22" s="654">
        <v>0</v>
      </c>
      <c r="D22" s="654">
        <v>0</v>
      </c>
      <c r="E22" s="654">
        <v>0</v>
      </c>
      <c r="F22" s="654">
        <v>0</v>
      </c>
      <c r="G22" s="654">
        <v>0</v>
      </c>
      <c r="H22" s="654">
        <v>0</v>
      </c>
      <c r="I22" s="654">
        <v>0</v>
      </c>
      <c r="J22" s="654">
        <v>0</v>
      </c>
      <c r="K22" s="654">
        <v>0</v>
      </c>
      <c r="L22" s="654">
        <v>0</v>
      </c>
      <c r="M22" s="654">
        <v>0</v>
      </c>
      <c r="N22" s="654">
        <v>0</v>
      </c>
      <c r="O22" s="654">
        <v>0</v>
      </c>
      <c r="P22" s="654">
        <v>0</v>
      </c>
      <c r="Q22" s="654">
        <v>0</v>
      </c>
      <c r="R22" s="654">
        <v>0</v>
      </c>
      <c r="S22" s="654">
        <v>0</v>
      </c>
      <c r="T22" s="654">
        <v>0</v>
      </c>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zoomScaleNormal="100" workbookViewId="0"/>
  </sheetViews>
  <sheetFormatPr defaultColWidth="9.28515625" defaultRowHeight="12.75"/>
  <cols>
    <col min="1" max="1" width="11.7109375" style="408" bestFit="1" customWidth="1"/>
    <col min="2" max="2" width="93.42578125" style="408" customWidth="1"/>
    <col min="3" max="3" width="14.7109375" style="408" customWidth="1"/>
    <col min="4" max="4" width="14.85546875" style="408" bestFit="1" customWidth="1"/>
    <col min="5" max="5" width="13.85546875" style="408" bestFit="1" customWidth="1"/>
    <col min="6" max="6" width="17.85546875" style="438" bestFit="1" customWidth="1"/>
    <col min="7" max="7" width="13.42578125" style="438" bestFit="1" customWidth="1"/>
    <col min="8" max="8" width="13" style="408" bestFit="1" customWidth="1"/>
    <col min="9" max="9" width="12.5703125" style="408" bestFit="1" customWidth="1"/>
    <col min="10" max="10" width="14.85546875" style="438" bestFit="1" customWidth="1"/>
    <col min="11" max="11" width="13.85546875" style="438" bestFit="1" customWidth="1"/>
    <col min="12" max="12" width="17.85546875" style="438" bestFit="1" customWidth="1"/>
    <col min="13" max="13" width="13.42578125" style="438" bestFit="1" customWidth="1"/>
    <col min="14" max="14" width="13" style="438" bestFit="1" customWidth="1"/>
    <col min="15" max="15" width="18.85546875" style="408" bestFit="1" customWidth="1"/>
    <col min="16" max="16384" width="9.28515625" style="408"/>
  </cols>
  <sheetData>
    <row r="1" spans="1:15">
      <c r="A1" s="407" t="s">
        <v>188</v>
      </c>
      <c r="B1" s="547" t="str">
        <f>'1. key ratios'!B1</f>
        <v>სს "ბანკი ქართუ"</v>
      </c>
      <c r="F1" s="408"/>
      <c r="G1" s="408"/>
      <c r="J1" s="408"/>
      <c r="K1" s="408"/>
      <c r="L1" s="408"/>
      <c r="M1" s="408"/>
      <c r="N1" s="408"/>
    </row>
    <row r="2" spans="1:15">
      <c r="A2" s="407" t="s">
        <v>189</v>
      </c>
      <c r="B2" s="639">
        <f>'1. key ratios'!B2</f>
        <v>44926</v>
      </c>
      <c r="F2" s="408"/>
      <c r="G2" s="408"/>
      <c r="J2" s="408"/>
      <c r="K2" s="408"/>
      <c r="L2" s="408"/>
      <c r="M2" s="408"/>
      <c r="N2" s="408"/>
    </row>
    <row r="3" spans="1:15">
      <c r="A3" s="409" t="s">
        <v>813</v>
      </c>
      <c r="B3" s="410"/>
      <c r="F3" s="408"/>
      <c r="G3" s="408"/>
      <c r="J3" s="408"/>
      <c r="K3" s="408"/>
      <c r="L3" s="408"/>
      <c r="M3" s="408"/>
      <c r="N3" s="408"/>
    </row>
    <row r="4" spans="1:15">
      <c r="F4" s="408"/>
      <c r="G4" s="408"/>
      <c r="J4" s="408"/>
      <c r="K4" s="408"/>
      <c r="L4" s="408"/>
      <c r="M4" s="408"/>
      <c r="N4" s="408"/>
    </row>
    <row r="5" spans="1:15" ht="37.5" customHeight="1">
      <c r="A5" s="736" t="s">
        <v>814</v>
      </c>
      <c r="B5" s="737"/>
      <c r="C5" s="781" t="s">
        <v>815</v>
      </c>
      <c r="D5" s="782"/>
      <c r="E5" s="782"/>
      <c r="F5" s="782"/>
      <c r="G5" s="782"/>
      <c r="H5" s="783"/>
      <c r="I5" s="781" t="s">
        <v>816</v>
      </c>
      <c r="J5" s="784"/>
      <c r="K5" s="784"/>
      <c r="L5" s="784"/>
      <c r="M5" s="784"/>
      <c r="N5" s="785"/>
      <c r="O5" s="786" t="s">
        <v>686</v>
      </c>
    </row>
    <row r="6" spans="1:15" ht="39.4" customHeight="1">
      <c r="A6" s="740"/>
      <c r="B6" s="741"/>
      <c r="C6" s="453"/>
      <c r="D6" s="454" t="s">
        <v>817</v>
      </c>
      <c r="E6" s="454" t="s">
        <v>818</v>
      </c>
      <c r="F6" s="454" t="s">
        <v>819</v>
      </c>
      <c r="G6" s="454" t="s">
        <v>820</v>
      </c>
      <c r="H6" s="454" t="s">
        <v>821</v>
      </c>
      <c r="I6" s="441"/>
      <c r="J6" s="454" t="s">
        <v>817</v>
      </c>
      <c r="K6" s="454" t="s">
        <v>818</v>
      </c>
      <c r="L6" s="454" t="s">
        <v>819</v>
      </c>
      <c r="M6" s="454" t="s">
        <v>820</v>
      </c>
      <c r="N6" s="454" t="s">
        <v>821</v>
      </c>
      <c r="O6" s="787"/>
    </row>
    <row r="7" spans="1:15">
      <c r="A7" s="422">
        <v>1</v>
      </c>
      <c r="B7" s="428" t="s">
        <v>696</v>
      </c>
      <c r="C7" s="554">
        <v>8422691.0700000022</v>
      </c>
      <c r="D7" s="545">
        <v>8153125.5600000015</v>
      </c>
      <c r="E7" s="545">
        <v>18070.719999999998</v>
      </c>
      <c r="F7" s="555">
        <v>251494.78999999998</v>
      </c>
      <c r="G7" s="555">
        <v>0</v>
      </c>
      <c r="H7" s="545">
        <v>0</v>
      </c>
      <c r="I7" s="545">
        <v>240318.02020099995</v>
      </c>
      <c r="J7" s="555">
        <v>163062.51101499994</v>
      </c>
      <c r="K7" s="555">
        <v>1807.0719999999999</v>
      </c>
      <c r="L7" s="555">
        <v>75448.437185999996</v>
      </c>
      <c r="M7" s="555">
        <v>0</v>
      </c>
      <c r="N7" s="555">
        <v>0</v>
      </c>
      <c r="O7" s="545">
        <v>0</v>
      </c>
    </row>
    <row r="8" spans="1:15">
      <c r="A8" s="422">
        <v>2</v>
      </c>
      <c r="B8" s="428" t="s">
        <v>697</v>
      </c>
      <c r="C8" s="554">
        <v>3228944.7220000001</v>
      </c>
      <c r="D8" s="545">
        <v>2838135.7820000001</v>
      </c>
      <c r="E8" s="545">
        <v>91706.3</v>
      </c>
      <c r="F8" s="555">
        <v>299102.63999999996</v>
      </c>
      <c r="G8" s="555">
        <v>0</v>
      </c>
      <c r="H8" s="545">
        <v>0</v>
      </c>
      <c r="I8" s="545">
        <v>155664.13741299999</v>
      </c>
      <c r="J8" s="555">
        <v>56762.715504999993</v>
      </c>
      <c r="K8" s="555">
        <v>9170.6301540000004</v>
      </c>
      <c r="L8" s="555">
        <v>89730.791754000005</v>
      </c>
      <c r="M8" s="555">
        <v>0</v>
      </c>
      <c r="N8" s="555">
        <v>0</v>
      </c>
      <c r="O8" s="545">
        <v>0</v>
      </c>
    </row>
    <row r="9" spans="1:15">
      <c r="A9" s="422">
        <v>3</v>
      </c>
      <c r="B9" s="428" t="s">
        <v>698</v>
      </c>
      <c r="C9" s="554">
        <v>0</v>
      </c>
      <c r="D9" s="545">
        <v>0</v>
      </c>
      <c r="E9" s="545">
        <v>0</v>
      </c>
      <c r="F9" s="556">
        <v>0</v>
      </c>
      <c r="G9" s="556">
        <v>0</v>
      </c>
      <c r="H9" s="545">
        <v>0</v>
      </c>
      <c r="I9" s="545">
        <v>0</v>
      </c>
      <c r="J9" s="556">
        <v>0</v>
      </c>
      <c r="K9" s="556">
        <v>0</v>
      </c>
      <c r="L9" s="556">
        <v>0</v>
      </c>
      <c r="M9" s="556">
        <v>0</v>
      </c>
      <c r="N9" s="556">
        <v>0</v>
      </c>
      <c r="O9" s="545">
        <v>0</v>
      </c>
    </row>
    <row r="10" spans="1:15">
      <c r="A10" s="422">
        <v>4</v>
      </c>
      <c r="B10" s="428" t="s">
        <v>699</v>
      </c>
      <c r="C10" s="554">
        <v>67750473.319999993</v>
      </c>
      <c r="D10" s="545">
        <v>20663149.93</v>
      </c>
      <c r="E10" s="545">
        <v>10454922.82</v>
      </c>
      <c r="F10" s="556">
        <v>16911776.82</v>
      </c>
      <c r="G10" s="556">
        <v>19536467.969999999</v>
      </c>
      <c r="H10" s="545">
        <v>184155.78</v>
      </c>
      <c r="I10" s="545">
        <v>16361742.708135005</v>
      </c>
      <c r="J10" s="556">
        <v>413262.99878299993</v>
      </c>
      <c r="K10" s="556">
        <v>1045492.2826479999</v>
      </c>
      <c r="L10" s="556">
        <v>5073533.0471999999</v>
      </c>
      <c r="M10" s="556">
        <v>9645298.5967839994</v>
      </c>
      <c r="N10" s="556">
        <v>184155.78271999999</v>
      </c>
      <c r="O10" s="545">
        <v>0</v>
      </c>
    </row>
    <row r="11" spans="1:15">
      <c r="A11" s="422">
        <v>5</v>
      </c>
      <c r="B11" s="428" t="s">
        <v>700</v>
      </c>
      <c r="C11" s="554">
        <v>73413360.609999985</v>
      </c>
      <c r="D11" s="545">
        <v>35631236.510000005</v>
      </c>
      <c r="E11" s="545">
        <v>23990238.320000004</v>
      </c>
      <c r="F11" s="556">
        <v>326327.18</v>
      </c>
      <c r="G11" s="556">
        <v>24454.05</v>
      </c>
      <c r="H11" s="545">
        <v>13441104.549999999</v>
      </c>
      <c r="I11" s="545">
        <v>12529202.825745003</v>
      </c>
      <c r="J11" s="556">
        <v>712624.73022699985</v>
      </c>
      <c r="K11" s="556">
        <v>2399023.8314660005</v>
      </c>
      <c r="L11" s="556">
        <v>97898.15400000001</v>
      </c>
      <c r="M11" s="556">
        <v>12227.025</v>
      </c>
      <c r="N11" s="556">
        <v>9307429.0850520004</v>
      </c>
      <c r="O11" s="545">
        <v>0</v>
      </c>
    </row>
    <row r="12" spans="1:15">
      <c r="A12" s="422">
        <v>6</v>
      </c>
      <c r="B12" s="428" t="s">
        <v>701</v>
      </c>
      <c r="C12" s="554">
        <v>44783101.419999987</v>
      </c>
      <c r="D12" s="545">
        <v>42753322.009999983</v>
      </c>
      <c r="E12" s="545">
        <v>0</v>
      </c>
      <c r="F12" s="556">
        <v>2029779.41</v>
      </c>
      <c r="G12" s="556">
        <v>0</v>
      </c>
      <c r="H12" s="545">
        <v>0</v>
      </c>
      <c r="I12" s="545">
        <v>1464000.2657129997</v>
      </c>
      <c r="J12" s="556">
        <v>855066.44049299986</v>
      </c>
      <c r="K12" s="556">
        <v>0</v>
      </c>
      <c r="L12" s="556">
        <v>608933.82522</v>
      </c>
      <c r="M12" s="556">
        <v>0</v>
      </c>
      <c r="N12" s="556">
        <v>0</v>
      </c>
      <c r="O12" s="545">
        <v>0</v>
      </c>
    </row>
    <row r="13" spans="1:15">
      <c r="A13" s="422">
        <v>7</v>
      </c>
      <c r="B13" s="428" t="s">
        <v>702</v>
      </c>
      <c r="C13" s="554">
        <v>13602093.660000004</v>
      </c>
      <c r="D13" s="545">
        <v>5463110.1400000015</v>
      </c>
      <c r="E13" s="545">
        <v>2583708.12</v>
      </c>
      <c r="F13" s="556">
        <v>574897.46</v>
      </c>
      <c r="G13" s="556">
        <v>4980377.9399999995</v>
      </c>
      <c r="H13" s="545">
        <v>0</v>
      </c>
      <c r="I13" s="545">
        <v>3030291.2240720009</v>
      </c>
      <c r="J13" s="556">
        <v>109262.202832</v>
      </c>
      <c r="K13" s="556">
        <v>258370.81199999998</v>
      </c>
      <c r="L13" s="556">
        <v>172469.23943999998</v>
      </c>
      <c r="M13" s="556">
        <v>2490188.9698000001</v>
      </c>
      <c r="N13" s="556">
        <v>0</v>
      </c>
      <c r="O13" s="545">
        <v>0</v>
      </c>
    </row>
    <row r="14" spans="1:15">
      <c r="A14" s="422">
        <v>8</v>
      </c>
      <c r="B14" s="428" t="s">
        <v>703</v>
      </c>
      <c r="C14" s="554">
        <v>17594356.370000001</v>
      </c>
      <c r="D14" s="545">
        <v>4352750.59</v>
      </c>
      <c r="E14" s="545">
        <v>0</v>
      </c>
      <c r="F14" s="556">
        <v>13241605.779999999</v>
      </c>
      <c r="G14" s="556">
        <v>0</v>
      </c>
      <c r="H14" s="545">
        <v>0</v>
      </c>
      <c r="I14" s="545">
        <v>4058116.721646999</v>
      </c>
      <c r="J14" s="556">
        <v>85634.989561000009</v>
      </c>
      <c r="K14" s="556">
        <v>0</v>
      </c>
      <c r="L14" s="556">
        <v>3972481.7320859996</v>
      </c>
      <c r="M14" s="556">
        <v>0</v>
      </c>
      <c r="N14" s="556">
        <v>0</v>
      </c>
      <c r="O14" s="545">
        <v>0</v>
      </c>
    </row>
    <row r="15" spans="1:15">
      <c r="A15" s="422">
        <v>9</v>
      </c>
      <c r="B15" s="428" t="s">
        <v>704</v>
      </c>
      <c r="C15" s="554">
        <v>130790846.29000004</v>
      </c>
      <c r="D15" s="545">
        <v>91854921.599999979</v>
      </c>
      <c r="E15" s="545">
        <v>7681688.629999999</v>
      </c>
      <c r="F15" s="556">
        <v>5402398.8700000001</v>
      </c>
      <c r="G15" s="556">
        <v>2003601.77</v>
      </c>
      <c r="H15" s="545">
        <v>23848235.420000002</v>
      </c>
      <c r="I15" s="545">
        <v>22729025.254801996</v>
      </c>
      <c r="J15" s="556">
        <v>1837098.4326619999</v>
      </c>
      <c r="K15" s="556">
        <v>768168.86243600002</v>
      </c>
      <c r="L15" s="556">
        <v>1620719.6607539998</v>
      </c>
      <c r="M15" s="556">
        <v>1001800.88295</v>
      </c>
      <c r="N15" s="556">
        <v>17501237.416000001</v>
      </c>
      <c r="O15" s="545">
        <v>0</v>
      </c>
    </row>
    <row r="16" spans="1:15">
      <c r="A16" s="422">
        <v>10</v>
      </c>
      <c r="B16" s="428" t="s">
        <v>705</v>
      </c>
      <c r="C16" s="554">
        <v>1983795.4000000001</v>
      </c>
      <c r="D16" s="545">
        <v>1951451.87</v>
      </c>
      <c r="E16" s="545">
        <v>0</v>
      </c>
      <c r="F16" s="556">
        <v>32343.530000000002</v>
      </c>
      <c r="G16" s="556">
        <v>0</v>
      </c>
      <c r="H16" s="545">
        <v>0</v>
      </c>
      <c r="I16" s="545">
        <v>48732.097671000003</v>
      </c>
      <c r="J16" s="556">
        <v>39029.037339000002</v>
      </c>
      <c r="K16" s="556">
        <v>0</v>
      </c>
      <c r="L16" s="556">
        <v>9703.0603320000009</v>
      </c>
      <c r="M16" s="556">
        <v>0</v>
      </c>
      <c r="N16" s="556">
        <v>0</v>
      </c>
      <c r="O16" s="545">
        <v>0</v>
      </c>
    </row>
    <row r="17" spans="1:15">
      <c r="A17" s="422">
        <v>11</v>
      </c>
      <c r="B17" s="428" t="s">
        <v>706</v>
      </c>
      <c r="C17" s="554">
        <v>916346.27</v>
      </c>
      <c r="D17" s="545">
        <v>916346.27</v>
      </c>
      <c r="E17" s="545">
        <v>0</v>
      </c>
      <c r="F17" s="556">
        <v>0</v>
      </c>
      <c r="G17" s="556">
        <v>0</v>
      </c>
      <c r="H17" s="545">
        <v>0</v>
      </c>
      <c r="I17" s="545">
        <v>18326.925357</v>
      </c>
      <c r="J17" s="556">
        <v>18326.925357</v>
      </c>
      <c r="K17" s="556">
        <v>0</v>
      </c>
      <c r="L17" s="556">
        <v>0</v>
      </c>
      <c r="M17" s="556">
        <v>0</v>
      </c>
      <c r="N17" s="556">
        <v>0</v>
      </c>
      <c r="O17" s="545">
        <v>0</v>
      </c>
    </row>
    <row r="18" spans="1:15">
      <c r="A18" s="422">
        <v>12</v>
      </c>
      <c r="B18" s="428" t="s">
        <v>707</v>
      </c>
      <c r="C18" s="554">
        <v>28709152.170000002</v>
      </c>
      <c r="D18" s="545">
        <v>6802252.1899999995</v>
      </c>
      <c r="E18" s="545">
        <v>0</v>
      </c>
      <c r="F18" s="556">
        <v>20654570.649999999</v>
      </c>
      <c r="G18" s="556">
        <v>1252329.33</v>
      </c>
      <c r="H18" s="545">
        <v>0</v>
      </c>
      <c r="I18" s="545">
        <v>6958580.9093489992</v>
      </c>
      <c r="J18" s="556">
        <v>136045.04374499997</v>
      </c>
      <c r="K18" s="556">
        <v>0</v>
      </c>
      <c r="L18" s="556">
        <v>6196371.1972439988</v>
      </c>
      <c r="M18" s="556">
        <v>626164.66836000001</v>
      </c>
      <c r="N18" s="556">
        <v>0</v>
      </c>
      <c r="O18" s="545">
        <v>0</v>
      </c>
    </row>
    <row r="19" spans="1:15">
      <c r="A19" s="422">
        <v>13</v>
      </c>
      <c r="B19" s="428" t="s">
        <v>708</v>
      </c>
      <c r="C19" s="554">
        <v>13129260.690000001</v>
      </c>
      <c r="D19" s="545">
        <v>9485458.4700000007</v>
      </c>
      <c r="E19" s="545">
        <v>18016.38</v>
      </c>
      <c r="F19" s="556">
        <v>3625785.84</v>
      </c>
      <c r="G19" s="556">
        <v>0</v>
      </c>
      <c r="H19" s="545">
        <v>0</v>
      </c>
      <c r="I19" s="545">
        <v>1266871.400898</v>
      </c>
      <c r="J19" s="556">
        <v>177334.00940399995</v>
      </c>
      <c r="K19" s="556">
        <v>1801.6379999999999</v>
      </c>
      <c r="L19" s="556">
        <v>1087735.7534940001</v>
      </c>
      <c r="M19" s="556">
        <v>0</v>
      </c>
      <c r="N19" s="556">
        <v>0</v>
      </c>
      <c r="O19" s="545">
        <v>0</v>
      </c>
    </row>
    <row r="20" spans="1:15">
      <c r="A20" s="422">
        <v>14</v>
      </c>
      <c r="B20" s="428" t="s">
        <v>709</v>
      </c>
      <c r="C20" s="554">
        <v>48960155.800000027</v>
      </c>
      <c r="D20" s="545">
        <v>29128374.700000003</v>
      </c>
      <c r="E20" s="545">
        <v>3274690.5</v>
      </c>
      <c r="F20" s="556">
        <v>10821649.26</v>
      </c>
      <c r="G20" s="556">
        <v>4654432.1000000006</v>
      </c>
      <c r="H20" s="545">
        <v>1081009.24</v>
      </c>
      <c r="I20" s="545">
        <v>7141444.1420909986</v>
      </c>
      <c r="J20" s="556">
        <v>546252.61413</v>
      </c>
      <c r="K20" s="556">
        <v>327469.05079000001</v>
      </c>
      <c r="L20" s="556">
        <v>3246494.7817410002</v>
      </c>
      <c r="M20" s="556">
        <v>2264521.2254140005</v>
      </c>
      <c r="N20" s="556">
        <v>756706.47001599998</v>
      </c>
      <c r="O20" s="545">
        <v>0</v>
      </c>
    </row>
    <row r="21" spans="1:15">
      <c r="A21" s="422">
        <v>15</v>
      </c>
      <c r="B21" s="428" t="s">
        <v>710</v>
      </c>
      <c r="C21" s="554">
        <v>504459.64</v>
      </c>
      <c r="D21" s="545">
        <v>28679.19</v>
      </c>
      <c r="E21" s="545">
        <v>136615.44</v>
      </c>
      <c r="F21" s="556">
        <v>339165.01</v>
      </c>
      <c r="G21" s="556">
        <v>0</v>
      </c>
      <c r="H21" s="545">
        <v>0</v>
      </c>
      <c r="I21" s="545">
        <v>115984.63098</v>
      </c>
      <c r="J21" s="556">
        <v>573.5838</v>
      </c>
      <c r="K21" s="556">
        <v>13661.544372</v>
      </c>
      <c r="L21" s="556">
        <v>101749.502808</v>
      </c>
      <c r="M21" s="556">
        <v>0</v>
      </c>
      <c r="N21" s="556">
        <v>0</v>
      </c>
      <c r="O21" s="545">
        <v>0</v>
      </c>
    </row>
    <row r="22" spans="1:15">
      <c r="A22" s="422">
        <v>16</v>
      </c>
      <c r="B22" s="428" t="s">
        <v>711</v>
      </c>
      <c r="C22" s="554">
        <v>47695982.390000001</v>
      </c>
      <c r="D22" s="545">
        <v>47632241.530000001</v>
      </c>
      <c r="E22" s="545">
        <v>0</v>
      </c>
      <c r="F22" s="556">
        <v>0</v>
      </c>
      <c r="G22" s="556">
        <v>63740.86</v>
      </c>
      <c r="H22" s="545">
        <v>0</v>
      </c>
      <c r="I22" s="545">
        <v>984515.25841900008</v>
      </c>
      <c r="J22" s="556">
        <v>952644.83066900005</v>
      </c>
      <c r="K22" s="556">
        <v>0</v>
      </c>
      <c r="L22" s="556">
        <v>0</v>
      </c>
      <c r="M22" s="556">
        <v>31870.427749999999</v>
      </c>
      <c r="N22" s="556">
        <v>0</v>
      </c>
      <c r="O22" s="545">
        <v>0</v>
      </c>
    </row>
    <row r="23" spans="1:15">
      <c r="A23" s="422">
        <v>17</v>
      </c>
      <c r="B23" s="428" t="s">
        <v>712</v>
      </c>
      <c r="C23" s="554">
        <v>19617760.800000001</v>
      </c>
      <c r="D23" s="545">
        <v>17162335.670000002</v>
      </c>
      <c r="E23" s="545">
        <v>2455425.13</v>
      </c>
      <c r="F23" s="556">
        <v>0</v>
      </c>
      <c r="G23" s="556">
        <v>0</v>
      </c>
      <c r="H23" s="545">
        <v>0</v>
      </c>
      <c r="I23" s="545">
        <v>588789.22610900004</v>
      </c>
      <c r="J23" s="556">
        <v>343246.71310899995</v>
      </c>
      <c r="K23" s="556">
        <v>245542.51300000001</v>
      </c>
      <c r="L23" s="556">
        <v>0</v>
      </c>
      <c r="M23" s="556">
        <v>0</v>
      </c>
      <c r="N23" s="556">
        <v>0</v>
      </c>
      <c r="O23" s="545">
        <v>0</v>
      </c>
    </row>
    <row r="24" spans="1:15">
      <c r="A24" s="422">
        <v>18</v>
      </c>
      <c r="B24" s="428" t="s">
        <v>713</v>
      </c>
      <c r="C24" s="554">
        <v>3068655.7299999995</v>
      </c>
      <c r="D24" s="545">
        <v>1258315.73</v>
      </c>
      <c r="E24" s="545">
        <v>0</v>
      </c>
      <c r="F24" s="556">
        <v>0</v>
      </c>
      <c r="G24" s="556">
        <v>0</v>
      </c>
      <c r="H24" s="545">
        <v>1810340</v>
      </c>
      <c r="I24" s="545">
        <v>1292404.314517</v>
      </c>
      <c r="J24" s="556">
        <v>25166.314516999999</v>
      </c>
      <c r="K24" s="556">
        <v>0</v>
      </c>
      <c r="L24" s="556">
        <v>0</v>
      </c>
      <c r="M24" s="556">
        <v>0</v>
      </c>
      <c r="N24" s="556">
        <v>1267238</v>
      </c>
      <c r="O24" s="545">
        <v>0</v>
      </c>
    </row>
    <row r="25" spans="1:15">
      <c r="A25" s="422">
        <v>19</v>
      </c>
      <c r="B25" s="428" t="s">
        <v>714</v>
      </c>
      <c r="C25" s="554">
        <v>16119879.73</v>
      </c>
      <c r="D25" s="545">
        <v>14135716.530000001</v>
      </c>
      <c r="E25" s="545">
        <v>1984163.2</v>
      </c>
      <c r="F25" s="556">
        <v>0</v>
      </c>
      <c r="G25" s="556">
        <v>0</v>
      </c>
      <c r="H25" s="545">
        <v>0</v>
      </c>
      <c r="I25" s="545">
        <v>481130.65079500002</v>
      </c>
      <c r="J25" s="556">
        <v>282714.33083300001</v>
      </c>
      <c r="K25" s="556">
        <v>198416.31996200001</v>
      </c>
      <c r="L25" s="556">
        <v>0</v>
      </c>
      <c r="M25" s="556">
        <v>0</v>
      </c>
      <c r="N25" s="556">
        <v>0</v>
      </c>
      <c r="O25" s="545">
        <v>0</v>
      </c>
    </row>
    <row r="26" spans="1:15">
      <c r="A26" s="422">
        <v>20</v>
      </c>
      <c r="B26" s="428" t="s">
        <v>715</v>
      </c>
      <c r="C26" s="554">
        <v>35901875.810000032</v>
      </c>
      <c r="D26" s="545">
        <v>35901875.810000032</v>
      </c>
      <c r="E26" s="545">
        <v>0</v>
      </c>
      <c r="F26" s="556">
        <v>0</v>
      </c>
      <c r="G26" s="556">
        <v>0</v>
      </c>
      <c r="H26" s="545">
        <v>0</v>
      </c>
      <c r="I26" s="545">
        <v>718037.51674500026</v>
      </c>
      <c r="J26" s="556">
        <v>718037.51674500026</v>
      </c>
      <c r="K26" s="556">
        <v>0</v>
      </c>
      <c r="L26" s="556">
        <v>0</v>
      </c>
      <c r="M26" s="556">
        <v>0</v>
      </c>
      <c r="N26" s="556">
        <v>0</v>
      </c>
      <c r="O26" s="545">
        <v>0</v>
      </c>
    </row>
    <row r="27" spans="1:15">
      <c r="A27" s="422">
        <v>21</v>
      </c>
      <c r="B27" s="428" t="s">
        <v>716</v>
      </c>
      <c r="C27" s="554">
        <v>1390215.1441000002</v>
      </c>
      <c r="D27" s="545">
        <v>1390215.1441000002</v>
      </c>
      <c r="E27" s="545">
        <v>0</v>
      </c>
      <c r="F27" s="556">
        <v>0</v>
      </c>
      <c r="G27" s="556">
        <v>0</v>
      </c>
      <c r="H27" s="545">
        <v>0</v>
      </c>
      <c r="I27" s="545">
        <v>27804.303102999998</v>
      </c>
      <c r="J27" s="556">
        <v>27804.303102999998</v>
      </c>
      <c r="K27" s="556">
        <v>0</v>
      </c>
      <c r="L27" s="556">
        <v>0</v>
      </c>
      <c r="M27" s="556">
        <v>0</v>
      </c>
      <c r="N27" s="556">
        <v>0</v>
      </c>
      <c r="O27" s="545">
        <v>0</v>
      </c>
    </row>
    <row r="28" spans="1:15">
      <c r="A28" s="422">
        <v>22</v>
      </c>
      <c r="B28" s="428" t="s">
        <v>717</v>
      </c>
      <c r="C28" s="554">
        <v>37882262.912</v>
      </c>
      <c r="D28" s="545">
        <v>29172876.301999997</v>
      </c>
      <c r="E28" s="545">
        <v>0</v>
      </c>
      <c r="F28" s="556">
        <v>439014.99</v>
      </c>
      <c r="G28" s="556">
        <v>143429.62</v>
      </c>
      <c r="H28" s="545">
        <v>8126942</v>
      </c>
      <c r="I28" s="545">
        <v>8342678.5914190002</v>
      </c>
      <c r="J28" s="556">
        <v>12317.286085</v>
      </c>
      <c r="K28" s="556">
        <v>0</v>
      </c>
      <c r="L28" s="556">
        <v>131704.49657399999</v>
      </c>
      <c r="M28" s="556">
        <v>71714.80876</v>
      </c>
      <c r="N28" s="556">
        <v>8126942</v>
      </c>
      <c r="O28" s="545">
        <v>0</v>
      </c>
    </row>
    <row r="29" spans="1:15">
      <c r="A29" s="422">
        <v>23</v>
      </c>
      <c r="B29" s="428" t="s">
        <v>718</v>
      </c>
      <c r="C29" s="554">
        <v>67359621.289999977</v>
      </c>
      <c r="D29" s="545">
        <v>58175582.519999996</v>
      </c>
      <c r="E29" s="545">
        <v>775425.67</v>
      </c>
      <c r="F29" s="556">
        <v>2572993.79</v>
      </c>
      <c r="G29" s="556">
        <v>590128.67999999993</v>
      </c>
      <c r="H29" s="545">
        <v>5245490.63</v>
      </c>
      <c r="I29" s="545">
        <v>5455311.0782980034</v>
      </c>
      <c r="J29" s="556">
        <v>1163511.6506479997</v>
      </c>
      <c r="K29" s="556">
        <v>77542.567253999994</v>
      </c>
      <c r="L29" s="556">
        <v>771898.13885999995</v>
      </c>
      <c r="M29" s="556">
        <v>295064.3444</v>
      </c>
      <c r="N29" s="556">
        <v>3147294.377136</v>
      </c>
      <c r="O29" s="545">
        <v>0</v>
      </c>
    </row>
    <row r="30" spans="1:15">
      <c r="A30" s="422">
        <v>24</v>
      </c>
      <c r="B30" s="428" t="s">
        <v>719</v>
      </c>
      <c r="C30" s="554">
        <v>43706034.400000021</v>
      </c>
      <c r="D30" s="545">
        <v>22641766.490000002</v>
      </c>
      <c r="E30" s="545">
        <v>10210372.66</v>
      </c>
      <c r="F30" s="556">
        <v>2615995.29</v>
      </c>
      <c r="G30" s="556">
        <v>550912.1</v>
      </c>
      <c r="H30" s="545">
        <v>7686987.8600000003</v>
      </c>
      <c r="I30" s="545">
        <v>7700680.2421310022</v>
      </c>
      <c r="J30" s="556">
        <v>452835.329883</v>
      </c>
      <c r="K30" s="556">
        <v>1021037.2671560001</v>
      </c>
      <c r="L30" s="556">
        <v>784798.58723400009</v>
      </c>
      <c r="M30" s="556">
        <v>275456.05199000001</v>
      </c>
      <c r="N30" s="556">
        <v>5166553.005868</v>
      </c>
      <c r="O30" s="545">
        <v>0</v>
      </c>
    </row>
    <row r="31" spans="1:15">
      <c r="A31" s="422">
        <v>25</v>
      </c>
      <c r="B31" s="428" t="s">
        <v>720</v>
      </c>
      <c r="C31" s="554">
        <v>32740620.381600019</v>
      </c>
      <c r="D31" s="545">
        <v>26048897.017900016</v>
      </c>
      <c r="E31" s="545">
        <v>1211010.8299999998</v>
      </c>
      <c r="F31" s="556">
        <v>1339463.3118999999</v>
      </c>
      <c r="G31" s="556">
        <v>1432749.6</v>
      </c>
      <c r="H31" s="545">
        <v>2708499.6217999994</v>
      </c>
      <c r="I31" s="545">
        <v>3882714.5311310031</v>
      </c>
      <c r="J31" s="556">
        <v>476623.51954099972</v>
      </c>
      <c r="K31" s="556">
        <v>121101.083908</v>
      </c>
      <c r="L31" s="556">
        <v>401838.99317399989</v>
      </c>
      <c r="M31" s="556">
        <v>716374.79761999997</v>
      </c>
      <c r="N31" s="556">
        <v>2166776.1368879997</v>
      </c>
      <c r="O31" s="545">
        <v>0</v>
      </c>
    </row>
    <row r="32" spans="1:15">
      <c r="A32" s="422">
        <v>26</v>
      </c>
      <c r="B32" s="428" t="s">
        <v>822</v>
      </c>
      <c r="C32" s="554">
        <v>998904.39320000028</v>
      </c>
      <c r="D32" s="545">
        <v>981831.76060000039</v>
      </c>
      <c r="E32" s="545">
        <v>0</v>
      </c>
      <c r="F32" s="556">
        <v>2030.7452000000001</v>
      </c>
      <c r="G32" s="556">
        <v>903.42000000000007</v>
      </c>
      <c r="H32" s="545">
        <v>14138.4674</v>
      </c>
      <c r="I32" s="545">
        <v>34836.036171999956</v>
      </c>
      <c r="J32" s="556">
        <v>19636.635212000008</v>
      </c>
      <c r="K32" s="556">
        <v>0</v>
      </c>
      <c r="L32" s="556">
        <v>609.22355999999991</v>
      </c>
      <c r="M32" s="556">
        <v>451.71000000000004</v>
      </c>
      <c r="N32" s="556">
        <v>14138.4674</v>
      </c>
      <c r="O32" s="545">
        <v>0</v>
      </c>
    </row>
    <row r="33" spans="1:15">
      <c r="A33" s="422">
        <v>27</v>
      </c>
      <c r="B33" s="455" t="s">
        <v>68</v>
      </c>
      <c r="C33" s="557">
        <f>SUM(C7:C32)</f>
        <v>760270850.41290009</v>
      </c>
      <c r="D33" s="546">
        <f t="shared" ref="D33:N33" si="0">SUM(D7:D32)</f>
        <v>514523969.31660008</v>
      </c>
      <c r="E33" s="546">
        <f t="shared" si="0"/>
        <v>64886054.719999999</v>
      </c>
      <c r="F33" s="636">
        <f t="shared" si="0"/>
        <v>81480395.367100015</v>
      </c>
      <c r="G33" s="636">
        <f t="shared" si="0"/>
        <v>35233527.440000005</v>
      </c>
      <c r="H33" s="546">
        <f t="shared" si="0"/>
        <v>64146903.569200002</v>
      </c>
      <c r="I33" s="546">
        <f t="shared" si="0"/>
        <v>105627203.01291302</v>
      </c>
      <c r="J33" s="636">
        <f t="shared" si="0"/>
        <v>9624874.6651979983</v>
      </c>
      <c r="K33" s="636">
        <f t="shared" si="0"/>
        <v>6488605.4751460021</v>
      </c>
      <c r="L33" s="636">
        <f t="shared" si="0"/>
        <v>24444118.622661002</v>
      </c>
      <c r="M33" s="636">
        <f t="shared" si="0"/>
        <v>17431133.508828003</v>
      </c>
      <c r="N33" s="636">
        <f t="shared" si="0"/>
        <v>47638470.741079994</v>
      </c>
      <c r="O33" s="546">
        <v>4668181.54</v>
      </c>
    </row>
    <row r="35" spans="1:15">
      <c r="B35" s="429"/>
      <c r="C35" s="429"/>
    </row>
    <row r="41" spans="1:15">
      <c r="A41" s="425"/>
      <c r="B41" s="425"/>
      <c r="C41" s="425"/>
    </row>
    <row r="42" spans="1:15">
      <c r="A42" s="425"/>
      <c r="B42" s="425"/>
      <c r="C42" s="425"/>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election activeCell="B1" sqref="B1"/>
    </sheetView>
  </sheetViews>
  <sheetFormatPr defaultColWidth="8.7109375" defaultRowHeight="12"/>
  <cols>
    <col min="1" max="1" width="11.7109375" style="456" bestFit="1" customWidth="1"/>
    <col min="2" max="2" width="80.28515625" style="456" customWidth="1"/>
    <col min="3" max="11" width="28.28515625" style="456" customWidth="1"/>
    <col min="12" max="16384" width="8.7109375" style="456"/>
  </cols>
  <sheetData>
    <row r="1" spans="1:11" s="408" customFormat="1" ht="12.75">
      <c r="A1" s="407" t="s">
        <v>188</v>
      </c>
      <c r="B1" s="547" t="str">
        <f>'1. key ratios'!B1</f>
        <v>სს "ბანკი ქართუ"</v>
      </c>
    </row>
    <row r="2" spans="1:11" s="408" customFormat="1" ht="12.75">
      <c r="A2" s="407" t="s">
        <v>189</v>
      </c>
      <c r="B2" s="639">
        <f>'1. key ratios'!B2</f>
        <v>44926</v>
      </c>
    </row>
    <row r="3" spans="1:11" s="408" customFormat="1" ht="12.75">
      <c r="A3" s="409" t="s">
        <v>823</v>
      </c>
      <c r="B3" s="410"/>
    </row>
    <row r="4" spans="1:11">
      <c r="C4" s="457" t="s">
        <v>673</v>
      </c>
      <c r="D4" s="457" t="s">
        <v>674</v>
      </c>
      <c r="E4" s="457" t="s">
        <v>675</v>
      </c>
      <c r="F4" s="457" t="s">
        <v>676</v>
      </c>
      <c r="G4" s="457" t="s">
        <v>677</v>
      </c>
      <c r="H4" s="457" t="s">
        <v>678</v>
      </c>
      <c r="I4" s="457" t="s">
        <v>679</v>
      </c>
      <c r="J4" s="457" t="s">
        <v>680</v>
      </c>
      <c r="K4" s="457" t="s">
        <v>681</v>
      </c>
    </row>
    <row r="5" spans="1:11" ht="103.9" customHeight="1">
      <c r="A5" s="788" t="s">
        <v>824</v>
      </c>
      <c r="B5" s="789"/>
      <c r="C5" s="411" t="s">
        <v>825</v>
      </c>
      <c r="D5" s="411" t="s">
        <v>811</v>
      </c>
      <c r="E5" s="411" t="s">
        <v>812</v>
      </c>
      <c r="F5" s="411" t="s">
        <v>826</v>
      </c>
      <c r="G5" s="411" t="s">
        <v>827</v>
      </c>
      <c r="H5" s="411" t="s">
        <v>828</v>
      </c>
      <c r="I5" s="411" t="s">
        <v>829</v>
      </c>
      <c r="J5" s="411" t="s">
        <v>830</v>
      </c>
      <c r="K5" s="411" t="s">
        <v>831</v>
      </c>
    </row>
    <row r="6" spans="1:11" ht="12.75">
      <c r="A6" s="422">
        <v>1</v>
      </c>
      <c r="B6" s="422" t="s">
        <v>832</v>
      </c>
      <c r="C6" s="545">
        <v>49788791.131558262</v>
      </c>
      <c r="D6" s="545">
        <v>8643835.1246739998</v>
      </c>
      <c r="E6" s="545">
        <v>0</v>
      </c>
      <c r="F6" s="545">
        <v>0</v>
      </c>
      <c r="G6" s="545">
        <v>577802406.10760212</v>
      </c>
      <c r="H6" s="545">
        <v>4188099.9999999986</v>
      </c>
      <c r="I6" s="545">
        <v>72680292.351579726</v>
      </c>
      <c r="J6" s="545">
        <v>4948640.087874773</v>
      </c>
      <c r="K6" s="545">
        <v>42218785.609611176</v>
      </c>
    </row>
    <row r="7" spans="1:11" ht="12.75">
      <c r="A7" s="422">
        <v>2</v>
      </c>
      <c r="B7" s="422" t="s">
        <v>833</v>
      </c>
      <c r="C7" s="545">
        <v>0</v>
      </c>
      <c r="D7" s="545">
        <v>0</v>
      </c>
      <c r="E7" s="545">
        <v>0</v>
      </c>
      <c r="F7" s="545">
        <v>0</v>
      </c>
      <c r="G7" s="545">
        <v>0</v>
      </c>
      <c r="H7" s="545">
        <v>0</v>
      </c>
      <c r="I7" s="545">
        <v>0</v>
      </c>
      <c r="J7" s="545">
        <v>0</v>
      </c>
      <c r="K7" s="545">
        <v>8000000</v>
      </c>
    </row>
    <row r="8" spans="1:11" ht="12.75">
      <c r="A8" s="422">
        <v>3</v>
      </c>
      <c r="B8" s="422" t="s">
        <v>783</v>
      </c>
      <c r="C8" s="545">
        <v>10517180.677620526</v>
      </c>
      <c r="D8" s="545">
        <v>0</v>
      </c>
      <c r="E8" s="545">
        <v>0</v>
      </c>
      <c r="F8" s="545">
        <v>0</v>
      </c>
      <c r="G8" s="545">
        <v>41577175.512946323</v>
      </c>
      <c r="H8" s="545">
        <v>0</v>
      </c>
      <c r="I8" s="545">
        <v>10667057.704840938</v>
      </c>
      <c r="J8" s="545">
        <v>7733717.8818922248</v>
      </c>
      <c r="K8" s="545">
        <v>12139830.459999999</v>
      </c>
    </row>
    <row r="9" spans="1:11" ht="12.75">
      <c r="A9" s="422">
        <v>4</v>
      </c>
      <c r="B9" s="444" t="s">
        <v>834</v>
      </c>
      <c r="C9" s="545">
        <v>5786722.8633932536</v>
      </c>
      <c r="D9" s="545">
        <v>3603455.9839999997</v>
      </c>
      <c r="E9" s="545">
        <v>0</v>
      </c>
      <c r="F9" s="545">
        <v>0</v>
      </c>
      <c r="G9" s="545">
        <v>147973287.78269693</v>
      </c>
      <c r="H9" s="545">
        <v>0</v>
      </c>
      <c r="I9" s="545">
        <v>11828079.916567584</v>
      </c>
      <c r="J9" s="545">
        <v>465465.74536378297</v>
      </c>
      <c r="K9" s="545">
        <v>11203814.084278407</v>
      </c>
    </row>
    <row r="10" spans="1:11" ht="12.75">
      <c r="A10" s="422">
        <v>5</v>
      </c>
      <c r="B10" s="444" t="s">
        <v>835</v>
      </c>
      <c r="C10" s="545">
        <v>0</v>
      </c>
      <c r="D10" s="545">
        <v>0</v>
      </c>
      <c r="E10" s="545">
        <v>0</v>
      </c>
      <c r="F10" s="545">
        <v>0</v>
      </c>
      <c r="G10" s="545">
        <v>0</v>
      </c>
      <c r="H10" s="545">
        <v>0</v>
      </c>
      <c r="I10" s="545">
        <v>0</v>
      </c>
      <c r="J10" s="545">
        <v>0</v>
      </c>
      <c r="K10" s="545">
        <v>0</v>
      </c>
    </row>
    <row r="11" spans="1:11" ht="12.75">
      <c r="A11" s="422">
        <v>6</v>
      </c>
      <c r="B11" s="444" t="s">
        <v>836</v>
      </c>
      <c r="C11" s="545">
        <v>0</v>
      </c>
      <c r="D11" s="545">
        <v>0</v>
      </c>
      <c r="E11" s="545">
        <v>0</v>
      </c>
      <c r="F11" s="545">
        <v>0</v>
      </c>
      <c r="G11" s="545">
        <v>3200915.58</v>
      </c>
      <c r="H11" s="545">
        <v>0</v>
      </c>
      <c r="I11" s="545">
        <v>0</v>
      </c>
      <c r="J11" s="545">
        <v>0</v>
      </c>
      <c r="K11" s="545">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Normal="100" workbookViewId="0"/>
  </sheetViews>
  <sheetFormatPr defaultRowHeight="15"/>
  <cols>
    <col min="1" max="1" width="10" bestFit="1" customWidth="1"/>
    <col min="2" max="2" width="71.7109375" customWidth="1"/>
    <col min="3" max="3" width="12.7109375" bestFit="1" customWidth="1"/>
    <col min="4" max="4" width="13.28515625" bestFit="1" customWidth="1"/>
    <col min="5" max="5" width="12.28515625" bestFit="1" customWidth="1"/>
    <col min="6" max="6" width="16.28515625" bestFit="1" customWidth="1"/>
    <col min="7" max="7" width="10.28515625" bestFit="1" customWidth="1"/>
    <col min="8" max="8" width="10.5703125" bestFit="1" customWidth="1"/>
    <col min="9" max="9" width="11.7109375" bestFit="1" customWidth="1"/>
    <col min="10" max="10" width="13.28515625" bestFit="1" customWidth="1"/>
    <col min="11" max="11" width="12.28515625" bestFit="1" customWidth="1"/>
    <col min="12" max="12" width="16.28515625" bestFit="1" customWidth="1"/>
    <col min="13" max="14" width="10.5703125" bestFit="1" customWidth="1"/>
    <col min="15" max="15" width="18.140625" bestFit="1" customWidth="1"/>
    <col min="16" max="16" width="48.140625" bestFit="1" customWidth="1"/>
    <col min="17" max="17" width="45.85546875" bestFit="1" customWidth="1"/>
    <col min="18" max="18" width="48.140625" bestFit="1" customWidth="1"/>
    <col min="19" max="19" width="44.42578125" bestFit="1" customWidth="1"/>
  </cols>
  <sheetData>
    <row r="1" spans="1:19">
      <c r="A1" s="407" t="s">
        <v>188</v>
      </c>
      <c r="B1" s="547" t="str">
        <f>'1. key ratios'!B1</f>
        <v>სს "ბანკი ქართუ"</v>
      </c>
    </row>
    <row r="2" spans="1:19">
      <c r="A2" s="407" t="s">
        <v>189</v>
      </c>
      <c r="B2" s="639">
        <f>'1. key ratios'!B2</f>
        <v>44926</v>
      </c>
    </row>
    <row r="3" spans="1:19">
      <c r="A3" s="409" t="s">
        <v>992</v>
      </c>
      <c r="B3" s="408"/>
    </row>
    <row r="4" spans="1:19">
      <c r="A4" s="409"/>
      <c r="B4" s="408"/>
    </row>
    <row r="5" spans="1:19" ht="24" customHeight="1">
      <c r="A5" s="791" t="s">
        <v>993</v>
      </c>
      <c r="B5" s="791"/>
      <c r="C5" s="792" t="s">
        <v>786</v>
      </c>
      <c r="D5" s="792"/>
      <c r="E5" s="792"/>
      <c r="F5" s="792"/>
      <c r="G5" s="792"/>
      <c r="H5" s="792"/>
      <c r="I5" s="792" t="s">
        <v>994</v>
      </c>
      <c r="J5" s="792"/>
      <c r="K5" s="792"/>
      <c r="L5" s="792"/>
      <c r="M5" s="792"/>
      <c r="N5" s="792"/>
      <c r="O5" s="790" t="s">
        <v>995</v>
      </c>
      <c r="P5" s="790" t="s">
        <v>996</v>
      </c>
      <c r="Q5" s="790" t="s">
        <v>997</v>
      </c>
      <c r="R5" s="790" t="s">
        <v>998</v>
      </c>
      <c r="S5" s="790" t="s">
        <v>999</v>
      </c>
    </row>
    <row r="6" spans="1:19" ht="36" customHeight="1">
      <c r="A6" s="791"/>
      <c r="B6" s="791"/>
      <c r="C6" s="558"/>
      <c r="D6" s="454" t="s">
        <v>817</v>
      </c>
      <c r="E6" s="454" t="s">
        <v>818</v>
      </c>
      <c r="F6" s="454" t="s">
        <v>819</v>
      </c>
      <c r="G6" s="454" t="s">
        <v>820</v>
      </c>
      <c r="H6" s="454" t="s">
        <v>821</v>
      </c>
      <c r="I6" s="558"/>
      <c r="J6" s="454" t="s">
        <v>817</v>
      </c>
      <c r="K6" s="454" t="s">
        <v>818</v>
      </c>
      <c r="L6" s="454" t="s">
        <v>819</v>
      </c>
      <c r="M6" s="454" t="s">
        <v>820</v>
      </c>
      <c r="N6" s="454" t="s">
        <v>821</v>
      </c>
      <c r="O6" s="790"/>
      <c r="P6" s="790"/>
      <c r="Q6" s="790"/>
      <c r="R6" s="790"/>
      <c r="S6" s="790"/>
    </row>
    <row r="7" spans="1:19">
      <c r="A7" s="559">
        <v>1</v>
      </c>
      <c r="B7" s="560" t="s">
        <v>1000</v>
      </c>
      <c r="C7" s="618">
        <v>175731.40999999997</v>
      </c>
      <c r="D7" s="618">
        <v>116612.44</v>
      </c>
      <c r="E7" s="618">
        <v>1781.44</v>
      </c>
      <c r="F7" s="618">
        <v>57337.53</v>
      </c>
      <c r="G7" s="618">
        <v>0</v>
      </c>
      <c r="H7" s="618">
        <v>0</v>
      </c>
      <c r="I7" s="618">
        <v>19711.651775999999</v>
      </c>
      <c r="J7" s="618">
        <v>2332.2487760000004</v>
      </c>
      <c r="K7" s="618">
        <v>178.14400000000001</v>
      </c>
      <c r="L7" s="618">
        <v>17201.258999999998</v>
      </c>
      <c r="M7" s="618">
        <v>0</v>
      </c>
      <c r="N7" s="618">
        <v>0</v>
      </c>
      <c r="O7" s="618">
        <v>10</v>
      </c>
      <c r="P7" s="620">
        <v>0</v>
      </c>
      <c r="Q7" s="620">
        <v>0</v>
      </c>
      <c r="R7" s="620">
        <v>0.12884411640468829</v>
      </c>
      <c r="S7" s="616">
        <v>57.566277682141447</v>
      </c>
    </row>
    <row r="8" spans="1:19">
      <c r="A8" s="559">
        <v>2</v>
      </c>
      <c r="B8" s="562" t="s">
        <v>1001</v>
      </c>
      <c r="C8" s="618">
        <v>6403596.0800000019</v>
      </c>
      <c r="D8" s="618">
        <v>4982908.09</v>
      </c>
      <c r="E8" s="618">
        <v>174266.63</v>
      </c>
      <c r="F8" s="618">
        <v>781765.56</v>
      </c>
      <c r="G8" s="618">
        <v>464655.79999999993</v>
      </c>
      <c r="H8" s="618">
        <v>0</v>
      </c>
      <c r="I8" s="618">
        <v>539615.55833100004</v>
      </c>
      <c r="J8" s="618">
        <v>55331.326813000022</v>
      </c>
      <c r="K8" s="618">
        <v>17426.663246</v>
      </c>
      <c r="L8" s="618">
        <v>234529.66933199999</v>
      </c>
      <c r="M8" s="618">
        <v>232327.89893999998</v>
      </c>
      <c r="N8" s="618">
        <v>0</v>
      </c>
      <c r="O8" s="618">
        <v>112</v>
      </c>
      <c r="P8" s="620">
        <v>6.426810642875036E-2</v>
      </c>
      <c r="Q8" s="620">
        <v>6.6462534108301635E-2</v>
      </c>
      <c r="R8" s="620">
        <v>8.6645498414696931E-2</v>
      </c>
      <c r="S8" s="616">
        <v>47.555929268987768</v>
      </c>
    </row>
    <row r="9" spans="1:19">
      <c r="A9" s="559">
        <v>3</v>
      </c>
      <c r="B9" s="562" t="s">
        <v>1002</v>
      </c>
      <c r="C9" s="618">
        <v>0</v>
      </c>
      <c r="D9" s="618">
        <v>0</v>
      </c>
      <c r="E9" s="618">
        <v>0</v>
      </c>
      <c r="F9" s="618">
        <v>0</v>
      </c>
      <c r="G9" s="618">
        <v>0</v>
      </c>
      <c r="H9" s="618">
        <v>0</v>
      </c>
      <c r="I9" s="618">
        <v>0</v>
      </c>
      <c r="J9" s="618">
        <v>0</v>
      </c>
      <c r="K9" s="618">
        <v>0</v>
      </c>
      <c r="L9" s="618">
        <v>0</v>
      </c>
      <c r="M9" s="618">
        <v>0</v>
      </c>
      <c r="N9" s="618">
        <v>0</v>
      </c>
      <c r="O9" s="618">
        <v>0</v>
      </c>
      <c r="P9" s="620">
        <v>0</v>
      </c>
      <c r="Q9" s="620">
        <v>0</v>
      </c>
      <c r="R9" s="620">
        <v>0</v>
      </c>
      <c r="S9" s="616">
        <v>0</v>
      </c>
    </row>
    <row r="10" spans="1:19">
      <c r="A10" s="559">
        <v>4</v>
      </c>
      <c r="B10" s="562" t="s">
        <v>1003</v>
      </c>
      <c r="C10" s="618">
        <v>0</v>
      </c>
      <c r="D10" s="618">
        <v>0</v>
      </c>
      <c r="E10" s="618">
        <v>0</v>
      </c>
      <c r="F10" s="618">
        <v>0</v>
      </c>
      <c r="G10" s="618">
        <v>0</v>
      </c>
      <c r="H10" s="618">
        <v>0</v>
      </c>
      <c r="I10" s="618">
        <v>0</v>
      </c>
      <c r="J10" s="618">
        <v>0</v>
      </c>
      <c r="K10" s="618">
        <v>0</v>
      </c>
      <c r="L10" s="618">
        <v>0</v>
      </c>
      <c r="M10" s="618">
        <v>0</v>
      </c>
      <c r="N10" s="618">
        <v>0</v>
      </c>
      <c r="O10" s="618">
        <v>0</v>
      </c>
      <c r="P10" s="620">
        <v>0</v>
      </c>
      <c r="Q10" s="620">
        <v>0</v>
      </c>
      <c r="R10" s="620">
        <v>0</v>
      </c>
      <c r="S10" s="616">
        <v>0</v>
      </c>
    </row>
    <row r="11" spans="1:19">
      <c r="A11" s="559">
        <v>5</v>
      </c>
      <c r="B11" s="562" t="s">
        <v>1004</v>
      </c>
      <c r="C11" s="618">
        <v>1509749.5063999994</v>
      </c>
      <c r="D11" s="618">
        <v>1386496.836399999</v>
      </c>
      <c r="E11" s="618">
        <v>0</v>
      </c>
      <c r="F11" s="618">
        <v>113555.18</v>
      </c>
      <c r="G11" s="618">
        <v>899.83</v>
      </c>
      <c r="H11" s="618">
        <v>8797.659999999998</v>
      </c>
      <c r="I11" s="618">
        <v>71044.065728000016</v>
      </c>
      <c r="J11" s="618">
        <v>27729.936728000008</v>
      </c>
      <c r="K11" s="618">
        <v>0</v>
      </c>
      <c r="L11" s="618">
        <v>34066.553999999989</v>
      </c>
      <c r="M11" s="618">
        <v>449.91500000000002</v>
      </c>
      <c r="N11" s="618">
        <v>8797.659999999998</v>
      </c>
      <c r="O11" s="618">
        <v>104</v>
      </c>
      <c r="P11" s="620">
        <v>0.10323692371882937</v>
      </c>
      <c r="Q11" s="620">
        <v>0.10836707668496628</v>
      </c>
      <c r="R11" s="620">
        <v>0.10942353979232285</v>
      </c>
      <c r="S11" s="616">
        <v>5.8155402606308684</v>
      </c>
    </row>
    <row r="12" spans="1:19">
      <c r="A12" s="559">
        <v>6</v>
      </c>
      <c r="B12" s="562" t="s">
        <v>1005</v>
      </c>
      <c r="C12" s="618">
        <v>263818.20959999942</v>
      </c>
      <c r="D12" s="618">
        <v>258182.10509999987</v>
      </c>
      <c r="E12" s="618">
        <v>0.77</v>
      </c>
      <c r="F12" s="618">
        <v>290.93710000000004</v>
      </c>
      <c r="G12" s="618">
        <v>3.59</v>
      </c>
      <c r="H12" s="618">
        <v>5340.8073999999997</v>
      </c>
      <c r="I12" s="618">
        <v>10593.602632000046</v>
      </c>
      <c r="J12" s="618">
        <v>5163.6421020000107</v>
      </c>
      <c r="K12" s="618">
        <v>7.7000000000000013E-2</v>
      </c>
      <c r="L12" s="618">
        <v>87.281130000000005</v>
      </c>
      <c r="M12" s="618">
        <v>1.7949999999999999</v>
      </c>
      <c r="N12" s="618">
        <v>5340.8073999999997</v>
      </c>
      <c r="O12" s="618">
        <v>1229</v>
      </c>
      <c r="P12" s="620">
        <v>0.10071894777918289</v>
      </c>
      <c r="Q12" s="620">
        <v>0.10622279033254599</v>
      </c>
      <c r="R12" s="620">
        <v>9.081673609386838E-2</v>
      </c>
      <c r="S12" s="616">
        <v>6.0792763957541327</v>
      </c>
    </row>
    <row r="13" spans="1:19">
      <c r="A13" s="559">
        <v>7</v>
      </c>
      <c r="B13" s="562" t="s">
        <v>1006</v>
      </c>
      <c r="C13" s="618">
        <v>12268401.620000001</v>
      </c>
      <c r="D13" s="618">
        <v>9668169.5399999991</v>
      </c>
      <c r="E13" s="618">
        <v>1408227.4199999997</v>
      </c>
      <c r="F13" s="618">
        <v>1192004.6599999999</v>
      </c>
      <c r="G13" s="618">
        <v>0</v>
      </c>
      <c r="H13" s="618">
        <v>0</v>
      </c>
      <c r="I13" s="618">
        <v>690339.92364199995</v>
      </c>
      <c r="J13" s="618">
        <v>191915.78279599998</v>
      </c>
      <c r="K13" s="618">
        <v>140822.742852</v>
      </c>
      <c r="L13" s="618">
        <v>357601.397994</v>
      </c>
      <c r="M13" s="618">
        <v>0</v>
      </c>
      <c r="N13" s="618">
        <v>0</v>
      </c>
      <c r="O13" s="618">
        <v>146</v>
      </c>
      <c r="P13" s="620">
        <v>8.4419953117600047E-2</v>
      </c>
      <c r="Q13" s="620">
        <v>8.7897892378141829E-2</v>
      </c>
      <c r="R13" s="620">
        <v>9.1875355758772481E-2</v>
      </c>
      <c r="S13" s="616">
        <v>96.411129232329827</v>
      </c>
    </row>
    <row r="14" spans="1:19">
      <c r="A14" s="563">
        <v>7.1</v>
      </c>
      <c r="B14" s="564" t="s">
        <v>1007</v>
      </c>
      <c r="C14" s="618">
        <v>9181291.5500000007</v>
      </c>
      <c r="D14" s="618">
        <v>6870614.3699999982</v>
      </c>
      <c r="E14" s="618">
        <v>1381608.9499999997</v>
      </c>
      <c r="F14" s="618">
        <v>929068.23</v>
      </c>
      <c r="G14" s="618">
        <v>0</v>
      </c>
      <c r="H14" s="618">
        <v>0</v>
      </c>
      <c r="I14" s="618">
        <v>552846.04475299991</v>
      </c>
      <c r="J14" s="618">
        <v>135964.679775</v>
      </c>
      <c r="K14" s="618">
        <v>138160.89585199999</v>
      </c>
      <c r="L14" s="618">
        <v>278720.46912600001</v>
      </c>
      <c r="M14" s="618">
        <v>0</v>
      </c>
      <c r="N14" s="618">
        <v>0</v>
      </c>
      <c r="O14" s="618">
        <v>94</v>
      </c>
      <c r="P14" s="620">
        <v>0.14499999999999999</v>
      </c>
      <c r="Q14" s="620">
        <v>0.1550353528039834</v>
      </c>
      <c r="R14" s="620">
        <v>8.9017350494767861E-2</v>
      </c>
      <c r="S14" s="616">
        <v>97.141927580372226</v>
      </c>
    </row>
    <row r="15" spans="1:19" ht="25.5">
      <c r="A15" s="563">
        <v>7.2</v>
      </c>
      <c r="B15" s="564" t="s">
        <v>1008</v>
      </c>
      <c r="C15" s="618">
        <v>2586215.0099999993</v>
      </c>
      <c r="D15" s="618">
        <v>2323278.58</v>
      </c>
      <c r="E15" s="618">
        <v>0</v>
      </c>
      <c r="F15" s="618">
        <v>262936.43</v>
      </c>
      <c r="G15" s="618">
        <v>0</v>
      </c>
      <c r="H15" s="618">
        <v>0</v>
      </c>
      <c r="I15" s="618">
        <v>125346.50006599998</v>
      </c>
      <c r="J15" s="618">
        <v>46465.571197999991</v>
      </c>
      <c r="K15" s="618">
        <v>0</v>
      </c>
      <c r="L15" s="618">
        <v>78880.928868000003</v>
      </c>
      <c r="M15" s="618">
        <v>0</v>
      </c>
      <c r="N15" s="618">
        <v>0</v>
      </c>
      <c r="O15" s="618">
        <v>24</v>
      </c>
      <c r="P15" s="620">
        <v>8.2321262244558407E-2</v>
      </c>
      <c r="Q15" s="620">
        <v>8.5572031262378251E-2</v>
      </c>
      <c r="R15" s="620">
        <v>9.584197535571494E-2</v>
      </c>
      <c r="S15" s="616">
        <v>100.35468042386206</v>
      </c>
    </row>
    <row r="16" spans="1:19">
      <c r="A16" s="563">
        <v>7.3</v>
      </c>
      <c r="B16" s="564" t="s">
        <v>1009</v>
      </c>
      <c r="C16" s="618">
        <v>500895.06000000006</v>
      </c>
      <c r="D16" s="618">
        <v>474276.58999999997</v>
      </c>
      <c r="E16" s="618">
        <v>26618.47</v>
      </c>
      <c r="F16" s="618">
        <v>0</v>
      </c>
      <c r="G16" s="618">
        <v>0</v>
      </c>
      <c r="H16" s="618">
        <v>0</v>
      </c>
      <c r="I16" s="618">
        <v>12147.378822999999</v>
      </c>
      <c r="J16" s="618">
        <v>9485.5318230000012</v>
      </c>
      <c r="K16" s="618">
        <v>2661.8470000000002</v>
      </c>
      <c r="L16" s="618">
        <v>0</v>
      </c>
      <c r="M16" s="618">
        <v>0</v>
      </c>
      <c r="N16" s="618">
        <v>0</v>
      </c>
      <c r="O16" s="618">
        <v>28</v>
      </c>
      <c r="P16" s="620">
        <v>0</v>
      </c>
      <c r="Q16" s="620">
        <v>0</v>
      </c>
      <c r="R16" s="620">
        <v>0.12378153674544126</v>
      </c>
      <c r="S16" s="616">
        <v>62.654469739862137</v>
      </c>
    </row>
    <row r="17" spans="1:19">
      <c r="A17" s="559">
        <v>8</v>
      </c>
      <c r="B17" s="562" t="s">
        <v>1010</v>
      </c>
      <c r="C17" s="618">
        <v>0</v>
      </c>
      <c r="D17" s="618">
        <v>0</v>
      </c>
      <c r="E17" s="618">
        <v>0</v>
      </c>
      <c r="F17" s="618">
        <v>0</v>
      </c>
      <c r="G17" s="618">
        <v>0</v>
      </c>
      <c r="H17" s="618">
        <v>0</v>
      </c>
      <c r="I17" s="618">
        <v>0</v>
      </c>
      <c r="J17" s="618">
        <v>0</v>
      </c>
      <c r="K17" s="618">
        <v>0</v>
      </c>
      <c r="L17" s="618">
        <v>0</v>
      </c>
      <c r="M17" s="618">
        <v>0</v>
      </c>
      <c r="N17" s="618">
        <v>0</v>
      </c>
      <c r="O17" s="618">
        <v>0</v>
      </c>
      <c r="P17" s="620">
        <v>0</v>
      </c>
      <c r="Q17" s="620">
        <v>0</v>
      </c>
      <c r="R17" s="620">
        <v>0</v>
      </c>
      <c r="S17" s="616">
        <v>0</v>
      </c>
    </row>
    <row r="18" spans="1:19">
      <c r="A18" s="565">
        <v>9</v>
      </c>
      <c r="B18" s="566" t="s">
        <v>1011</v>
      </c>
      <c r="C18" s="619">
        <v>0</v>
      </c>
      <c r="D18" s="619">
        <v>0</v>
      </c>
      <c r="E18" s="619">
        <v>0</v>
      </c>
      <c r="F18" s="619">
        <v>0</v>
      </c>
      <c r="G18" s="619">
        <v>0</v>
      </c>
      <c r="H18" s="619">
        <v>0</v>
      </c>
      <c r="I18" s="619">
        <v>0</v>
      </c>
      <c r="J18" s="619">
        <v>0</v>
      </c>
      <c r="K18" s="619">
        <v>0</v>
      </c>
      <c r="L18" s="619">
        <v>0</v>
      </c>
      <c r="M18" s="619">
        <v>0</v>
      </c>
      <c r="N18" s="619">
        <v>0</v>
      </c>
      <c r="O18" s="619">
        <v>0</v>
      </c>
      <c r="P18" s="621">
        <v>0</v>
      </c>
      <c r="Q18" s="621">
        <v>0</v>
      </c>
      <c r="R18" s="621">
        <v>0</v>
      </c>
      <c r="S18" s="617">
        <v>0</v>
      </c>
    </row>
    <row r="19" spans="1:19">
      <c r="A19" s="559">
        <v>10</v>
      </c>
      <c r="B19" s="567" t="s">
        <v>1012</v>
      </c>
      <c r="C19" s="637">
        <v>20621296.826000001</v>
      </c>
      <c r="D19" s="637">
        <v>16412369.011499999</v>
      </c>
      <c r="E19" s="637">
        <v>1584276.2599999998</v>
      </c>
      <c r="F19" s="637">
        <v>2144953.8670999999</v>
      </c>
      <c r="G19" s="637">
        <v>465559.22</v>
      </c>
      <c r="H19" s="637">
        <v>14138.467399999998</v>
      </c>
      <c r="I19" s="637">
        <v>1331304.802109</v>
      </c>
      <c r="J19" s="637">
        <v>282472.93721500004</v>
      </c>
      <c r="K19" s="637">
        <v>158427.627098</v>
      </c>
      <c r="L19" s="637">
        <v>643486.16145600006</v>
      </c>
      <c r="M19" s="637">
        <v>232779.60894000001</v>
      </c>
      <c r="N19" s="637">
        <v>14138.467399999998</v>
      </c>
      <c r="O19" s="637">
        <v>1601</v>
      </c>
      <c r="P19" s="622">
        <v>7.4229783807744254E-2</v>
      </c>
      <c r="Q19" s="622">
        <v>7.7167619730950654E-2</v>
      </c>
      <c r="R19" s="622">
        <v>9.1837567518703422E-2</v>
      </c>
      <c r="S19" s="623">
        <v>73.668549971217274</v>
      </c>
    </row>
    <row r="20" spans="1:19" ht="25.5">
      <c r="A20" s="563">
        <v>10.1</v>
      </c>
      <c r="B20" s="564" t="s">
        <v>1013</v>
      </c>
      <c r="C20" s="618"/>
      <c r="D20" s="618"/>
      <c r="E20" s="618"/>
      <c r="F20" s="618"/>
      <c r="G20" s="618"/>
      <c r="H20" s="618"/>
      <c r="I20" s="618"/>
      <c r="J20" s="618"/>
      <c r="K20" s="618"/>
      <c r="L20" s="618"/>
      <c r="M20" s="618"/>
      <c r="N20" s="618"/>
      <c r="O20" s="561"/>
      <c r="P20" s="620"/>
      <c r="Q20" s="620"/>
      <c r="R20" s="620"/>
      <c r="S20" s="620"/>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N43"/>
  <sheetViews>
    <sheetView zoomScaleNormal="100" workbookViewId="0">
      <pane xSplit="1" ySplit="5" topLeftCell="B6" activePane="bottomRight" state="frozen"/>
      <selection activeCell="B2" sqref="B2"/>
      <selection pane="topRight" activeCell="B2" sqref="B2"/>
      <selection pane="bottomLeft" activeCell="B2" sqref="B2"/>
      <selection pane="bottomRight"/>
    </sheetView>
  </sheetViews>
  <sheetFormatPr defaultRowHeight="15"/>
  <cols>
    <col min="1" max="1" width="9.5703125" style="1" bestFit="1" customWidth="1"/>
    <col min="2" max="2" width="55.28515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14" ht="15.75">
      <c r="A1" s="14" t="s">
        <v>188</v>
      </c>
      <c r="B1" s="1" t="str">
        <f>Info!C2</f>
        <v>სს "ბანკი ქართუ"</v>
      </c>
    </row>
    <row r="2" spans="1:14" ht="15.75">
      <c r="A2" s="14" t="s">
        <v>189</v>
      </c>
      <c r="B2" s="641">
        <f>'1. key ratios'!B2</f>
        <v>44926</v>
      </c>
    </row>
    <row r="3" spans="1:14" ht="15.75">
      <c r="A3" s="14"/>
    </row>
    <row r="4" spans="1:14" ht="16.5" thickBot="1">
      <c r="A4" s="15" t="s">
        <v>406</v>
      </c>
      <c r="B4" s="63" t="s">
        <v>244</v>
      </c>
      <c r="C4" s="15"/>
      <c r="D4" s="25"/>
      <c r="E4" s="25"/>
      <c r="F4" s="26"/>
      <c r="G4" s="26"/>
      <c r="H4" s="27" t="s">
        <v>93</v>
      </c>
    </row>
    <row r="5" spans="1:14" ht="15.75">
      <c r="A5" s="28"/>
      <c r="B5" s="29"/>
      <c r="C5" s="690" t="s">
        <v>194</v>
      </c>
      <c r="D5" s="691"/>
      <c r="E5" s="692"/>
      <c r="F5" s="690" t="s">
        <v>195</v>
      </c>
      <c r="G5" s="691"/>
      <c r="H5" s="693"/>
    </row>
    <row r="6" spans="1:14" ht="15.75">
      <c r="A6" s="30" t="s">
        <v>26</v>
      </c>
      <c r="B6" s="31" t="s">
        <v>153</v>
      </c>
      <c r="C6" s="32" t="s">
        <v>27</v>
      </c>
      <c r="D6" s="32" t="s">
        <v>94</v>
      </c>
      <c r="E6" s="32" t="s">
        <v>68</v>
      </c>
      <c r="F6" s="32" t="s">
        <v>27</v>
      </c>
      <c r="G6" s="32" t="s">
        <v>94</v>
      </c>
      <c r="H6" s="33" t="s">
        <v>68</v>
      </c>
    </row>
    <row r="7" spans="1:14" ht="15.75">
      <c r="A7" s="30">
        <v>1</v>
      </c>
      <c r="B7" s="34" t="s">
        <v>154</v>
      </c>
      <c r="C7" s="629">
        <v>8593116</v>
      </c>
      <c r="D7" s="629">
        <v>19384427</v>
      </c>
      <c r="E7" s="627">
        <f>C7+D7</f>
        <v>27977543</v>
      </c>
      <c r="F7" s="647">
        <v>9360386</v>
      </c>
      <c r="G7" s="648">
        <v>17626041</v>
      </c>
      <c r="H7" s="487">
        <f>F7+G7</f>
        <v>26986427</v>
      </c>
      <c r="I7" s="625"/>
      <c r="J7" s="625"/>
      <c r="K7" s="625"/>
      <c r="L7" s="625"/>
      <c r="M7" s="625"/>
      <c r="N7" s="625"/>
    </row>
    <row r="8" spans="1:14" ht="15.75">
      <c r="A8" s="30">
        <v>2</v>
      </c>
      <c r="B8" s="34" t="s">
        <v>155</v>
      </c>
      <c r="C8" s="629">
        <v>8320810</v>
      </c>
      <c r="D8" s="629">
        <v>322013178</v>
      </c>
      <c r="E8" s="627">
        <f t="shared" ref="E8:E20" si="0">C8+D8</f>
        <v>330333988</v>
      </c>
      <c r="F8" s="647">
        <v>1664881</v>
      </c>
      <c r="G8" s="648">
        <v>202242638</v>
      </c>
      <c r="H8" s="487">
        <f t="shared" ref="H8:H31" si="1">F8+G8</f>
        <v>203907519</v>
      </c>
      <c r="I8" s="625"/>
      <c r="J8" s="625"/>
      <c r="K8" s="625"/>
      <c r="L8" s="625"/>
      <c r="M8" s="625"/>
      <c r="N8" s="625"/>
    </row>
    <row r="9" spans="1:14" ht="15.75">
      <c r="A9" s="30">
        <v>3</v>
      </c>
      <c r="B9" s="34" t="s">
        <v>156</v>
      </c>
      <c r="C9" s="629">
        <v>65100622</v>
      </c>
      <c r="D9" s="629">
        <v>267058713.99000001</v>
      </c>
      <c r="E9" s="627">
        <f t="shared" si="0"/>
        <v>332159335.99000001</v>
      </c>
      <c r="F9" s="647">
        <v>18663689</v>
      </c>
      <c r="G9" s="648">
        <v>35278627</v>
      </c>
      <c r="H9" s="487">
        <f t="shared" si="1"/>
        <v>53942316</v>
      </c>
      <c r="I9" s="625"/>
      <c r="J9" s="625"/>
      <c r="K9" s="625"/>
      <c r="L9" s="625"/>
      <c r="M9" s="625"/>
      <c r="N9" s="625"/>
    </row>
    <row r="10" spans="1:14" ht="15.75">
      <c r="A10" s="30">
        <v>4</v>
      </c>
      <c r="B10" s="34" t="s">
        <v>185</v>
      </c>
      <c r="C10" s="629">
        <v>0</v>
      </c>
      <c r="D10" s="629">
        <v>0</v>
      </c>
      <c r="E10" s="627">
        <f t="shared" si="0"/>
        <v>0</v>
      </c>
      <c r="F10" s="647">
        <v>0</v>
      </c>
      <c r="G10" s="648">
        <v>0</v>
      </c>
      <c r="H10" s="487">
        <f t="shared" si="1"/>
        <v>0</v>
      </c>
      <c r="I10" s="625"/>
      <c r="J10" s="625"/>
      <c r="K10" s="625"/>
      <c r="L10" s="625"/>
      <c r="M10" s="625"/>
      <c r="N10" s="625"/>
    </row>
    <row r="11" spans="1:14" ht="15.75">
      <c r="A11" s="30">
        <v>5</v>
      </c>
      <c r="B11" s="34" t="s">
        <v>157</v>
      </c>
      <c r="C11" s="629">
        <v>35923730</v>
      </c>
      <c r="D11" s="629">
        <v>0</v>
      </c>
      <c r="E11" s="627">
        <f t="shared" si="0"/>
        <v>35923730</v>
      </c>
      <c r="F11" s="647">
        <v>34474340</v>
      </c>
      <c r="G11" s="648">
        <v>15178240</v>
      </c>
      <c r="H11" s="487">
        <f t="shared" si="1"/>
        <v>49652580</v>
      </c>
      <c r="I11" s="625"/>
      <c r="J11" s="625"/>
      <c r="K11" s="625"/>
      <c r="L11" s="625"/>
      <c r="M11" s="625"/>
      <c r="N11" s="625"/>
    </row>
    <row r="12" spans="1:14" ht="15.75">
      <c r="A12" s="30">
        <v>6.1</v>
      </c>
      <c r="B12" s="35" t="s">
        <v>158</v>
      </c>
      <c r="C12" s="629">
        <v>285943089</v>
      </c>
      <c r="D12" s="629">
        <v>474327764</v>
      </c>
      <c r="E12" s="627">
        <f t="shared" si="0"/>
        <v>760270853</v>
      </c>
      <c r="F12" s="647">
        <v>343177576</v>
      </c>
      <c r="G12" s="648">
        <v>621991281</v>
      </c>
      <c r="H12" s="487">
        <f t="shared" si="1"/>
        <v>965168857</v>
      </c>
      <c r="I12" s="625"/>
      <c r="J12" s="625"/>
      <c r="K12" s="625"/>
      <c r="L12" s="625"/>
      <c r="M12" s="625"/>
      <c r="N12" s="625"/>
    </row>
    <row r="13" spans="1:14" ht="15.75">
      <c r="A13" s="30">
        <v>6.2</v>
      </c>
      <c r="B13" s="35" t="s">
        <v>159</v>
      </c>
      <c r="C13" s="629">
        <v>-33982532</v>
      </c>
      <c r="D13" s="629">
        <v>-76312856</v>
      </c>
      <c r="E13" s="627">
        <f t="shared" si="0"/>
        <v>-110295388</v>
      </c>
      <c r="F13" s="647">
        <v>-60716934</v>
      </c>
      <c r="G13" s="648">
        <v>-98448858</v>
      </c>
      <c r="H13" s="487">
        <f t="shared" si="1"/>
        <v>-159165792</v>
      </c>
      <c r="I13" s="625"/>
      <c r="J13" s="625"/>
      <c r="K13" s="625"/>
      <c r="L13" s="625"/>
      <c r="M13" s="625"/>
      <c r="N13" s="625"/>
    </row>
    <row r="14" spans="1:14" ht="15.75">
      <c r="A14" s="30">
        <v>6</v>
      </c>
      <c r="B14" s="34" t="s">
        <v>160</v>
      </c>
      <c r="C14" s="627">
        <f>C12+C13</f>
        <v>251960557</v>
      </c>
      <c r="D14" s="627">
        <f>D12+D13</f>
        <v>398014908</v>
      </c>
      <c r="E14" s="627">
        <f t="shared" si="0"/>
        <v>649975465</v>
      </c>
      <c r="F14" s="627">
        <f>F12+F13</f>
        <v>282460642</v>
      </c>
      <c r="G14" s="627">
        <f>G12+G13</f>
        <v>523542423</v>
      </c>
      <c r="H14" s="487">
        <f t="shared" si="1"/>
        <v>806003065</v>
      </c>
      <c r="I14" s="625"/>
      <c r="J14" s="625"/>
      <c r="K14" s="625"/>
      <c r="L14" s="625"/>
      <c r="M14" s="625"/>
      <c r="N14" s="625"/>
    </row>
    <row r="15" spans="1:14" ht="15.75">
      <c r="A15" s="30">
        <v>7</v>
      </c>
      <c r="B15" s="34" t="s">
        <v>161</v>
      </c>
      <c r="C15" s="629">
        <v>28399386</v>
      </c>
      <c r="D15" s="629">
        <v>6078200</v>
      </c>
      <c r="E15" s="627">
        <f t="shared" si="0"/>
        <v>34477586</v>
      </c>
      <c r="F15" s="647">
        <v>13679325</v>
      </c>
      <c r="G15" s="648">
        <v>6457357</v>
      </c>
      <c r="H15" s="487">
        <f t="shared" si="1"/>
        <v>20136682</v>
      </c>
      <c r="I15" s="625"/>
      <c r="J15" s="625"/>
      <c r="K15" s="625"/>
      <c r="L15" s="625"/>
      <c r="M15" s="625"/>
      <c r="N15" s="625"/>
    </row>
    <row r="16" spans="1:14" ht="15.75">
      <c r="A16" s="30">
        <v>8</v>
      </c>
      <c r="B16" s="34" t="s">
        <v>162</v>
      </c>
      <c r="C16" s="629">
        <v>22260034</v>
      </c>
      <c r="D16" s="629" t="s">
        <v>1046</v>
      </c>
      <c r="E16" s="627">
        <f>C16</f>
        <v>22260034</v>
      </c>
      <c r="F16" s="647">
        <v>15691955</v>
      </c>
      <c r="G16" s="648" t="s">
        <v>1046</v>
      </c>
      <c r="H16" s="487">
        <f>F16</f>
        <v>15691955</v>
      </c>
      <c r="I16" s="625"/>
      <c r="J16" s="625"/>
      <c r="K16" s="625"/>
      <c r="L16" s="625"/>
      <c r="M16" s="625"/>
      <c r="N16" s="625"/>
    </row>
    <row r="17" spans="1:14" ht="15.75">
      <c r="A17" s="30">
        <v>9</v>
      </c>
      <c r="B17" s="34" t="s">
        <v>163</v>
      </c>
      <c r="C17" s="629">
        <v>7800148</v>
      </c>
      <c r="D17" s="629">
        <v>0</v>
      </c>
      <c r="E17" s="627">
        <f t="shared" si="0"/>
        <v>7800148</v>
      </c>
      <c r="F17" s="647">
        <v>7793239</v>
      </c>
      <c r="G17" s="648">
        <v>0</v>
      </c>
      <c r="H17" s="487">
        <f t="shared" si="1"/>
        <v>7793239</v>
      </c>
      <c r="I17" s="625"/>
      <c r="J17" s="625"/>
      <c r="K17" s="625"/>
      <c r="L17" s="625"/>
      <c r="M17" s="625"/>
      <c r="N17" s="625"/>
    </row>
    <row r="18" spans="1:14" ht="15.75">
      <c r="A18" s="30">
        <v>10</v>
      </c>
      <c r="B18" s="34" t="s">
        <v>164</v>
      </c>
      <c r="C18" s="629">
        <v>22426868</v>
      </c>
      <c r="D18" s="629" t="s">
        <v>1046</v>
      </c>
      <c r="E18" s="627">
        <f>C18</f>
        <v>22426868</v>
      </c>
      <c r="F18" s="647">
        <v>20363424</v>
      </c>
      <c r="G18" s="648" t="s">
        <v>1046</v>
      </c>
      <c r="H18" s="487">
        <f>F18</f>
        <v>20363424</v>
      </c>
      <c r="I18" s="625"/>
      <c r="J18" s="625"/>
      <c r="K18" s="625"/>
      <c r="L18" s="625"/>
      <c r="M18" s="625"/>
      <c r="N18" s="625"/>
    </row>
    <row r="19" spans="1:14" ht="15.75">
      <c r="A19" s="30">
        <v>11</v>
      </c>
      <c r="B19" s="34" t="s">
        <v>165</v>
      </c>
      <c r="C19" s="629">
        <v>20681191</v>
      </c>
      <c r="D19" s="629">
        <v>509303.00999999978</v>
      </c>
      <c r="E19" s="627">
        <f t="shared" si="0"/>
        <v>21190494.009999998</v>
      </c>
      <c r="F19" s="647">
        <v>17320900</v>
      </c>
      <c r="G19" s="648">
        <v>2093200</v>
      </c>
      <c r="H19" s="487">
        <f t="shared" si="1"/>
        <v>19414100</v>
      </c>
      <c r="I19" s="625"/>
      <c r="J19" s="625"/>
      <c r="K19" s="625"/>
      <c r="L19" s="625"/>
      <c r="M19" s="625"/>
      <c r="N19" s="625"/>
    </row>
    <row r="20" spans="1:14" ht="15.75">
      <c r="A20" s="30">
        <v>12</v>
      </c>
      <c r="B20" s="36" t="s">
        <v>166</v>
      </c>
      <c r="C20" s="627">
        <f>SUM(C7:C11)+SUM(C14:C19)</f>
        <v>471466462</v>
      </c>
      <c r="D20" s="627">
        <f>SUM(D7:D11)+SUM(D14:D19)</f>
        <v>1013058730</v>
      </c>
      <c r="E20" s="627">
        <f t="shared" si="0"/>
        <v>1484525192</v>
      </c>
      <c r="F20" s="627">
        <f>SUM(F7:F11)+SUM(F14:F19)</f>
        <v>421472781</v>
      </c>
      <c r="G20" s="627">
        <f>SUM(G7:G11)+SUM(G14:G19)</f>
        <v>802418526</v>
      </c>
      <c r="H20" s="487">
        <f t="shared" si="1"/>
        <v>1223891307</v>
      </c>
      <c r="I20" s="625"/>
      <c r="J20" s="625"/>
      <c r="K20" s="625"/>
      <c r="L20" s="625"/>
      <c r="M20" s="625"/>
      <c r="N20" s="625"/>
    </row>
    <row r="21" spans="1:14" ht="15.75">
      <c r="A21" s="30"/>
      <c r="B21" s="31" t="s">
        <v>183</v>
      </c>
      <c r="C21" s="649" t="s">
        <v>956</v>
      </c>
      <c r="D21" s="649"/>
      <c r="E21" s="649"/>
      <c r="F21" s="650" t="s">
        <v>956</v>
      </c>
      <c r="G21" s="651"/>
      <c r="H21" s="488"/>
      <c r="I21" s="625"/>
      <c r="J21" s="625"/>
      <c r="K21" s="625"/>
      <c r="L21" s="625"/>
      <c r="M21" s="625"/>
      <c r="N21" s="625"/>
    </row>
    <row r="22" spans="1:14" ht="15.75">
      <c r="A22" s="30">
        <v>13</v>
      </c>
      <c r="B22" s="34" t="s">
        <v>167</v>
      </c>
      <c r="C22" s="629">
        <v>51652</v>
      </c>
      <c r="D22" s="629">
        <v>87464</v>
      </c>
      <c r="E22" s="627">
        <f>C22+D22</f>
        <v>139116</v>
      </c>
      <c r="F22" s="647">
        <v>53500</v>
      </c>
      <c r="G22" s="648">
        <v>108783</v>
      </c>
      <c r="H22" s="487">
        <f t="shared" si="1"/>
        <v>162283</v>
      </c>
      <c r="I22" s="625"/>
      <c r="J22" s="625"/>
      <c r="K22" s="625"/>
      <c r="L22" s="625"/>
      <c r="M22" s="625"/>
      <c r="N22" s="625"/>
    </row>
    <row r="23" spans="1:14" ht="15.75">
      <c r="A23" s="30">
        <v>14</v>
      </c>
      <c r="B23" s="34" t="s">
        <v>168</v>
      </c>
      <c r="C23" s="629">
        <v>71940693</v>
      </c>
      <c r="D23" s="629">
        <v>544192872</v>
      </c>
      <c r="E23" s="627">
        <f t="shared" ref="E23:E30" si="2">C23+D23</f>
        <v>616133565</v>
      </c>
      <c r="F23" s="647">
        <v>42721323</v>
      </c>
      <c r="G23" s="648">
        <v>274656163</v>
      </c>
      <c r="H23" s="487">
        <f t="shared" si="1"/>
        <v>317377486</v>
      </c>
      <c r="I23" s="625"/>
      <c r="J23" s="625"/>
      <c r="K23" s="625"/>
      <c r="L23" s="625"/>
      <c r="M23" s="625"/>
      <c r="N23" s="625"/>
    </row>
    <row r="24" spans="1:14" ht="15.75">
      <c r="A24" s="30">
        <v>15</v>
      </c>
      <c r="B24" s="34" t="s">
        <v>169</v>
      </c>
      <c r="C24" s="629">
        <v>22366883</v>
      </c>
      <c r="D24" s="629">
        <v>46024577</v>
      </c>
      <c r="E24" s="627">
        <f t="shared" si="2"/>
        <v>68391460</v>
      </c>
      <c r="F24" s="647">
        <v>16637124</v>
      </c>
      <c r="G24" s="648">
        <v>42153984</v>
      </c>
      <c r="H24" s="487">
        <f t="shared" si="1"/>
        <v>58791108</v>
      </c>
      <c r="I24" s="625"/>
      <c r="J24" s="625"/>
      <c r="K24" s="625"/>
      <c r="L24" s="625"/>
      <c r="M24" s="625"/>
      <c r="N24" s="625"/>
    </row>
    <row r="25" spans="1:14" ht="15.75">
      <c r="A25" s="30">
        <v>16</v>
      </c>
      <c r="B25" s="34" t="s">
        <v>170</v>
      </c>
      <c r="C25" s="629">
        <v>98754807</v>
      </c>
      <c r="D25" s="629">
        <v>317043350</v>
      </c>
      <c r="E25" s="627">
        <f t="shared" si="2"/>
        <v>415798157</v>
      </c>
      <c r="F25" s="647">
        <v>82343244</v>
      </c>
      <c r="G25" s="648">
        <v>415813357</v>
      </c>
      <c r="H25" s="487">
        <f t="shared" si="1"/>
        <v>498156601</v>
      </c>
      <c r="I25" s="625"/>
      <c r="J25" s="625"/>
      <c r="K25" s="625"/>
      <c r="L25" s="625"/>
      <c r="M25" s="625"/>
      <c r="N25" s="625"/>
    </row>
    <row r="26" spans="1:14" ht="15.75">
      <c r="A26" s="30">
        <v>17</v>
      </c>
      <c r="B26" s="34" t="s">
        <v>171</v>
      </c>
      <c r="C26" s="629"/>
      <c r="D26" s="629"/>
      <c r="E26" s="627">
        <f t="shared" si="2"/>
        <v>0</v>
      </c>
      <c r="F26" s="650"/>
      <c r="G26" s="651"/>
      <c r="H26" s="487">
        <f t="shared" si="1"/>
        <v>0</v>
      </c>
      <c r="I26" s="625"/>
      <c r="J26" s="625"/>
      <c r="K26" s="625"/>
      <c r="L26" s="625"/>
      <c r="M26" s="625"/>
      <c r="N26" s="625"/>
    </row>
    <row r="27" spans="1:14" ht="15.75">
      <c r="A27" s="30">
        <v>18</v>
      </c>
      <c r="B27" s="34" t="s">
        <v>172</v>
      </c>
      <c r="C27" s="629">
        <v>0</v>
      </c>
      <c r="D27" s="629">
        <v>0</v>
      </c>
      <c r="E27" s="627">
        <f t="shared" si="2"/>
        <v>0</v>
      </c>
      <c r="F27" s="647">
        <v>0</v>
      </c>
      <c r="G27" s="648">
        <v>0</v>
      </c>
      <c r="H27" s="487">
        <f t="shared" si="1"/>
        <v>0</v>
      </c>
      <c r="I27" s="625"/>
      <c r="J27" s="625"/>
      <c r="K27" s="625"/>
      <c r="L27" s="625"/>
      <c r="M27" s="625"/>
      <c r="N27" s="625"/>
    </row>
    <row r="28" spans="1:14" ht="15.75">
      <c r="A28" s="30">
        <v>19</v>
      </c>
      <c r="B28" s="34" t="s">
        <v>173</v>
      </c>
      <c r="C28" s="629">
        <v>7530866</v>
      </c>
      <c r="D28" s="629">
        <v>7567821</v>
      </c>
      <c r="E28" s="627">
        <f t="shared" si="2"/>
        <v>15098687</v>
      </c>
      <c r="F28" s="647">
        <v>6539409</v>
      </c>
      <c r="G28" s="648">
        <v>7307914</v>
      </c>
      <c r="H28" s="487">
        <f t="shared" si="1"/>
        <v>13847323</v>
      </c>
      <c r="I28" s="625"/>
      <c r="J28" s="625"/>
      <c r="K28" s="625"/>
      <c r="L28" s="625"/>
      <c r="M28" s="625"/>
      <c r="N28" s="625"/>
    </row>
    <row r="29" spans="1:14" ht="15.75">
      <c r="A29" s="30">
        <v>20</v>
      </c>
      <c r="B29" s="34" t="s">
        <v>95</v>
      </c>
      <c r="C29" s="629">
        <v>22315406</v>
      </c>
      <c r="D29" s="629">
        <v>1577634</v>
      </c>
      <c r="E29" s="627">
        <f t="shared" si="2"/>
        <v>23893040</v>
      </c>
      <c r="F29" s="647">
        <v>11241960</v>
      </c>
      <c r="G29" s="648">
        <v>10365108</v>
      </c>
      <c r="H29" s="487">
        <f t="shared" si="1"/>
        <v>21607068</v>
      </c>
      <c r="I29" s="625"/>
      <c r="J29" s="625"/>
      <c r="K29" s="625"/>
      <c r="L29" s="625"/>
      <c r="M29" s="625"/>
      <c r="N29" s="625"/>
    </row>
    <row r="30" spans="1:14" ht="15.75">
      <c r="A30" s="30">
        <v>21</v>
      </c>
      <c r="B30" s="34" t="s">
        <v>174</v>
      </c>
      <c r="C30" s="629">
        <v>0</v>
      </c>
      <c r="D30" s="629">
        <v>105378000</v>
      </c>
      <c r="E30" s="627">
        <f t="shared" si="2"/>
        <v>105378000</v>
      </c>
      <c r="F30" s="647">
        <v>0</v>
      </c>
      <c r="G30" s="648">
        <v>120806400</v>
      </c>
      <c r="H30" s="487">
        <f t="shared" si="1"/>
        <v>120806400</v>
      </c>
      <c r="I30" s="625"/>
      <c r="J30" s="625"/>
      <c r="K30" s="625"/>
      <c r="L30" s="625"/>
      <c r="M30" s="625"/>
      <c r="N30" s="625"/>
    </row>
    <row r="31" spans="1:14" ht="15.75">
      <c r="A31" s="30">
        <v>22</v>
      </c>
      <c r="B31" s="36" t="s">
        <v>175</v>
      </c>
      <c r="C31" s="627">
        <f>SUM(C22:C30)</f>
        <v>222960307</v>
      </c>
      <c r="D31" s="627">
        <f>SUM(D22:D30)</f>
        <v>1021871718</v>
      </c>
      <c r="E31" s="627">
        <f>C31+D31</f>
        <v>1244832025</v>
      </c>
      <c r="F31" s="627">
        <f>SUM(F22:F30)</f>
        <v>159536560</v>
      </c>
      <c r="G31" s="627">
        <f>SUM(G22:G30)</f>
        <v>871211709</v>
      </c>
      <c r="H31" s="487">
        <f t="shared" si="1"/>
        <v>1030748269</v>
      </c>
      <c r="I31" s="625"/>
      <c r="J31" s="625"/>
      <c r="K31" s="625"/>
      <c r="L31" s="625"/>
      <c r="M31" s="625"/>
      <c r="N31" s="625"/>
    </row>
    <row r="32" spans="1:14" ht="15.75">
      <c r="A32" s="30"/>
      <c r="B32" s="31" t="s">
        <v>184</v>
      </c>
      <c r="C32" s="649"/>
      <c r="D32" s="649"/>
      <c r="E32" s="629"/>
      <c r="F32" s="650"/>
      <c r="G32" s="651"/>
      <c r="H32" s="488"/>
      <c r="I32" s="625"/>
      <c r="J32" s="625"/>
      <c r="K32" s="625"/>
      <c r="L32" s="625"/>
      <c r="M32" s="625"/>
      <c r="N32" s="625"/>
    </row>
    <row r="33" spans="1:14" ht="15.75">
      <c r="A33" s="30">
        <v>23</v>
      </c>
      <c r="B33" s="34" t="s">
        <v>176</v>
      </c>
      <c r="C33" s="629">
        <v>114430000</v>
      </c>
      <c r="D33" s="649" t="s">
        <v>1046</v>
      </c>
      <c r="E33" s="627">
        <f>C33</f>
        <v>114430000</v>
      </c>
      <c r="F33" s="647">
        <v>114430000</v>
      </c>
      <c r="G33" s="651" t="s">
        <v>1046</v>
      </c>
      <c r="H33" s="487">
        <f>F33</f>
        <v>114430000</v>
      </c>
      <c r="I33" s="625"/>
      <c r="J33" s="625"/>
      <c r="K33" s="625"/>
      <c r="L33" s="625"/>
      <c r="M33" s="625"/>
      <c r="N33" s="625"/>
    </row>
    <row r="34" spans="1:14" ht="15.75">
      <c r="A34" s="30">
        <v>24</v>
      </c>
      <c r="B34" s="34" t="s">
        <v>177</v>
      </c>
      <c r="C34" s="629">
        <v>0</v>
      </c>
      <c r="D34" s="649" t="s">
        <v>1046</v>
      </c>
      <c r="E34" s="627">
        <f t="shared" ref="E34:E40" si="3">C34</f>
        <v>0</v>
      </c>
      <c r="F34" s="647">
        <v>0</v>
      </c>
      <c r="G34" s="651" t="s">
        <v>1046</v>
      </c>
      <c r="H34" s="487">
        <f t="shared" ref="H34:H40" si="4">F34</f>
        <v>0</v>
      </c>
      <c r="I34" s="625"/>
      <c r="J34" s="625"/>
      <c r="K34" s="625"/>
      <c r="L34" s="625"/>
      <c r="M34" s="625"/>
      <c r="N34" s="625"/>
    </row>
    <row r="35" spans="1:14" ht="15.75">
      <c r="A35" s="30">
        <v>25</v>
      </c>
      <c r="B35" s="35" t="s">
        <v>178</v>
      </c>
      <c r="C35" s="629">
        <v>0</v>
      </c>
      <c r="D35" s="649" t="s">
        <v>1046</v>
      </c>
      <c r="E35" s="627">
        <f t="shared" si="3"/>
        <v>0</v>
      </c>
      <c r="F35" s="647">
        <v>0</v>
      </c>
      <c r="G35" s="651" t="s">
        <v>1046</v>
      </c>
      <c r="H35" s="487">
        <f t="shared" si="4"/>
        <v>0</v>
      </c>
      <c r="I35" s="625"/>
      <c r="J35" s="625"/>
      <c r="K35" s="625"/>
      <c r="L35" s="625"/>
      <c r="M35" s="625"/>
      <c r="N35" s="625"/>
    </row>
    <row r="36" spans="1:14" ht="15.75">
      <c r="A36" s="30">
        <v>26</v>
      </c>
      <c r="B36" s="34" t="s">
        <v>179</v>
      </c>
      <c r="C36" s="629">
        <v>0</v>
      </c>
      <c r="D36" s="649" t="s">
        <v>1046</v>
      </c>
      <c r="E36" s="627">
        <f t="shared" si="3"/>
        <v>0</v>
      </c>
      <c r="F36" s="647">
        <v>0</v>
      </c>
      <c r="G36" s="651" t="s">
        <v>1046</v>
      </c>
      <c r="H36" s="487">
        <f t="shared" si="4"/>
        <v>0</v>
      </c>
      <c r="I36" s="625"/>
      <c r="J36" s="625"/>
      <c r="K36" s="625"/>
      <c r="L36" s="625"/>
      <c r="M36" s="625"/>
      <c r="N36" s="625"/>
    </row>
    <row r="37" spans="1:14" ht="15.75">
      <c r="A37" s="30">
        <v>27</v>
      </c>
      <c r="B37" s="34" t="s">
        <v>180</v>
      </c>
      <c r="C37" s="629">
        <v>7438034</v>
      </c>
      <c r="D37" s="649" t="s">
        <v>1046</v>
      </c>
      <c r="E37" s="627">
        <f t="shared" si="3"/>
        <v>7438034</v>
      </c>
      <c r="F37" s="647">
        <v>7438034</v>
      </c>
      <c r="G37" s="651" t="s">
        <v>1046</v>
      </c>
      <c r="H37" s="487">
        <f t="shared" si="4"/>
        <v>7438034</v>
      </c>
      <c r="I37" s="625"/>
      <c r="J37" s="625"/>
      <c r="K37" s="625"/>
      <c r="L37" s="625"/>
      <c r="M37" s="625"/>
      <c r="N37" s="625"/>
    </row>
    <row r="38" spans="1:14" ht="15.75">
      <c r="A38" s="30">
        <v>28</v>
      </c>
      <c r="B38" s="34" t="s">
        <v>181</v>
      </c>
      <c r="C38" s="629">
        <v>117794403</v>
      </c>
      <c r="D38" s="649" t="s">
        <v>1046</v>
      </c>
      <c r="E38" s="627">
        <f t="shared" si="3"/>
        <v>117794403</v>
      </c>
      <c r="F38" s="647">
        <v>71407664</v>
      </c>
      <c r="G38" s="651" t="s">
        <v>1046</v>
      </c>
      <c r="H38" s="487">
        <f t="shared" si="4"/>
        <v>71407664</v>
      </c>
      <c r="I38" s="625"/>
      <c r="J38" s="625"/>
      <c r="K38" s="625"/>
      <c r="L38" s="625"/>
      <c r="M38" s="625"/>
      <c r="N38" s="625"/>
    </row>
    <row r="39" spans="1:14" ht="15.75">
      <c r="A39" s="30">
        <v>29</v>
      </c>
      <c r="B39" s="34" t="s">
        <v>196</v>
      </c>
      <c r="C39" s="629">
        <v>30730</v>
      </c>
      <c r="D39" s="649" t="s">
        <v>1046</v>
      </c>
      <c r="E39" s="627">
        <f t="shared" si="3"/>
        <v>30730</v>
      </c>
      <c r="F39" s="647">
        <v>-132660</v>
      </c>
      <c r="G39" s="651" t="s">
        <v>1046</v>
      </c>
      <c r="H39" s="487">
        <f t="shared" si="4"/>
        <v>-132660</v>
      </c>
      <c r="I39" s="625"/>
      <c r="J39" s="625"/>
      <c r="K39" s="625"/>
      <c r="L39" s="625"/>
      <c r="M39" s="625"/>
      <c r="N39" s="625"/>
    </row>
    <row r="40" spans="1:14" ht="15.75">
      <c r="A40" s="30">
        <v>30</v>
      </c>
      <c r="B40" s="36" t="s">
        <v>182</v>
      </c>
      <c r="C40" s="629">
        <v>239693167</v>
      </c>
      <c r="D40" s="649" t="s">
        <v>1046</v>
      </c>
      <c r="E40" s="627">
        <f t="shared" si="3"/>
        <v>239693167</v>
      </c>
      <c r="F40" s="647">
        <v>193143038</v>
      </c>
      <c r="G40" s="651" t="s">
        <v>1046</v>
      </c>
      <c r="H40" s="487">
        <f t="shared" si="4"/>
        <v>193143038</v>
      </c>
      <c r="I40" s="625"/>
      <c r="J40" s="625"/>
      <c r="K40" s="625"/>
      <c r="L40" s="625"/>
      <c r="M40" s="625"/>
      <c r="N40" s="625"/>
    </row>
    <row r="41" spans="1:14" ht="16.5" thickBot="1">
      <c r="A41" s="37">
        <v>31</v>
      </c>
      <c r="B41" s="38" t="s">
        <v>197</v>
      </c>
      <c r="C41" s="212">
        <f>C31+C40</f>
        <v>462653474</v>
      </c>
      <c r="D41" s="212">
        <f>D31</f>
        <v>1021871718</v>
      </c>
      <c r="E41" s="212">
        <f>C41+D41</f>
        <v>1484525192</v>
      </c>
      <c r="F41" s="212">
        <f>F31+F40</f>
        <v>352679598</v>
      </c>
      <c r="G41" s="212">
        <f>G31</f>
        <v>871211709</v>
      </c>
      <c r="H41" s="213">
        <f>F41+G41</f>
        <v>1223891307</v>
      </c>
      <c r="I41" s="625"/>
      <c r="J41" s="625"/>
      <c r="K41" s="625"/>
      <c r="L41" s="625"/>
      <c r="M41" s="625"/>
      <c r="N41" s="625"/>
    </row>
    <row r="43" spans="1:14">
      <c r="B43" s="39"/>
    </row>
  </sheetData>
  <mergeCells count="2">
    <mergeCell ref="C5:E5"/>
    <mergeCell ref="F5:H5"/>
  </mergeCells>
  <dataValidations count="1">
    <dataValidation type="whole" operator="lessThanOrEqual" allowBlank="1" showInputMessage="1" showErrorMessage="1" sqref="F13:G13" xr:uid="{37D8BC09-ED08-4783-B944-80D9617CED69}">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D236"/>
  <sheetViews>
    <sheetView topLeftCell="A156" zoomScale="85" zoomScaleNormal="85" workbookViewId="0">
      <selection activeCell="C185" sqref="C185"/>
    </sheetView>
  </sheetViews>
  <sheetFormatPr defaultColWidth="43.5703125" defaultRowHeight="11.25"/>
  <cols>
    <col min="1" max="1" width="8" style="608" customWidth="1"/>
    <col min="2" max="2" width="66.28515625" style="614" customWidth="1"/>
    <col min="3" max="3" width="131.42578125" style="615" customWidth="1"/>
    <col min="4" max="5" width="10.28515625" style="568" customWidth="1"/>
    <col min="6" max="16384" width="43.5703125" style="568"/>
  </cols>
  <sheetData>
    <row r="1" spans="1:3" ht="12.75" thickTop="1" thickBot="1">
      <c r="A1" s="799" t="s">
        <v>326</v>
      </c>
      <c r="B1" s="800"/>
      <c r="C1" s="801"/>
    </row>
    <row r="2" spans="1:3" ht="26.25" customHeight="1">
      <c r="A2" s="569"/>
      <c r="B2" s="802" t="s">
        <v>327</v>
      </c>
      <c r="C2" s="802"/>
    </row>
    <row r="3" spans="1:3" s="571" customFormat="1" ht="11.25" customHeight="1">
      <c r="A3" s="570"/>
      <c r="B3" s="802" t="s">
        <v>419</v>
      </c>
      <c r="C3" s="802"/>
    </row>
    <row r="4" spans="1:3" ht="12" customHeight="1" thickBot="1">
      <c r="A4" s="803" t="s">
        <v>423</v>
      </c>
      <c r="B4" s="804"/>
      <c r="C4" s="805"/>
    </row>
    <row r="5" spans="1:3" ht="12" thickTop="1">
      <c r="A5" s="572"/>
      <c r="B5" s="806" t="s">
        <v>328</v>
      </c>
      <c r="C5" s="807"/>
    </row>
    <row r="6" spans="1:3">
      <c r="A6" s="569"/>
      <c r="B6" s="793" t="s">
        <v>420</v>
      </c>
      <c r="C6" s="794"/>
    </row>
    <row r="7" spans="1:3">
      <c r="A7" s="569"/>
      <c r="B7" s="793" t="s">
        <v>329</v>
      </c>
      <c r="C7" s="794"/>
    </row>
    <row r="8" spans="1:3">
      <c r="A8" s="569"/>
      <c r="B8" s="793" t="s">
        <v>421</v>
      </c>
      <c r="C8" s="794"/>
    </row>
    <row r="9" spans="1:3">
      <c r="A9" s="569"/>
      <c r="B9" s="795" t="s">
        <v>422</v>
      </c>
      <c r="C9" s="796"/>
    </row>
    <row r="10" spans="1:3">
      <c r="A10" s="569"/>
      <c r="B10" s="797" t="s">
        <v>330</v>
      </c>
      <c r="C10" s="798" t="s">
        <v>330</v>
      </c>
    </row>
    <row r="11" spans="1:3">
      <c r="A11" s="569"/>
      <c r="B11" s="797" t="s">
        <v>331</v>
      </c>
      <c r="C11" s="798" t="s">
        <v>331</v>
      </c>
    </row>
    <row r="12" spans="1:3">
      <c r="A12" s="569"/>
      <c r="B12" s="797" t="s">
        <v>332</v>
      </c>
      <c r="C12" s="798" t="s">
        <v>332</v>
      </c>
    </row>
    <row r="13" spans="1:3">
      <c r="A13" s="569"/>
      <c r="B13" s="797" t="s">
        <v>333</v>
      </c>
      <c r="C13" s="798" t="s">
        <v>333</v>
      </c>
    </row>
    <row r="14" spans="1:3">
      <c r="A14" s="569"/>
      <c r="B14" s="797" t="s">
        <v>334</v>
      </c>
      <c r="C14" s="798" t="s">
        <v>334</v>
      </c>
    </row>
    <row r="15" spans="1:3" ht="21.75" customHeight="1">
      <c r="A15" s="569"/>
      <c r="B15" s="797" t="s">
        <v>335</v>
      </c>
      <c r="C15" s="798" t="s">
        <v>335</v>
      </c>
    </row>
    <row r="16" spans="1:3">
      <c r="A16" s="569"/>
      <c r="B16" s="797" t="s">
        <v>336</v>
      </c>
      <c r="C16" s="798" t="s">
        <v>337</v>
      </c>
    </row>
    <row r="17" spans="1:3">
      <c r="A17" s="569"/>
      <c r="B17" s="797" t="s">
        <v>338</v>
      </c>
      <c r="C17" s="798" t="s">
        <v>339</v>
      </c>
    </row>
    <row r="18" spans="1:3">
      <c r="A18" s="569"/>
      <c r="B18" s="797" t="s">
        <v>340</v>
      </c>
      <c r="C18" s="798" t="s">
        <v>341</v>
      </c>
    </row>
    <row r="19" spans="1:3">
      <c r="A19" s="569"/>
      <c r="B19" s="797" t="s">
        <v>342</v>
      </c>
      <c r="C19" s="798" t="s">
        <v>342</v>
      </c>
    </row>
    <row r="20" spans="1:3">
      <c r="A20" s="569"/>
      <c r="B20" s="797" t="s">
        <v>343</v>
      </c>
      <c r="C20" s="798" t="s">
        <v>343</v>
      </c>
    </row>
    <row r="21" spans="1:3">
      <c r="A21" s="569"/>
      <c r="B21" s="797" t="s">
        <v>344</v>
      </c>
      <c r="C21" s="798" t="s">
        <v>344</v>
      </c>
    </row>
    <row r="22" spans="1:3" ht="23.25" customHeight="1">
      <c r="A22" s="569"/>
      <c r="B22" s="797" t="s">
        <v>345</v>
      </c>
      <c r="C22" s="798" t="s">
        <v>346</v>
      </c>
    </row>
    <row r="23" spans="1:3">
      <c r="A23" s="569"/>
      <c r="B23" s="797" t="s">
        <v>347</v>
      </c>
      <c r="C23" s="798" t="s">
        <v>347</v>
      </c>
    </row>
    <row r="24" spans="1:3">
      <c r="A24" s="569"/>
      <c r="B24" s="797" t="s">
        <v>348</v>
      </c>
      <c r="C24" s="798" t="s">
        <v>349</v>
      </c>
    </row>
    <row r="25" spans="1:3" ht="12" thickBot="1">
      <c r="A25" s="573"/>
      <c r="B25" s="810" t="s">
        <v>350</v>
      </c>
      <c r="C25" s="811"/>
    </row>
    <row r="26" spans="1:3" ht="12.75" thickTop="1" thickBot="1">
      <c r="A26" s="803" t="s">
        <v>433</v>
      </c>
      <c r="B26" s="804"/>
      <c r="C26" s="805"/>
    </row>
    <row r="27" spans="1:3" ht="12.75" thickTop="1" thickBot="1">
      <c r="A27" s="574"/>
      <c r="B27" s="812" t="s">
        <v>351</v>
      </c>
      <c r="C27" s="813"/>
    </row>
    <row r="28" spans="1:3" ht="12.75" thickTop="1" thickBot="1">
      <c r="A28" s="803" t="s">
        <v>424</v>
      </c>
      <c r="B28" s="804"/>
      <c r="C28" s="805"/>
    </row>
    <row r="29" spans="1:3" ht="12" thickTop="1">
      <c r="A29" s="572"/>
      <c r="B29" s="814" t="s">
        <v>352</v>
      </c>
      <c r="C29" s="815" t="s">
        <v>353</v>
      </c>
    </row>
    <row r="30" spans="1:3">
      <c r="A30" s="569"/>
      <c r="B30" s="808" t="s">
        <v>354</v>
      </c>
      <c r="C30" s="809" t="s">
        <v>355</v>
      </c>
    </row>
    <row r="31" spans="1:3">
      <c r="A31" s="569"/>
      <c r="B31" s="808" t="s">
        <v>356</v>
      </c>
      <c r="C31" s="809" t="s">
        <v>357</v>
      </c>
    </row>
    <row r="32" spans="1:3">
      <c r="A32" s="569"/>
      <c r="B32" s="808" t="s">
        <v>358</v>
      </c>
      <c r="C32" s="809" t="s">
        <v>359</v>
      </c>
    </row>
    <row r="33" spans="1:3">
      <c r="A33" s="569"/>
      <c r="B33" s="808" t="s">
        <v>360</v>
      </c>
      <c r="C33" s="809" t="s">
        <v>361</v>
      </c>
    </row>
    <row r="34" spans="1:3">
      <c r="A34" s="569"/>
      <c r="B34" s="808" t="s">
        <v>362</v>
      </c>
      <c r="C34" s="809" t="s">
        <v>363</v>
      </c>
    </row>
    <row r="35" spans="1:3" ht="23.25" customHeight="1">
      <c r="A35" s="569"/>
      <c r="B35" s="808" t="s">
        <v>364</v>
      </c>
      <c r="C35" s="809" t="s">
        <v>365</v>
      </c>
    </row>
    <row r="36" spans="1:3" ht="24" customHeight="1">
      <c r="A36" s="569"/>
      <c r="B36" s="808" t="s">
        <v>366</v>
      </c>
      <c r="C36" s="809" t="s">
        <v>367</v>
      </c>
    </row>
    <row r="37" spans="1:3" ht="24.75" customHeight="1">
      <c r="A37" s="569"/>
      <c r="B37" s="808" t="s">
        <v>368</v>
      </c>
      <c r="C37" s="809" t="s">
        <v>369</v>
      </c>
    </row>
    <row r="38" spans="1:3" ht="23.25" customHeight="1">
      <c r="A38" s="569"/>
      <c r="B38" s="808" t="s">
        <v>425</v>
      </c>
      <c r="C38" s="809" t="s">
        <v>370</v>
      </c>
    </row>
    <row r="39" spans="1:3" ht="39.75" customHeight="1">
      <c r="A39" s="569"/>
      <c r="B39" s="797" t="s">
        <v>439</v>
      </c>
      <c r="C39" s="798" t="s">
        <v>371</v>
      </c>
    </row>
    <row r="40" spans="1:3" ht="12" customHeight="1">
      <c r="A40" s="569"/>
      <c r="B40" s="808" t="s">
        <v>372</v>
      </c>
      <c r="C40" s="809" t="s">
        <v>373</v>
      </c>
    </row>
    <row r="41" spans="1:3" ht="27" customHeight="1" thickBot="1">
      <c r="A41" s="573"/>
      <c r="B41" s="818" t="s">
        <v>374</v>
      </c>
      <c r="C41" s="819" t="s">
        <v>375</v>
      </c>
    </row>
    <row r="42" spans="1:3" ht="12.75" thickTop="1" thickBot="1">
      <c r="A42" s="803" t="s">
        <v>426</v>
      </c>
      <c r="B42" s="804"/>
      <c r="C42" s="805"/>
    </row>
    <row r="43" spans="1:3" ht="12" thickTop="1">
      <c r="A43" s="572"/>
      <c r="B43" s="806" t="s">
        <v>462</v>
      </c>
      <c r="C43" s="807" t="s">
        <v>376</v>
      </c>
    </row>
    <row r="44" spans="1:3">
      <c r="A44" s="569"/>
      <c r="B44" s="793" t="s">
        <v>461</v>
      </c>
      <c r="C44" s="794"/>
    </row>
    <row r="45" spans="1:3" ht="23.25" customHeight="1" thickBot="1">
      <c r="A45" s="573"/>
      <c r="B45" s="816" t="s">
        <v>377</v>
      </c>
      <c r="C45" s="817" t="s">
        <v>378</v>
      </c>
    </row>
    <row r="46" spans="1:3" ht="11.25" customHeight="1" thickTop="1" thickBot="1">
      <c r="A46" s="803" t="s">
        <v>427</v>
      </c>
      <c r="B46" s="804"/>
      <c r="C46" s="805"/>
    </row>
    <row r="47" spans="1:3" ht="26.25" customHeight="1" thickTop="1">
      <c r="A47" s="569"/>
      <c r="B47" s="793" t="s">
        <v>428</v>
      </c>
      <c r="C47" s="794"/>
    </row>
    <row r="48" spans="1:3" ht="12" thickBot="1">
      <c r="A48" s="803" t="s">
        <v>429</v>
      </c>
      <c r="B48" s="804"/>
      <c r="C48" s="805"/>
    </row>
    <row r="49" spans="1:3" ht="12" thickTop="1">
      <c r="A49" s="572"/>
      <c r="B49" s="806" t="s">
        <v>379</v>
      </c>
      <c r="C49" s="807" t="s">
        <v>379</v>
      </c>
    </row>
    <row r="50" spans="1:3" ht="11.25" customHeight="1">
      <c r="A50" s="569"/>
      <c r="B50" s="793" t="s">
        <v>380</v>
      </c>
      <c r="C50" s="794" t="s">
        <v>380</v>
      </c>
    </row>
    <row r="51" spans="1:3">
      <c r="A51" s="569"/>
      <c r="B51" s="793" t="s">
        <v>381</v>
      </c>
      <c r="C51" s="794" t="s">
        <v>381</v>
      </c>
    </row>
    <row r="52" spans="1:3" ht="11.25" customHeight="1">
      <c r="A52" s="569"/>
      <c r="B52" s="793" t="s">
        <v>489</v>
      </c>
      <c r="C52" s="794" t="s">
        <v>382</v>
      </c>
    </row>
    <row r="53" spans="1:3" ht="33.6" customHeight="1">
      <c r="A53" s="569"/>
      <c r="B53" s="793" t="s">
        <v>383</v>
      </c>
      <c r="C53" s="794" t="s">
        <v>383</v>
      </c>
    </row>
    <row r="54" spans="1:3" ht="11.25" customHeight="1">
      <c r="A54" s="569"/>
      <c r="B54" s="793" t="s">
        <v>482</v>
      </c>
      <c r="C54" s="794" t="s">
        <v>384</v>
      </c>
    </row>
    <row r="55" spans="1:3" ht="11.25" customHeight="1" thickBot="1">
      <c r="A55" s="803" t="s">
        <v>430</v>
      </c>
      <c r="B55" s="804"/>
      <c r="C55" s="805"/>
    </row>
    <row r="56" spans="1:3" ht="12" thickTop="1">
      <c r="A56" s="572"/>
      <c r="B56" s="806" t="s">
        <v>379</v>
      </c>
      <c r="C56" s="807" t="s">
        <v>379</v>
      </c>
    </row>
    <row r="57" spans="1:3">
      <c r="A57" s="569"/>
      <c r="B57" s="793" t="s">
        <v>385</v>
      </c>
      <c r="C57" s="794" t="s">
        <v>385</v>
      </c>
    </row>
    <row r="58" spans="1:3">
      <c r="A58" s="569"/>
      <c r="B58" s="793" t="s">
        <v>436</v>
      </c>
      <c r="C58" s="794" t="s">
        <v>386</v>
      </c>
    </row>
    <row r="59" spans="1:3">
      <c r="A59" s="569"/>
      <c r="B59" s="793" t="s">
        <v>387</v>
      </c>
      <c r="C59" s="794" t="s">
        <v>387</v>
      </c>
    </row>
    <row r="60" spans="1:3">
      <c r="A60" s="569"/>
      <c r="B60" s="793" t="s">
        <v>388</v>
      </c>
      <c r="C60" s="794" t="s">
        <v>388</v>
      </c>
    </row>
    <row r="61" spans="1:3">
      <c r="A61" s="569"/>
      <c r="B61" s="793" t="s">
        <v>389</v>
      </c>
      <c r="C61" s="794" t="s">
        <v>389</v>
      </c>
    </row>
    <row r="62" spans="1:3">
      <c r="A62" s="569"/>
      <c r="B62" s="793" t="s">
        <v>437</v>
      </c>
      <c r="C62" s="794" t="s">
        <v>390</v>
      </c>
    </row>
    <row r="63" spans="1:3">
      <c r="A63" s="569"/>
      <c r="B63" s="793" t="s">
        <v>391</v>
      </c>
      <c r="C63" s="794" t="s">
        <v>391</v>
      </c>
    </row>
    <row r="64" spans="1:3" ht="12" thickBot="1">
      <c r="A64" s="573"/>
      <c r="B64" s="816" t="s">
        <v>392</v>
      </c>
      <c r="C64" s="817" t="s">
        <v>392</v>
      </c>
    </row>
    <row r="65" spans="1:3" ht="11.25" customHeight="1" thickTop="1">
      <c r="A65" s="822" t="s">
        <v>431</v>
      </c>
      <c r="B65" s="823"/>
      <c r="C65" s="824"/>
    </row>
    <row r="66" spans="1:3" ht="12" thickBot="1">
      <c r="A66" s="573"/>
      <c r="B66" s="816" t="s">
        <v>393</v>
      </c>
      <c r="C66" s="817" t="s">
        <v>393</v>
      </c>
    </row>
    <row r="67" spans="1:3" ht="11.25" customHeight="1" thickTop="1" thickBot="1">
      <c r="A67" s="803" t="s">
        <v>432</v>
      </c>
      <c r="B67" s="804"/>
      <c r="C67" s="805"/>
    </row>
    <row r="68" spans="1:3" ht="12" thickTop="1">
      <c r="A68" s="572"/>
      <c r="B68" s="806" t="s">
        <v>394</v>
      </c>
      <c r="C68" s="807" t="s">
        <v>394</v>
      </c>
    </row>
    <row r="69" spans="1:3">
      <c r="A69" s="569"/>
      <c r="B69" s="793" t="s">
        <v>395</v>
      </c>
      <c r="C69" s="794" t="s">
        <v>395</v>
      </c>
    </row>
    <row r="70" spans="1:3">
      <c r="A70" s="569"/>
      <c r="B70" s="793" t="s">
        <v>396</v>
      </c>
      <c r="C70" s="794" t="s">
        <v>396</v>
      </c>
    </row>
    <row r="71" spans="1:3" ht="55.15" customHeight="1">
      <c r="A71" s="569"/>
      <c r="B71" s="820" t="s">
        <v>1014</v>
      </c>
      <c r="C71" s="821" t="s">
        <v>397</v>
      </c>
    </row>
    <row r="72" spans="1:3" ht="33.75" customHeight="1">
      <c r="A72" s="569"/>
      <c r="B72" s="820" t="s">
        <v>441</v>
      </c>
      <c r="C72" s="821" t="s">
        <v>398</v>
      </c>
    </row>
    <row r="73" spans="1:3" ht="15.75" customHeight="1">
      <c r="A73" s="569"/>
      <c r="B73" s="820" t="s">
        <v>438</v>
      </c>
      <c r="C73" s="821" t="s">
        <v>399</v>
      </c>
    </row>
    <row r="74" spans="1:3">
      <c r="A74" s="569"/>
      <c r="B74" s="793" t="s">
        <v>400</v>
      </c>
      <c r="C74" s="794" t="s">
        <v>400</v>
      </c>
    </row>
    <row r="75" spans="1:3" ht="12" thickBot="1">
      <c r="A75" s="573"/>
      <c r="B75" s="816" t="s">
        <v>401</v>
      </c>
      <c r="C75" s="817" t="s">
        <v>401</v>
      </c>
    </row>
    <row r="76" spans="1:3" ht="12" thickTop="1">
      <c r="A76" s="822" t="s">
        <v>465</v>
      </c>
      <c r="B76" s="823"/>
      <c r="C76" s="824"/>
    </row>
    <row r="77" spans="1:3">
      <c r="A77" s="569"/>
      <c r="B77" s="793" t="s">
        <v>393</v>
      </c>
      <c r="C77" s="794"/>
    </row>
    <row r="78" spans="1:3">
      <c r="A78" s="569"/>
      <c r="B78" s="793" t="s">
        <v>463</v>
      </c>
      <c r="C78" s="794"/>
    </row>
    <row r="79" spans="1:3">
      <c r="A79" s="569"/>
      <c r="B79" s="793" t="s">
        <v>464</v>
      </c>
      <c r="C79" s="794"/>
    </row>
    <row r="80" spans="1:3">
      <c r="A80" s="822" t="s">
        <v>466</v>
      </c>
      <c r="B80" s="823"/>
      <c r="C80" s="824"/>
    </row>
    <row r="81" spans="1:3">
      <c r="A81" s="569"/>
      <c r="B81" s="793" t="s">
        <v>393</v>
      </c>
      <c r="C81" s="794"/>
    </row>
    <row r="82" spans="1:3">
      <c r="A82" s="569"/>
      <c r="B82" s="793" t="s">
        <v>467</v>
      </c>
      <c r="C82" s="794"/>
    </row>
    <row r="83" spans="1:3" ht="76.5" customHeight="1">
      <c r="A83" s="569"/>
      <c r="B83" s="793" t="s">
        <v>481</v>
      </c>
      <c r="C83" s="794"/>
    </row>
    <row r="84" spans="1:3" ht="53.25" customHeight="1">
      <c r="A84" s="569"/>
      <c r="B84" s="793" t="s">
        <v>480</v>
      </c>
      <c r="C84" s="794"/>
    </row>
    <row r="85" spans="1:3">
      <c r="A85" s="569"/>
      <c r="B85" s="793" t="s">
        <v>468</v>
      </c>
      <c r="C85" s="794"/>
    </row>
    <row r="86" spans="1:3">
      <c r="A86" s="569"/>
      <c r="B86" s="793" t="s">
        <v>469</v>
      </c>
      <c r="C86" s="794"/>
    </row>
    <row r="87" spans="1:3">
      <c r="A87" s="569"/>
      <c r="B87" s="793" t="s">
        <v>470</v>
      </c>
      <c r="C87" s="794"/>
    </row>
    <row r="88" spans="1:3">
      <c r="A88" s="822" t="s">
        <v>471</v>
      </c>
      <c r="B88" s="823"/>
      <c r="C88" s="824"/>
    </row>
    <row r="89" spans="1:3">
      <c r="A89" s="569"/>
      <c r="B89" s="793" t="s">
        <v>393</v>
      </c>
      <c r="C89" s="794"/>
    </row>
    <row r="90" spans="1:3">
      <c r="A90" s="569"/>
      <c r="B90" s="793" t="s">
        <v>473</v>
      </c>
      <c r="C90" s="794"/>
    </row>
    <row r="91" spans="1:3" ht="12" customHeight="1">
      <c r="A91" s="569"/>
      <c r="B91" s="793" t="s">
        <v>474</v>
      </c>
      <c r="C91" s="794"/>
    </row>
    <row r="92" spans="1:3">
      <c r="A92" s="569"/>
      <c r="B92" s="793" t="s">
        <v>475</v>
      </c>
      <c r="C92" s="794"/>
    </row>
    <row r="93" spans="1:3" ht="24.75" customHeight="1">
      <c r="A93" s="569"/>
      <c r="B93" s="825" t="s">
        <v>517</v>
      </c>
      <c r="C93" s="826"/>
    </row>
    <row r="94" spans="1:3" ht="24" customHeight="1">
      <c r="A94" s="569"/>
      <c r="B94" s="825" t="s">
        <v>518</v>
      </c>
      <c r="C94" s="826"/>
    </row>
    <row r="95" spans="1:3" ht="13.5" customHeight="1">
      <c r="A95" s="569"/>
      <c r="B95" s="808" t="s">
        <v>476</v>
      </c>
      <c r="C95" s="809"/>
    </row>
    <row r="96" spans="1:3" ht="11.25" customHeight="1" thickBot="1">
      <c r="A96" s="827" t="s">
        <v>513</v>
      </c>
      <c r="B96" s="828"/>
      <c r="C96" s="829"/>
    </row>
    <row r="97" spans="1:3" ht="12.75" thickTop="1" thickBot="1">
      <c r="A97" s="836" t="s">
        <v>402</v>
      </c>
      <c r="B97" s="836"/>
      <c r="C97" s="836"/>
    </row>
    <row r="98" spans="1:3">
      <c r="A98" s="575">
        <v>2</v>
      </c>
      <c r="B98" s="576" t="s">
        <v>493</v>
      </c>
      <c r="C98" s="576" t="s">
        <v>514</v>
      </c>
    </row>
    <row r="99" spans="1:3">
      <c r="A99" s="577">
        <v>3</v>
      </c>
      <c r="B99" s="578" t="s">
        <v>494</v>
      </c>
      <c r="C99" s="579" t="s">
        <v>515</v>
      </c>
    </row>
    <row r="100" spans="1:3">
      <c r="A100" s="577">
        <v>4</v>
      </c>
      <c r="B100" s="578" t="s">
        <v>495</v>
      </c>
      <c r="C100" s="579" t="s">
        <v>519</v>
      </c>
    </row>
    <row r="101" spans="1:3" ht="11.25" customHeight="1">
      <c r="A101" s="577">
        <v>5</v>
      </c>
      <c r="B101" s="578" t="s">
        <v>496</v>
      </c>
      <c r="C101" s="579" t="s">
        <v>516</v>
      </c>
    </row>
    <row r="102" spans="1:3" ht="12" customHeight="1">
      <c r="A102" s="577">
        <v>6</v>
      </c>
      <c r="B102" s="578" t="s">
        <v>511</v>
      </c>
      <c r="C102" s="579" t="s">
        <v>497</v>
      </c>
    </row>
    <row r="103" spans="1:3" ht="12" customHeight="1">
      <c r="A103" s="577">
        <v>7</v>
      </c>
      <c r="B103" s="578" t="s">
        <v>498</v>
      </c>
      <c r="C103" s="579" t="s">
        <v>512</v>
      </c>
    </row>
    <row r="104" spans="1:3">
      <c r="A104" s="577">
        <v>8</v>
      </c>
      <c r="B104" s="578" t="s">
        <v>503</v>
      </c>
      <c r="C104" s="579" t="s">
        <v>523</v>
      </c>
    </row>
    <row r="105" spans="1:3" ht="11.25" customHeight="1">
      <c r="A105" s="822" t="s">
        <v>477</v>
      </c>
      <c r="B105" s="823"/>
      <c r="C105" s="824"/>
    </row>
    <row r="106" spans="1:3" ht="12" customHeight="1">
      <c r="A106" s="569"/>
      <c r="B106" s="793" t="s">
        <v>393</v>
      </c>
      <c r="C106" s="794"/>
    </row>
    <row r="107" spans="1:3">
      <c r="A107" s="822" t="s">
        <v>660</v>
      </c>
      <c r="B107" s="823"/>
      <c r="C107" s="824"/>
    </row>
    <row r="108" spans="1:3" ht="12" customHeight="1">
      <c r="A108" s="569"/>
      <c r="B108" s="793" t="s">
        <v>662</v>
      </c>
      <c r="C108" s="794"/>
    </row>
    <row r="109" spans="1:3">
      <c r="A109" s="569"/>
      <c r="B109" s="793" t="s">
        <v>663</v>
      </c>
      <c r="C109" s="794"/>
    </row>
    <row r="110" spans="1:3">
      <c r="A110" s="569"/>
      <c r="B110" s="793" t="s">
        <v>661</v>
      </c>
      <c r="C110" s="794"/>
    </row>
    <row r="111" spans="1:3">
      <c r="A111" s="830" t="s">
        <v>1015</v>
      </c>
      <c r="B111" s="830"/>
      <c r="C111" s="830"/>
    </row>
    <row r="112" spans="1:3">
      <c r="A112" s="831" t="s">
        <v>326</v>
      </c>
      <c r="B112" s="831"/>
      <c r="C112" s="831"/>
    </row>
    <row r="113" spans="1:3">
      <c r="A113" s="580">
        <v>1</v>
      </c>
      <c r="B113" s="832" t="s">
        <v>837</v>
      </c>
      <c r="C113" s="833"/>
    </row>
    <row r="114" spans="1:3">
      <c r="A114" s="580">
        <v>2</v>
      </c>
      <c r="B114" s="834" t="s">
        <v>838</v>
      </c>
      <c r="C114" s="835"/>
    </row>
    <row r="115" spans="1:3">
      <c r="A115" s="580">
        <v>3</v>
      </c>
      <c r="B115" s="832" t="s">
        <v>839</v>
      </c>
      <c r="C115" s="833"/>
    </row>
    <row r="116" spans="1:3">
      <c r="A116" s="580">
        <v>4</v>
      </c>
      <c r="B116" s="832" t="s">
        <v>840</v>
      </c>
      <c r="C116" s="833"/>
    </row>
    <row r="117" spans="1:3">
      <c r="A117" s="580">
        <v>5</v>
      </c>
      <c r="B117" s="832" t="s">
        <v>841</v>
      </c>
      <c r="C117" s="833"/>
    </row>
    <row r="118" spans="1:3" ht="55.5" customHeight="1">
      <c r="A118" s="580">
        <v>6</v>
      </c>
      <c r="B118" s="832" t="s">
        <v>949</v>
      </c>
      <c r="C118" s="833"/>
    </row>
    <row r="119" spans="1:3" ht="22.5">
      <c r="A119" s="580">
        <v>6.01</v>
      </c>
      <c r="B119" s="581" t="s">
        <v>696</v>
      </c>
      <c r="C119" s="582" t="s">
        <v>950</v>
      </c>
    </row>
    <row r="120" spans="1:3" ht="33.75">
      <c r="A120" s="580">
        <v>6.02</v>
      </c>
      <c r="B120" s="581" t="s">
        <v>697</v>
      </c>
      <c r="C120" s="582" t="s">
        <v>1016</v>
      </c>
    </row>
    <row r="121" spans="1:3">
      <c r="A121" s="580">
        <v>6.03</v>
      </c>
      <c r="B121" s="582" t="s">
        <v>698</v>
      </c>
      <c r="C121" s="582" t="s">
        <v>842</v>
      </c>
    </row>
    <row r="122" spans="1:3">
      <c r="A122" s="580">
        <v>6.04</v>
      </c>
      <c r="B122" s="581" t="s">
        <v>699</v>
      </c>
      <c r="C122" s="583" t="s">
        <v>843</v>
      </c>
    </row>
    <row r="123" spans="1:3">
      <c r="A123" s="580">
        <v>6.05</v>
      </c>
      <c r="B123" s="581" t="s">
        <v>700</v>
      </c>
      <c r="C123" s="583" t="s">
        <v>844</v>
      </c>
    </row>
    <row r="124" spans="1:3" ht="22.5">
      <c r="A124" s="580">
        <v>6.06</v>
      </c>
      <c r="B124" s="581" t="s">
        <v>701</v>
      </c>
      <c r="C124" s="583" t="s">
        <v>845</v>
      </c>
    </row>
    <row r="125" spans="1:3">
      <c r="A125" s="580">
        <v>6.07</v>
      </c>
      <c r="B125" s="584" t="s">
        <v>702</v>
      </c>
      <c r="C125" s="583" t="s">
        <v>846</v>
      </c>
    </row>
    <row r="126" spans="1:3" ht="22.5">
      <c r="A126" s="580">
        <v>6.08</v>
      </c>
      <c r="B126" s="581" t="s">
        <v>703</v>
      </c>
      <c r="C126" s="583" t="s">
        <v>847</v>
      </c>
    </row>
    <row r="127" spans="1:3" ht="22.5">
      <c r="A127" s="580">
        <v>6.09</v>
      </c>
      <c r="B127" s="585" t="s">
        <v>704</v>
      </c>
      <c r="C127" s="583" t="s">
        <v>848</v>
      </c>
    </row>
    <row r="128" spans="1:3">
      <c r="A128" s="458">
        <v>6.1</v>
      </c>
      <c r="B128" s="585" t="s">
        <v>705</v>
      </c>
      <c r="C128" s="583" t="s">
        <v>849</v>
      </c>
    </row>
    <row r="129" spans="1:3">
      <c r="A129" s="580">
        <v>6.11</v>
      </c>
      <c r="B129" s="585" t="s">
        <v>706</v>
      </c>
      <c r="C129" s="583" t="s">
        <v>850</v>
      </c>
    </row>
    <row r="130" spans="1:3">
      <c r="A130" s="580">
        <v>6.12</v>
      </c>
      <c r="B130" s="585" t="s">
        <v>707</v>
      </c>
      <c r="C130" s="583" t="s">
        <v>851</v>
      </c>
    </row>
    <row r="131" spans="1:3">
      <c r="A131" s="580">
        <v>6.13</v>
      </c>
      <c r="B131" s="585" t="s">
        <v>708</v>
      </c>
      <c r="C131" s="582" t="s">
        <v>852</v>
      </c>
    </row>
    <row r="132" spans="1:3">
      <c r="A132" s="580">
        <v>6.14</v>
      </c>
      <c r="B132" s="585" t="s">
        <v>709</v>
      </c>
      <c r="C132" s="582" t="s">
        <v>853</v>
      </c>
    </row>
    <row r="133" spans="1:3">
      <c r="A133" s="580">
        <v>6.15</v>
      </c>
      <c r="B133" s="585" t="s">
        <v>710</v>
      </c>
      <c r="C133" s="582" t="s">
        <v>854</v>
      </c>
    </row>
    <row r="134" spans="1:3" ht="22.5">
      <c r="A134" s="580">
        <v>6.16</v>
      </c>
      <c r="B134" s="585" t="s">
        <v>711</v>
      </c>
      <c r="C134" s="582" t="s">
        <v>855</v>
      </c>
    </row>
    <row r="135" spans="1:3">
      <c r="A135" s="580">
        <v>6.17</v>
      </c>
      <c r="B135" s="582" t="s">
        <v>712</v>
      </c>
      <c r="C135" s="582" t="s">
        <v>856</v>
      </c>
    </row>
    <row r="136" spans="1:3" ht="22.5">
      <c r="A136" s="580">
        <v>6.18</v>
      </c>
      <c r="B136" s="585" t="s">
        <v>713</v>
      </c>
      <c r="C136" s="582" t="s">
        <v>857</v>
      </c>
    </row>
    <row r="137" spans="1:3">
      <c r="A137" s="580">
        <v>6.19</v>
      </c>
      <c r="B137" s="585" t="s">
        <v>714</v>
      </c>
      <c r="C137" s="582" t="s">
        <v>858</v>
      </c>
    </row>
    <row r="138" spans="1:3">
      <c r="A138" s="458">
        <v>6.2</v>
      </c>
      <c r="B138" s="585" t="s">
        <v>715</v>
      </c>
      <c r="C138" s="582" t="s">
        <v>859</v>
      </c>
    </row>
    <row r="139" spans="1:3">
      <c r="A139" s="580">
        <v>6.21</v>
      </c>
      <c r="B139" s="585" t="s">
        <v>716</v>
      </c>
      <c r="C139" s="582" t="s">
        <v>860</v>
      </c>
    </row>
    <row r="140" spans="1:3">
      <c r="A140" s="580">
        <v>6.22</v>
      </c>
      <c r="B140" s="585" t="s">
        <v>717</v>
      </c>
      <c r="C140" s="582" t="s">
        <v>861</v>
      </c>
    </row>
    <row r="141" spans="1:3" ht="22.5">
      <c r="A141" s="580">
        <v>6.23</v>
      </c>
      <c r="B141" s="585" t="s">
        <v>718</v>
      </c>
      <c r="C141" s="582" t="s">
        <v>862</v>
      </c>
    </row>
    <row r="142" spans="1:3" ht="22.5">
      <c r="A142" s="580">
        <v>6.24</v>
      </c>
      <c r="B142" s="581" t="s">
        <v>719</v>
      </c>
      <c r="C142" s="582" t="s">
        <v>863</v>
      </c>
    </row>
    <row r="143" spans="1:3">
      <c r="A143" s="580">
        <v>6.2500000000000098</v>
      </c>
      <c r="B143" s="581" t="s">
        <v>720</v>
      </c>
      <c r="C143" s="582" t="s">
        <v>864</v>
      </c>
    </row>
    <row r="144" spans="1:3" ht="22.5">
      <c r="A144" s="580">
        <v>6.2600000000000202</v>
      </c>
      <c r="B144" s="581" t="s">
        <v>865</v>
      </c>
      <c r="C144" s="586" t="s">
        <v>866</v>
      </c>
    </row>
    <row r="145" spans="1:3" ht="22.5">
      <c r="A145" s="580">
        <v>6.2700000000000298</v>
      </c>
      <c r="B145" s="581" t="s">
        <v>165</v>
      </c>
      <c r="C145" s="586" t="s">
        <v>952</v>
      </c>
    </row>
    <row r="146" spans="1:3">
      <c r="A146" s="580"/>
      <c r="B146" s="837" t="s">
        <v>867</v>
      </c>
      <c r="C146" s="838"/>
    </row>
    <row r="147" spans="1:3" s="588" customFormat="1">
      <c r="A147" s="587">
        <v>7.1</v>
      </c>
      <c r="B147" s="581" t="s">
        <v>868</v>
      </c>
      <c r="C147" s="841" t="s">
        <v>869</v>
      </c>
    </row>
    <row r="148" spans="1:3" s="588" customFormat="1">
      <c r="A148" s="587">
        <v>7.2</v>
      </c>
      <c r="B148" s="581" t="s">
        <v>870</v>
      </c>
      <c r="C148" s="842"/>
    </row>
    <row r="149" spans="1:3" s="588" customFormat="1">
      <c r="A149" s="587">
        <v>7.3</v>
      </c>
      <c r="B149" s="581" t="s">
        <v>871</v>
      </c>
      <c r="C149" s="842"/>
    </row>
    <row r="150" spans="1:3" s="588" customFormat="1">
      <c r="A150" s="587">
        <v>7.4</v>
      </c>
      <c r="B150" s="581" t="s">
        <v>872</v>
      </c>
      <c r="C150" s="842"/>
    </row>
    <row r="151" spans="1:3" s="588" customFormat="1">
      <c r="A151" s="587">
        <v>7.5</v>
      </c>
      <c r="B151" s="581" t="s">
        <v>873</v>
      </c>
      <c r="C151" s="842"/>
    </row>
    <row r="152" spans="1:3" s="588" customFormat="1">
      <c r="A152" s="587">
        <v>7.6</v>
      </c>
      <c r="B152" s="581" t="s">
        <v>945</v>
      </c>
      <c r="C152" s="843"/>
    </row>
    <row r="153" spans="1:3" s="588" customFormat="1" ht="22.5">
      <c r="A153" s="587">
        <v>7.7</v>
      </c>
      <c r="B153" s="581" t="s">
        <v>874</v>
      </c>
      <c r="C153" s="589" t="s">
        <v>875</v>
      </c>
    </row>
    <row r="154" spans="1:3" s="588" customFormat="1" ht="22.5">
      <c r="A154" s="587">
        <v>7.8</v>
      </c>
      <c r="B154" s="581" t="s">
        <v>876</v>
      </c>
      <c r="C154" s="589" t="s">
        <v>877</v>
      </c>
    </row>
    <row r="155" spans="1:3">
      <c r="A155" s="569"/>
      <c r="B155" s="837" t="s">
        <v>878</v>
      </c>
      <c r="C155" s="838"/>
    </row>
    <row r="156" spans="1:3">
      <c r="A156" s="587">
        <v>1</v>
      </c>
      <c r="B156" s="793" t="s">
        <v>1017</v>
      </c>
      <c r="C156" s="794"/>
    </row>
    <row r="157" spans="1:3" ht="25.15" customHeight="1">
      <c r="A157" s="587">
        <v>2</v>
      </c>
      <c r="B157" s="793" t="s">
        <v>953</v>
      </c>
      <c r="C157" s="794"/>
    </row>
    <row r="158" spans="1:3">
      <c r="A158" s="587">
        <v>3</v>
      </c>
      <c r="B158" s="793" t="s">
        <v>944</v>
      </c>
      <c r="C158" s="794"/>
    </row>
    <row r="159" spans="1:3">
      <c r="A159" s="569"/>
      <c r="B159" s="837" t="s">
        <v>879</v>
      </c>
      <c r="C159" s="838"/>
    </row>
    <row r="160" spans="1:3" ht="39" customHeight="1">
      <c r="A160" s="587">
        <v>1</v>
      </c>
      <c r="B160" s="839" t="s">
        <v>1018</v>
      </c>
      <c r="C160" s="840"/>
    </row>
    <row r="161" spans="1:3" ht="22.5">
      <c r="A161" s="587">
        <v>3</v>
      </c>
      <c r="B161" s="581" t="s">
        <v>684</v>
      </c>
      <c r="C161" s="589" t="s">
        <v>880</v>
      </c>
    </row>
    <row r="162" spans="1:3" ht="22.5">
      <c r="A162" s="587">
        <v>4</v>
      </c>
      <c r="B162" s="581" t="s">
        <v>685</v>
      </c>
      <c r="C162" s="589" t="s">
        <v>881</v>
      </c>
    </row>
    <row r="163" spans="1:3" ht="33.75">
      <c r="A163" s="587">
        <v>5</v>
      </c>
      <c r="B163" s="581" t="s">
        <v>686</v>
      </c>
      <c r="C163" s="589" t="s">
        <v>882</v>
      </c>
    </row>
    <row r="164" spans="1:3">
      <c r="A164" s="587">
        <v>6</v>
      </c>
      <c r="B164" s="581" t="s">
        <v>687</v>
      </c>
      <c r="C164" s="581" t="s">
        <v>883</v>
      </c>
    </row>
    <row r="165" spans="1:3">
      <c r="A165" s="569"/>
      <c r="B165" s="837" t="s">
        <v>884</v>
      </c>
      <c r="C165" s="838"/>
    </row>
    <row r="166" spans="1:3" ht="45">
      <c r="A166" s="587"/>
      <c r="B166" s="581" t="s">
        <v>885</v>
      </c>
      <c r="C166" s="590" t="s">
        <v>1019</v>
      </c>
    </row>
    <row r="167" spans="1:3">
      <c r="A167" s="587"/>
      <c r="B167" s="581" t="s">
        <v>686</v>
      </c>
      <c r="C167" s="589" t="s">
        <v>886</v>
      </c>
    </row>
    <row r="168" spans="1:3">
      <c r="A168" s="569"/>
      <c r="B168" s="837" t="s">
        <v>887</v>
      </c>
      <c r="C168" s="838"/>
    </row>
    <row r="169" spans="1:3" ht="26.65" customHeight="1">
      <c r="A169" s="569"/>
      <c r="B169" s="793" t="s">
        <v>1020</v>
      </c>
      <c r="C169" s="794"/>
    </row>
    <row r="170" spans="1:3">
      <c r="A170" s="569" t="s">
        <v>888</v>
      </c>
      <c r="B170" s="459" t="s">
        <v>744</v>
      </c>
      <c r="C170" s="460" t="s">
        <v>889</v>
      </c>
    </row>
    <row r="171" spans="1:3">
      <c r="A171" s="569" t="s">
        <v>538</v>
      </c>
      <c r="B171" s="461" t="s">
        <v>745</v>
      </c>
      <c r="C171" s="589" t="s">
        <v>890</v>
      </c>
    </row>
    <row r="172" spans="1:3" ht="22.5">
      <c r="A172" s="569" t="s">
        <v>545</v>
      </c>
      <c r="B172" s="460" t="s">
        <v>746</v>
      </c>
      <c r="C172" s="589" t="s">
        <v>891</v>
      </c>
    </row>
    <row r="173" spans="1:3">
      <c r="A173" s="569" t="s">
        <v>892</v>
      </c>
      <c r="B173" s="461" t="s">
        <v>747</v>
      </c>
      <c r="C173" s="461" t="s">
        <v>893</v>
      </c>
    </row>
    <row r="174" spans="1:3" ht="22.5">
      <c r="A174" s="569" t="s">
        <v>894</v>
      </c>
      <c r="B174" s="462" t="s">
        <v>748</v>
      </c>
      <c r="C174" s="462" t="s">
        <v>895</v>
      </c>
    </row>
    <row r="175" spans="1:3" ht="22.5">
      <c r="A175" s="569" t="s">
        <v>546</v>
      </c>
      <c r="B175" s="462" t="s">
        <v>749</v>
      </c>
      <c r="C175" s="462" t="s">
        <v>896</v>
      </c>
    </row>
    <row r="176" spans="1:3" ht="22.5">
      <c r="A176" s="569" t="s">
        <v>897</v>
      </c>
      <c r="B176" s="462" t="s">
        <v>750</v>
      </c>
      <c r="C176" s="462" t="s">
        <v>898</v>
      </c>
    </row>
    <row r="177" spans="1:3" ht="22.5">
      <c r="A177" s="569" t="s">
        <v>899</v>
      </c>
      <c r="B177" s="462" t="s">
        <v>751</v>
      </c>
      <c r="C177" s="462" t="s">
        <v>901</v>
      </c>
    </row>
    <row r="178" spans="1:3" ht="22.5">
      <c r="A178" s="569" t="s">
        <v>900</v>
      </c>
      <c r="B178" s="462" t="s">
        <v>752</v>
      </c>
      <c r="C178" s="462" t="s">
        <v>903</v>
      </c>
    </row>
    <row r="179" spans="1:3" ht="22.5">
      <c r="A179" s="569" t="s">
        <v>902</v>
      </c>
      <c r="B179" s="462" t="s">
        <v>753</v>
      </c>
      <c r="C179" s="591" t="s">
        <v>905</v>
      </c>
    </row>
    <row r="180" spans="1:3" ht="22.5">
      <c r="A180" s="569" t="s">
        <v>904</v>
      </c>
      <c r="B180" s="469" t="s">
        <v>754</v>
      </c>
      <c r="C180" s="591" t="s">
        <v>907</v>
      </c>
    </row>
    <row r="181" spans="1:3" ht="22.5">
      <c r="A181" s="569" t="s">
        <v>906</v>
      </c>
      <c r="B181" s="462" t="s">
        <v>755</v>
      </c>
      <c r="C181" s="463" t="s">
        <v>909</v>
      </c>
    </row>
    <row r="182" spans="1:3">
      <c r="A182" s="592" t="s">
        <v>908</v>
      </c>
      <c r="B182" s="464" t="s">
        <v>756</v>
      </c>
      <c r="C182" s="460" t="s">
        <v>910</v>
      </c>
    </row>
    <row r="183" spans="1:3" ht="22.5">
      <c r="A183" s="569"/>
      <c r="B183" s="462" t="s">
        <v>911</v>
      </c>
      <c r="C183" s="583" t="s">
        <v>912</v>
      </c>
    </row>
    <row r="184" spans="1:3" ht="22.5">
      <c r="A184" s="569"/>
      <c r="B184" s="462" t="s">
        <v>913</v>
      </c>
      <c r="C184" s="583" t="s">
        <v>914</v>
      </c>
    </row>
    <row r="185" spans="1:3" ht="22.5">
      <c r="A185" s="569"/>
      <c r="B185" s="462" t="s">
        <v>915</v>
      </c>
      <c r="C185" s="583" t="s">
        <v>916</v>
      </c>
    </row>
    <row r="186" spans="1:3">
      <c r="A186" s="569"/>
      <c r="B186" s="837" t="s">
        <v>917</v>
      </c>
      <c r="C186" s="838"/>
    </row>
    <row r="187" spans="1:3" ht="49.9" customHeight="1">
      <c r="A187" s="569"/>
      <c r="B187" s="793" t="s">
        <v>1021</v>
      </c>
      <c r="C187" s="794"/>
    </row>
    <row r="188" spans="1:3">
      <c r="A188" s="587">
        <v>1</v>
      </c>
      <c r="B188" s="582" t="s">
        <v>776</v>
      </c>
      <c r="C188" s="582" t="s">
        <v>776</v>
      </c>
    </row>
    <row r="189" spans="1:3" ht="33.75">
      <c r="A189" s="587">
        <v>2</v>
      </c>
      <c r="B189" s="582" t="s">
        <v>918</v>
      </c>
      <c r="C189" s="582" t="s">
        <v>919</v>
      </c>
    </row>
    <row r="190" spans="1:3">
      <c r="A190" s="587">
        <v>3</v>
      </c>
      <c r="B190" s="582" t="s">
        <v>778</v>
      </c>
      <c r="C190" s="582" t="s">
        <v>920</v>
      </c>
    </row>
    <row r="191" spans="1:3" ht="22.5">
      <c r="A191" s="587">
        <v>4</v>
      </c>
      <c r="B191" s="582" t="s">
        <v>779</v>
      </c>
      <c r="C191" s="582" t="s">
        <v>921</v>
      </c>
    </row>
    <row r="192" spans="1:3" ht="22.5">
      <c r="A192" s="587">
        <v>5</v>
      </c>
      <c r="B192" s="582" t="s">
        <v>780</v>
      </c>
      <c r="C192" s="582" t="s">
        <v>1022</v>
      </c>
    </row>
    <row r="193" spans="1:4" ht="45">
      <c r="A193" s="587">
        <v>6</v>
      </c>
      <c r="B193" s="582" t="s">
        <v>781</v>
      </c>
      <c r="C193" s="582" t="s">
        <v>922</v>
      </c>
    </row>
    <row r="194" spans="1:4">
      <c r="A194" s="569"/>
      <c r="B194" s="837" t="s">
        <v>923</v>
      </c>
      <c r="C194" s="838"/>
    </row>
    <row r="195" spans="1:4" ht="25.9" customHeight="1">
      <c r="A195" s="569"/>
      <c r="B195" s="847" t="s">
        <v>946</v>
      </c>
      <c r="C195" s="839"/>
    </row>
    <row r="196" spans="1:4" ht="22.5">
      <c r="A196" s="569">
        <v>1.1000000000000001</v>
      </c>
      <c r="B196" s="465" t="s">
        <v>791</v>
      </c>
      <c r="C196" s="582" t="s">
        <v>924</v>
      </c>
      <c r="D196" s="593"/>
    </row>
    <row r="197" spans="1:4" ht="12.75">
      <c r="A197" s="569" t="s">
        <v>252</v>
      </c>
      <c r="B197" s="466" t="s">
        <v>792</v>
      </c>
      <c r="C197" s="582" t="s">
        <v>925</v>
      </c>
      <c r="D197" s="594"/>
    </row>
    <row r="198" spans="1:4" ht="12.75">
      <c r="A198" s="569" t="s">
        <v>793</v>
      </c>
      <c r="B198" s="595" t="s">
        <v>794</v>
      </c>
      <c r="C198" s="802" t="s">
        <v>947</v>
      </c>
      <c r="D198" s="596"/>
    </row>
    <row r="199" spans="1:4" ht="12.75">
      <c r="A199" s="569" t="s">
        <v>795</v>
      </c>
      <c r="B199" s="595" t="s">
        <v>796</v>
      </c>
      <c r="C199" s="802"/>
      <c r="D199" s="596"/>
    </row>
    <row r="200" spans="1:4" ht="12.75">
      <c r="A200" s="569" t="s">
        <v>797</v>
      </c>
      <c r="B200" s="595" t="s">
        <v>798</v>
      </c>
      <c r="C200" s="802"/>
      <c r="D200" s="596"/>
    </row>
    <row r="201" spans="1:4" ht="12.75">
      <c r="A201" s="569" t="s">
        <v>799</v>
      </c>
      <c r="B201" s="595" t="s">
        <v>800</v>
      </c>
      <c r="C201" s="802"/>
      <c r="D201" s="596"/>
    </row>
    <row r="202" spans="1:4" ht="22.5">
      <c r="A202" s="569">
        <v>1.2</v>
      </c>
      <c r="B202" s="597" t="s">
        <v>801</v>
      </c>
      <c r="C202" s="581" t="s">
        <v>926</v>
      </c>
      <c r="D202" s="598"/>
    </row>
    <row r="203" spans="1:4" ht="22.5">
      <c r="A203" s="569" t="s">
        <v>803</v>
      </c>
      <c r="B203" s="599" t="s">
        <v>804</v>
      </c>
      <c r="C203" s="600" t="s">
        <v>927</v>
      </c>
      <c r="D203" s="601"/>
    </row>
    <row r="204" spans="1:4" ht="23.25">
      <c r="A204" s="569" t="s">
        <v>805</v>
      </c>
      <c r="B204" s="602" t="s">
        <v>806</v>
      </c>
      <c r="C204" s="600" t="s">
        <v>928</v>
      </c>
      <c r="D204" s="603"/>
    </row>
    <row r="205" spans="1:4" ht="12.75">
      <c r="A205" s="569" t="s">
        <v>807</v>
      </c>
      <c r="B205" s="604" t="s">
        <v>808</v>
      </c>
      <c r="C205" s="581" t="s">
        <v>929</v>
      </c>
      <c r="D205" s="601"/>
    </row>
    <row r="206" spans="1:4" ht="18" customHeight="1">
      <c r="A206" s="569" t="s">
        <v>809</v>
      </c>
      <c r="B206" s="605" t="s">
        <v>810</v>
      </c>
      <c r="C206" s="581" t="s">
        <v>930</v>
      </c>
      <c r="D206" s="603"/>
    </row>
    <row r="207" spans="1:4" ht="22.5">
      <c r="A207" s="569">
        <v>1.4</v>
      </c>
      <c r="B207" s="599" t="s">
        <v>942</v>
      </c>
      <c r="C207" s="606" t="s">
        <v>931</v>
      </c>
      <c r="D207" s="607"/>
    </row>
    <row r="208" spans="1:4" ht="12.75">
      <c r="A208" s="569">
        <v>1.5</v>
      </c>
      <c r="B208" s="599" t="s">
        <v>943</v>
      </c>
      <c r="C208" s="606" t="s">
        <v>931</v>
      </c>
      <c r="D208" s="607"/>
    </row>
    <row r="209" spans="1:3">
      <c r="A209" s="569"/>
      <c r="B209" s="830" t="s">
        <v>932</v>
      </c>
      <c r="C209" s="830"/>
    </row>
    <row r="210" spans="1:3" ht="24.4" customHeight="1">
      <c r="A210" s="569"/>
      <c r="B210" s="847" t="s">
        <v>933</v>
      </c>
      <c r="C210" s="847"/>
    </row>
    <row r="211" spans="1:3" ht="22.5">
      <c r="A211" s="587"/>
      <c r="B211" s="581" t="s">
        <v>684</v>
      </c>
      <c r="C211" s="589" t="s">
        <v>880</v>
      </c>
    </row>
    <row r="212" spans="1:3" ht="22.5">
      <c r="A212" s="587"/>
      <c r="B212" s="581" t="s">
        <v>685</v>
      </c>
      <c r="C212" s="589" t="s">
        <v>881</v>
      </c>
    </row>
    <row r="213" spans="1:3" ht="22.5">
      <c r="A213" s="569"/>
      <c r="B213" s="581" t="s">
        <v>686</v>
      </c>
      <c r="C213" s="589" t="s">
        <v>934</v>
      </c>
    </row>
    <row r="214" spans="1:3">
      <c r="A214" s="569"/>
      <c r="B214" s="830" t="s">
        <v>935</v>
      </c>
      <c r="C214" s="830"/>
    </row>
    <row r="215" spans="1:3" ht="39.4" customHeight="1">
      <c r="A215" s="587"/>
      <c r="B215" s="847" t="s">
        <v>948</v>
      </c>
      <c r="C215" s="847"/>
    </row>
    <row r="216" spans="1:3">
      <c r="B216" s="830" t="s">
        <v>1023</v>
      </c>
      <c r="C216" s="830"/>
    </row>
    <row r="217" spans="1:3" ht="25.5">
      <c r="A217" s="559">
        <v>1</v>
      </c>
      <c r="B217" s="609" t="s">
        <v>1000</v>
      </c>
      <c r="C217" s="609" t="s">
        <v>1024</v>
      </c>
    </row>
    <row r="218" spans="1:3" ht="12.75">
      <c r="A218" s="559">
        <v>2</v>
      </c>
      <c r="B218" s="609" t="s">
        <v>1001</v>
      </c>
      <c r="C218" s="609" t="s">
        <v>1025</v>
      </c>
    </row>
    <row r="219" spans="1:3" ht="25.5">
      <c r="A219" s="559">
        <v>3</v>
      </c>
      <c r="B219" s="609" t="s">
        <v>1002</v>
      </c>
      <c r="C219" s="609" t="s">
        <v>1026</v>
      </c>
    </row>
    <row r="220" spans="1:3" ht="12.75">
      <c r="A220" s="559">
        <v>4</v>
      </c>
      <c r="B220" s="609" t="s">
        <v>1003</v>
      </c>
      <c r="C220" s="609" t="s">
        <v>1027</v>
      </c>
    </row>
    <row r="221" spans="1:3" ht="25.5">
      <c r="A221" s="559">
        <v>5</v>
      </c>
      <c r="B221" s="609" t="s">
        <v>1004</v>
      </c>
      <c r="C221" s="609" t="s">
        <v>1028</v>
      </c>
    </row>
    <row r="222" spans="1:3" ht="12.75">
      <c r="A222" s="559">
        <v>6</v>
      </c>
      <c r="B222" s="609" t="s">
        <v>1005</v>
      </c>
      <c r="C222" s="609" t="s">
        <v>1029</v>
      </c>
    </row>
    <row r="223" spans="1:3" ht="25.5">
      <c r="A223" s="559">
        <v>7</v>
      </c>
      <c r="B223" s="609" t="s">
        <v>1006</v>
      </c>
      <c r="C223" s="609" t="s">
        <v>1030</v>
      </c>
    </row>
    <row r="224" spans="1:3" ht="12.75">
      <c r="A224" s="559">
        <v>7.1</v>
      </c>
      <c r="B224" s="610" t="s">
        <v>1007</v>
      </c>
      <c r="C224" s="609" t="s">
        <v>1031</v>
      </c>
    </row>
    <row r="225" spans="1:3" ht="25.5">
      <c r="A225" s="559">
        <v>7.2</v>
      </c>
      <c r="B225" s="610" t="s">
        <v>1008</v>
      </c>
      <c r="C225" s="609" t="s">
        <v>1032</v>
      </c>
    </row>
    <row r="226" spans="1:3" ht="12.75">
      <c r="A226" s="559">
        <v>7.3</v>
      </c>
      <c r="B226" s="611" t="s">
        <v>1009</v>
      </c>
      <c r="C226" s="609" t="s">
        <v>1033</v>
      </c>
    </row>
    <row r="227" spans="1:3" ht="12.75">
      <c r="A227" s="559">
        <v>8</v>
      </c>
      <c r="B227" s="609" t="s">
        <v>1010</v>
      </c>
      <c r="C227" s="609" t="s">
        <v>1034</v>
      </c>
    </row>
    <row r="228" spans="1:3" ht="12.75">
      <c r="A228" s="559">
        <v>9</v>
      </c>
      <c r="B228" s="609" t="s">
        <v>1011</v>
      </c>
      <c r="C228" s="609" t="s">
        <v>1035</v>
      </c>
    </row>
    <row r="229" spans="1:3" ht="25.5">
      <c r="A229" s="559">
        <v>10.1</v>
      </c>
      <c r="B229" s="612" t="s">
        <v>1036</v>
      </c>
      <c r="C229" s="609" t="s">
        <v>1037</v>
      </c>
    </row>
    <row r="230" spans="1:3" ht="12.75">
      <c r="A230" s="844"/>
      <c r="B230" s="613" t="s">
        <v>786</v>
      </c>
      <c r="C230" s="609" t="s">
        <v>1038</v>
      </c>
    </row>
    <row r="231" spans="1:3" ht="25.5">
      <c r="A231" s="845"/>
      <c r="B231" s="613" t="s">
        <v>994</v>
      </c>
      <c r="C231" s="609" t="s">
        <v>1039</v>
      </c>
    </row>
    <row r="232" spans="1:3" ht="12.75">
      <c r="A232" s="845"/>
      <c r="B232" s="613" t="s">
        <v>995</v>
      </c>
      <c r="C232" s="609" t="s">
        <v>1040</v>
      </c>
    </row>
    <row r="233" spans="1:3" ht="24">
      <c r="A233" s="845"/>
      <c r="B233" s="613" t="s">
        <v>996</v>
      </c>
      <c r="C233" s="428" t="s">
        <v>1041</v>
      </c>
    </row>
    <row r="234" spans="1:3" ht="40.5" customHeight="1">
      <c r="A234" s="845"/>
      <c r="B234" s="613" t="s">
        <v>997</v>
      </c>
      <c r="C234" s="609" t="s">
        <v>1042</v>
      </c>
    </row>
    <row r="235" spans="1:3" ht="24" customHeight="1">
      <c r="A235" s="845"/>
      <c r="B235" s="613" t="s">
        <v>998</v>
      </c>
      <c r="C235" s="609" t="s">
        <v>1043</v>
      </c>
    </row>
    <row r="236" spans="1:3" ht="25.5">
      <c r="A236" s="846"/>
      <c r="B236" s="613" t="s">
        <v>999</v>
      </c>
      <c r="C236" s="609" t="s">
        <v>1044</v>
      </c>
    </row>
  </sheetData>
  <mergeCells count="133">
    <mergeCell ref="B216:C216"/>
    <mergeCell ref="A230:A23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53" activePane="bottomRight" state="frozen"/>
      <selection activeCell="B2" sqref="B2"/>
      <selection pane="topRight" activeCell="B2" sqref="B2"/>
      <selection pane="bottomLeft" activeCell="B2" sqref="B2"/>
      <selection pane="bottomRight" activeCell="C8" sqref="C8:D67"/>
    </sheetView>
  </sheetViews>
  <sheetFormatPr defaultColWidth="9.28515625" defaultRowHeight="15"/>
  <cols>
    <col min="1" max="1" width="9.5703125" style="1" bestFit="1" customWidth="1"/>
    <col min="2" max="2" width="89.28515625" style="1" customWidth="1"/>
    <col min="3" max="8" width="12.7109375" style="1" customWidth="1"/>
    <col min="9" max="9" width="8.7109375" customWidth="1"/>
    <col min="10" max="16384" width="9.28515625" style="9"/>
  </cols>
  <sheetData>
    <row r="1" spans="1:8" ht="15.75">
      <c r="A1" s="14" t="s">
        <v>188</v>
      </c>
      <c r="B1" s="13" t="str">
        <f>Info!C2</f>
        <v>სს "ბანკი ქართუ"</v>
      </c>
      <c r="C1" s="13"/>
    </row>
    <row r="2" spans="1:8" ht="15.75">
      <c r="A2" s="14" t="s">
        <v>189</v>
      </c>
      <c r="B2" s="641">
        <f>'1. key ratios'!B2</f>
        <v>44926</v>
      </c>
      <c r="C2" s="13"/>
    </row>
    <row r="3" spans="1:8" ht="15.75">
      <c r="A3" s="14"/>
      <c r="B3" s="13"/>
      <c r="C3" s="13"/>
    </row>
    <row r="4" spans="1:8" ht="16.5" thickBot="1">
      <c r="A4" s="15" t="s">
        <v>407</v>
      </c>
      <c r="B4" s="24" t="s">
        <v>222</v>
      </c>
      <c r="C4" s="26"/>
      <c r="D4" s="26"/>
      <c r="E4" s="26"/>
      <c r="F4" s="15"/>
      <c r="G4" s="15"/>
      <c r="H4" s="40" t="s">
        <v>93</v>
      </c>
    </row>
    <row r="5" spans="1:8" ht="15.75">
      <c r="A5" s="111"/>
      <c r="B5" s="112"/>
      <c r="C5" s="690" t="s">
        <v>194</v>
      </c>
      <c r="D5" s="691"/>
      <c r="E5" s="692"/>
      <c r="F5" s="690" t="s">
        <v>195</v>
      </c>
      <c r="G5" s="691"/>
      <c r="H5" s="693"/>
    </row>
    <row r="6" spans="1:8">
      <c r="A6" s="113" t="s">
        <v>26</v>
      </c>
      <c r="B6" s="41"/>
      <c r="C6" s="42" t="s">
        <v>27</v>
      </c>
      <c r="D6" s="42" t="s">
        <v>96</v>
      </c>
      <c r="E6" s="42" t="s">
        <v>68</v>
      </c>
      <c r="F6" s="42" t="s">
        <v>27</v>
      </c>
      <c r="G6" s="42" t="s">
        <v>96</v>
      </c>
      <c r="H6" s="114" t="s">
        <v>68</v>
      </c>
    </row>
    <row r="7" spans="1:8">
      <c r="A7" s="115"/>
      <c r="B7" s="44" t="s">
        <v>92</v>
      </c>
      <c r="C7" s="45"/>
      <c r="D7" s="45"/>
      <c r="E7" s="45"/>
      <c r="F7" s="45"/>
      <c r="G7" s="45"/>
      <c r="H7" s="116"/>
    </row>
    <row r="8" spans="1:8" ht="15.75">
      <c r="A8" s="115">
        <v>1</v>
      </c>
      <c r="B8" s="46" t="s">
        <v>97</v>
      </c>
      <c r="C8" s="626">
        <v>2882359</v>
      </c>
      <c r="D8" s="626">
        <v>2555754</v>
      </c>
      <c r="E8" s="627">
        <f>C8+D8</f>
        <v>5438113</v>
      </c>
      <c r="F8" s="626">
        <v>2115958</v>
      </c>
      <c r="G8" s="626">
        <v>-575910</v>
      </c>
      <c r="H8" s="491">
        <f>F8+G8</f>
        <v>1540048</v>
      </c>
    </row>
    <row r="9" spans="1:8" ht="15.75">
      <c r="A9" s="115">
        <v>2</v>
      </c>
      <c r="B9" s="46" t="s">
        <v>98</v>
      </c>
      <c r="C9" s="628">
        <f>SUM(C10:C18)</f>
        <v>37407204</v>
      </c>
      <c r="D9" s="628">
        <f>SUM(D10:D18)</f>
        <v>37453127</v>
      </c>
      <c r="E9" s="627">
        <f t="shared" ref="E9:E67" si="0">C9+D9</f>
        <v>74860331</v>
      </c>
      <c r="F9" s="628">
        <f>SUM(F10:F18)</f>
        <v>29120719</v>
      </c>
      <c r="G9" s="628">
        <f>SUM(G10:G18)</f>
        <v>47277553</v>
      </c>
      <c r="H9" s="491">
        <f t="shared" ref="H9:H67" si="1">F9+G9</f>
        <v>76398272</v>
      </c>
    </row>
    <row r="10" spans="1:8" ht="15.75">
      <c r="A10" s="115">
        <v>2.1</v>
      </c>
      <c r="B10" s="47" t="s">
        <v>99</v>
      </c>
      <c r="C10" s="626">
        <v>0</v>
      </c>
      <c r="D10" s="626">
        <v>0</v>
      </c>
      <c r="E10" s="627">
        <f t="shared" si="0"/>
        <v>0</v>
      </c>
      <c r="F10" s="626">
        <v>0</v>
      </c>
      <c r="G10" s="626">
        <v>0</v>
      </c>
      <c r="H10" s="491">
        <f t="shared" si="1"/>
        <v>0</v>
      </c>
    </row>
    <row r="11" spans="1:8" ht="15.75">
      <c r="A11" s="115">
        <v>2.2000000000000002</v>
      </c>
      <c r="B11" s="47" t="s">
        <v>100</v>
      </c>
      <c r="C11" s="626">
        <v>15794024.359999998</v>
      </c>
      <c r="D11" s="626">
        <v>11429297.739999998</v>
      </c>
      <c r="E11" s="627">
        <f t="shared" si="0"/>
        <v>27223322.099999994</v>
      </c>
      <c r="F11" s="626">
        <v>12690353.439999999</v>
      </c>
      <c r="G11" s="626">
        <v>16600942.050000001</v>
      </c>
      <c r="H11" s="491">
        <f t="shared" si="1"/>
        <v>29291295.490000002</v>
      </c>
    </row>
    <row r="12" spans="1:8" ht="15.75">
      <c r="A12" s="115">
        <v>2.2999999999999998</v>
      </c>
      <c r="B12" s="47" t="s">
        <v>101</v>
      </c>
      <c r="C12" s="626">
        <v>0</v>
      </c>
      <c r="D12" s="626">
        <v>15013.66</v>
      </c>
      <c r="E12" s="627">
        <f t="shared" si="0"/>
        <v>15013.66</v>
      </c>
      <c r="F12" s="626">
        <v>0</v>
      </c>
      <c r="G12" s="626">
        <v>18247.32</v>
      </c>
      <c r="H12" s="491">
        <f t="shared" si="1"/>
        <v>18247.32</v>
      </c>
    </row>
    <row r="13" spans="1:8" ht="15.75">
      <c r="A13" s="115">
        <v>2.4</v>
      </c>
      <c r="B13" s="47" t="s">
        <v>102</v>
      </c>
      <c r="C13" s="626">
        <v>719917.25</v>
      </c>
      <c r="D13" s="626">
        <v>2489621.4299999992</v>
      </c>
      <c r="E13" s="627">
        <f t="shared" si="0"/>
        <v>3209538.6799999992</v>
      </c>
      <c r="F13" s="626">
        <v>1412676.31</v>
      </c>
      <c r="G13" s="626">
        <v>3431039.7200000007</v>
      </c>
      <c r="H13" s="491">
        <f t="shared" si="1"/>
        <v>4843716.0300000012</v>
      </c>
    </row>
    <row r="14" spans="1:8" ht="15.75">
      <c r="A14" s="115">
        <v>2.5</v>
      </c>
      <c r="B14" s="47" t="s">
        <v>103</v>
      </c>
      <c r="C14" s="626">
        <v>3032483.95</v>
      </c>
      <c r="D14" s="626">
        <v>6677545.7699999996</v>
      </c>
      <c r="E14" s="627">
        <f t="shared" si="0"/>
        <v>9710029.7199999988</v>
      </c>
      <c r="F14" s="626">
        <v>4933885.05</v>
      </c>
      <c r="G14" s="626">
        <v>6601877.1899999995</v>
      </c>
      <c r="H14" s="491">
        <f t="shared" si="1"/>
        <v>11535762.239999998</v>
      </c>
    </row>
    <row r="15" spans="1:8" ht="15.75">
      <c r="A15" s="115">
        <v>2.6</v>
      </c>
      <c r="B15" s="47" t="s">
        <v>104</v>
      </c>
      <c r="C15" s="626">
        <v>11681966.520000001</v>
      </c>
      <c r="D15" s="626">
        <v>6003469.96</v>
      </c>
      <c r="E15" s="627">
        <f t="shared" si="0"/>
        <v>17685436.48</v>
      </c>
      <c r="F15" s="626">
        <v>6235380.9900000002</v>
      </c>
      <c r="G15" s="626">
        <v>4442201.9400000004</v>
      </c>
      <c r="H15" s="491">
        <f t="shared" si="1"/>
        <v>10677582.93</v>
      </c>
    </row>
    <row r="16" spans="1:8" ht="15.75">
      <c r="A16" s="115">
        <v>2.7</v>
      </c>
      <c r="B16" s="47" t="s">
        <v>105</v>
      </c>
      <c r="C16" s="626">
        <v>2189.0499999999997</v>
      </c>
      <c r="D16" s="626">
        <v>177790.42</v>
      </c>
      <c r="E16" s="627">
        <f t="shared" si="0"/>
        <v>179979.47</v>
      </c>
      <c r="F16" s="626">
        <v>5437.37</v>
      </c>
      <c r="G16" s="626">
        <v>194791.34000000003</v>
      </c>
      <c r="H16" s="491">
        <f t="shared" si="1"/>
        <v>200228.71000000002</v>
      </c>
    </row>
    <row r="17" spans="1:8" ht="15.75">
      <c r="A17" s="115">
        <v>2.8</v>
      </c>
      <c r="B17" s="47" t="s">
        <v>106</v>
      </c>
      <c r="C17" s="626">
        <v>1954357</v>
      </c>
      <c r="D17" s="626">
        <v>3419077</v>
      </c>
      <c r="E17" s="627">
        <f t="shared" si="0"/>
        <v>5373434</v>
      </c>
      <c r="F17" s="626">
        <v>1568708</v>
      </c>
      <c r="G17" s="626">
        <v>3177965</v>
      </c>
      <c r="H17" s="491">
        <f t="shared" si="1"/>
        <v>4746673</v>
      </c>
    </row>
    <row r="18" spans="1:8" ht="15.75">
      <c r="A18" s="115">
        <v>2.9</v>
      </c>
      <c r="B18" s="47" t="s">
        <v>107</v>
      </c>
      <c r="C18" s="626">
        <v>4222265.870000001</v>
      </c>
      <c r="D18" s="626">
        <v>7241311.0199999996</v>
      </c>
      <c r="E18" s="627">
        <f t="shared" si="0"/>
        <v>11463576.890000001</v>
      </c>
      <c r="F18" s="626">
        <v>2274277.84</v>
      </c>
      <c r="G18" s="626">
        <v>12810488.439999998</v>
      </c>
      <c r="H18" s="491">
        <f t="shared" si="1"/>
        <v>15084766.279999997</v>
      </c>
    </row>
    <row r="19" spans="1:8" ht="15.75">
      <c r="A19" s="115">
        <v>3</v>
      </c>
      <c r="B19" s="46" t="s">
        <v>108</v>
      </c>
      <c r="C19" s="626">
        <v>11801520</v>
      </c>
      <c r="D19" s="626">
        <v>996654</v>
      </c>
      <c r="E19" s="627">
        <f t="shared" si="0"/>
        <v>12798174</v>
      </c>
      <c r="F19" s="626">
        <v>903397</v>
      </c>
      <c r="G19" s="626">
        <v>3311859</v>
      </c>
      <c r="H19" s="491">
        <f t="shared" si="1"/>
        <v>4215256</v>
      </c>
    </row>
    <row r="20" spans="1:8" ht="15.75">
      <c r="A20" s="115">
        <v>4</v>
      </c>
      <c r="B20" s="46" t="s">
        <v>109</v>
      </c>
      <c r="C20" s="626">
        <v>3081714</v>
      </c>
      <c r="D20" s="626">
        <v>136526</v>
      </c>
      <c r="E20" s="627">
        <f t="shared" si="0"/>
        <v>3218240</v>
      </c>
      <c r="F20" s="626">
        <v>521011</v>
      </c>
      <c r="G20" s="626">
        <v>1771245</v>
      </c>
      <c r="H20" s="491">
        <f t="shared" si="1"/>
        <v>2292256</v>
      </c>
    </row>
    <row r="21" spans="1:8" ht="15.75">
      <c r="A21" s="115">
        <v>5</v>
      </c>
      <c r="B21" s="46" t="s">
        <v>110</v>
      </c>
      <c r="C21" s="626">
        <v>0</v>
      </c>
      <c r="D21" s="626">
        <v>55676</v>
      </c>
      <c r="E21" s="627">
        <f t="shared" si="0"/>
        <v>55676</v>
      </c>
      <c r="F21" s="626">
        <v>0</v>
      </c>
      <c r="G21" s="626">
        <v>1791</v>
      </c>
      <c r="H21" s="491">
        <f t="shared" si="1"/>
        <v>1791</v>
      </c>
    </row>
    <row r="22" spans="1:8" ht="15.75">
      <c r="A22" s="115">
        <v>6</v>
      </c>
      <c r="B22" s="48" t="s">
        <v>111</v>
      </c>
      <c r="C22" s="628">
        <f>C8+C9+C19+C20+C21</f>
        <v>55172797</v>
      </c>
      <c r="D22" s="628">
        <f>D8+D9+D19+D20+D21</f>
        <v>41197737</v>
      </c>
      <c r="E22" s="627">
        <f>C22+D22</f>
        <v>96370534</v>
      </c>
      <c r="F22" s="628">
        <f>F8+F9+F19+F20+F21</f>
        <v>32661085</v>
      </c>
      <c r="G22" s="628">
        <f>G8+G9+G19+G20+G21</f>
        <v>51786538</v>
      </c>
      <c r="H22" s="491">
        <f>F22+G22</f>
        <v>84447623</v>
      </c>
    </row>
    <row r="23" spans="1:8" ht="15.75">
      <c r="A23" s="115"/>
      <c r="B23" s="44" t="s">
        <v>90</v>
      </c>
      <c r="C23" s="626"/>
      <c r="D23" s="626"/>
      <c r="E23" s="629"/>
      <c r="F23" s="626"/>
      <c r="G23" s="626"/>
      <c r="H23" s="492"/>
    </row>
    <row r="24" spans="1:8" ht="15.75">
      <c r="A24" s="115">
        <v>7</v>
      </c>
      <c r="B24" s="46" t="s">
        <v>112</v>
      </c>
      <c r="C24" s="626">
        <v>1148114</v>
      </c>
      <c r="D24" s="626">
        <v>85435</v>
      </c>
      <c r="E24" s="627">
        <f t="shared" si="0"/>
        <v>1233549</v>
      </c>
      <c r="F24" s="626">
        <v>1082397</v>
      </c>
      <c r="G24" s="626">
        <v>-177301</v>
      </c>
      <c r="H24" s="491">
        <f t="shared" si="1"/>
        <v>905096</v>
      </c>
    </row>
    <row r="25" spans="1:8" ht="15.75">
      <c r="A25" s="115">
        <v>8</v>
      </c>
      <c r="B25" s="46" t="s">
        <v>113</v>
      </c>
      <c r="C25" s="626">
        <v>9640434</v>
      </c>
      <c r="D25" s="626">
        <v>11782208</v>
      </c>
      <c r="E25" s="627">
        <f t="shared" si="0"/>
        <v>21422642</v>
      </c>
      <c r="F25" s="626">
        <v>8281377</v>
      </c>
      <c r="G25" s="626">
        <v>16997895</v>
      </c>
      <c r="H25" s="491">
        <f t="shared" si="1"/>
        <v>25279272</v>
      </c>
    </row>
    <row r="26" spans="1:8" ht="15.75">
      <c r="A26" s="115">
        <v>9</v>
      </c>
      <c r="B26" s="46" t="s">
        <v>114</v>
      </c>
      <c r="C26" s="626">
        <v>39777</v>
      </c>
      <c r="D26" s="626">
        <v>14412</v>
      </c>
      <c r="E26" s="627">
        <f t="shared" si="0"/>
        <v>54189</v>
      </c>
      <c r="F26" s="626">
        <v>13058</v>
      </c>
      <c r="G26" s="626">
        <v>513</v>
      </c>
      <c r="H26" s="491">
        <f t="shared" si="1"/>
        <v>13571</v>
      </c>
    </row>
    <row r="27" spans="1:8" ht="15.75">
      <c r="A27" s="115">
        <v>10</v>
      </c>
      <c r="B27" s="46" t="s">
        <v>115</v>
      </c>
      <c r="C27" s="626">
        <v>0</v>
      </c>
      <c r="D27" s="626">
        <v>0</v>
      </c>
      <c r="E27" s="627">
        <f t="shared" si="0"/>
        <v>0</v>
      </c>
      <c r="F27" s="626">
        <v>0</v>
      </c>
      <c r="G27" s="626">
        <v>0</v>
      </c>
      <c r="H27" s="491">
        <f t="shared" si="1"/>
        <v>0</v>
      </c>
    </row>
    <row r="28" spans="1:8" ht="15.75">
      <c r="A28" s="115">
        <v>11</v>
      </c>
      <c r="B28" s="46" t="s">
        <v>116</v>
      </c>
      <c r="C28" s="626">
        <v>0</v>
      </c>
      <c r="D28" s="626">
        <v>6254027</v>
      </c>
      <c r="E28" s="627">
        <f t="shared" si="0"/>
        <v>6254027</v>
      </c>
      <c r="F28" s="626">
        <v>0</v>
      </c>
      <c r="G28" s="626">
        <v>9290869</v>
      </c>
      <c r="H28" s="491">
        <f t="shared" si="1"/>
        <v>9290869</v>
      </c>
    </row>
    <row r="29" spans="1:8" ht="15.75">
      <c r="A29" s="115">
        <v>12</v>
      </c>
      <c r="B29" s="46" t="s">
        <v>117</v>
      </c>
      <c r="C29" s="626"/>
      <c r="D29" s="626"/>
      <c r="E29" s="627">
        <f t="shared" si="0"/>
        <v>0</v>
      </c>
      <c r="F29" s="626"/>
      <c r="G29" s="626"/>
      <c r="H29" s="491">
        <f t="shared" si="1"/>
        <v>0</v>
      </c>
    </row>
    <row r="30" spans="1:8" ht="15.75">
      <c r="A30" s="115">
        <v>13</v>
      </c>
      <c r="B30" s="49" t="s">
        <v>118</v>
      </c>
      <c r="C30" s="628">
        <f>SUM(C24:C29)</f>
        <v>10828325</v>
      </c>
      <c r="D30" s="628">
        <f>SUM(D24:D29)</f>
        <v>18136082</v>
      </c>
      <c r="E30" s="627">
        <f t="shared" si="0"/>
        <v>28964407</v>
      </c>
      <c r="F30" s="628">
        <f>SUM(F24:F29)</f>
        <v>9376832</v>
      </c>
      <c r="G30" s="628">
        <f>SUM(G24:G29)</f>
        <v>26111976</v>
      </c>
      <c r="H30" s="491">
        <f t="shared" si="1"/>
        <v>35488808</v>
      </c>
    </row>
    <row r="31" spans="1:8" ht="15.75">
      <c r="A31" s="115">
        <v>14</v>
      </c>
      <c r="B31" s="49" t="s">
        <v>119</v>
      </c>
      <c r="C31" s="628">
        <f>C22-C30</f>
        <v>44344472</v>
      </c>
      <c r="D31" s="628">
        <f>D22-D30</f>
        <v>23061655</v>
      </c>
      <c r="E31" s="627">
        <f t="shared" si="0"/>
        <v>67406127</v>
      </c>
      <c r="F31" s="628">
        <f>F22-F30</f>
        <v>23284253</v>
      </c>
      <c r="G31" s="628">
        <f>G22-G30</f>
        <v>25674562</v>
      </c>
      <c r="H31" s="491">
        <f t="shared" si="1"/>
        <v>48958815</v>
      </c>
    </row>
    <row r="32" spans="1:8">
      <c r="A32" s="115"/>
      <c r="B32" s="44"/>
      <c r="C32" s="630"/>
      <c r="D32" s="630"/>
      <c r="E32" s="630"/>
      <c r="F32" s="630"/>
      <c r="G32" s="630"/>
      <c r="H32" s="493"/>
    </row>
    <row r="33" spans="1:8" ht="15.75">
      <c r="A33" s="115"/>
      <c r="B33" s="44" t="s">
        <v>120</v>
      </c>
      <c r="C33" s="626"/>
      <c r="D33" s="626"/>
      <c r="E33" s="629"/>
      <c r="F33" s="626"/>
      <c r="G33" s="626"/>
      <c r="H33" s="492"/>
    </row>
    <row r="34" spans="1:8" ht="15.75">
      <c r="A34" s="115">
        <v>15</v>
      </c>
      <c r="B34" s="43" t="s">
        <v>91</v>
      </c>
      <c r="C34" s="628">
        <f>C35-C36</f>
        <v>-298277</v>
      </c>
      <c r="D34" s="628">
        <f>D35-D36</f>
        <v>-2899252</v>
      </c>
      <c r="E34" s="627">
        <f t="shared" si="0"/>
        <v>-3197529</v>
      </c>
      <c r="F34" s="628">
        <f>F35-F36</f>
        <v>68514</v>
      </c>
      <c r="G34" s="628">
        <f>G35-G36</f>
        <v>-4458396</v>
      </c>
      <c r="H34" s="491">
        <f t="shared" si="1"/>
        <v>-4389882</v>
      </c>
    </row>
    <row r="35" spans="1:8" ht="15.75">
      <c r="A35" s="115">
        <v>15.1</v>
      </c>
      <c r="B35" s="47" t="s">
        <v>121</v>
      </c>
      <c r="C35" s="626">
        <v>2819326</v>
      </c>
      <c r="D35" s="626">
        <v>10969413</v>
      </c>
      <c r="E35" s="627">
        <f t="shared" si="0"/>
        <v>13788739</v>
      </c>
      <c r="F35" s="626">
        <v>3277417</v>
      </c>
      <c r="G35" s="626">
        <v>2175164</v>
      </c>
      <c r="H35" s="491">
        <f t="shared" si="1"/>
        <v>5452581</v>
      </c>
    </row>
    <row r="36" spans="1:8" ht="15.75">
      <c r="A36" s="115">
        <v>15.2</v>
      </c>
      <c r="B36" s="47" t="s">
        <v>122</v>
      </c>
      <c r="C36" s="626">
        <v>3117603</v>
      </c>
      <c r="D36" s="626">
        <v>13868665</v>
      </c>
      <c r="E36" s="627">
        <f t="shared" si="0"/>
        <v>16986268</v>
      </c>
      <c r="F36" s="626">
        <v>3208903</v>
      </c>
      <c r="G36" s="626">
        <v>6633560</v>
      </c>
      <c r="H36" s="491">
        <f t="shared" si="1"/>
        <v>9842463</v>
      </c>
    </row>
    <row r="37" spans="1:8" ht="15.75">
      <c r="A37" s="115">
        <v>16</v>
      </c>
      <c r="B37" s="46" t="s">
        <v>123</v>
      </c>
      <c r="C37" s="626">
        <v>0</v>
      </c>
      <c r="D37" s="626">
        <v>0</v>
      </c>
      <c r="E37" s="627">
        <f t="shared" si="0"/>
        <v>0</v>
      </c>
      <c r="F37" s="626">
        <v>138056</v>
      </c>
      <c r="G37" s="626">
        <v>0</v>
      </c>
      <c r="H37" s="491">
        <f t="shared" si="1"/>
        <v>138056</v>
      </c>
    </row>
    <row r="38" spans="1:8" ht="15.75">
      <c r="A38" s="115">
        <v>17</v>
      </c>
      <c r="B38" s="46" t="s">
        <v>124</v>
      </c>
      <c r="C38" s="626">
        <v>0</v>
      </c>
      <c r="D38" s="626">
        <v>0</v>
      </c>
      <c r="E38" s="627">
        <f t="shared" si="0"/>
        <v>0</v>
      </c>
      <c r="F38" s="626">
        <v>3321128</v>
      </c>
      <c r="G38" s="626">
        <v>0</v>
      </c>
      <c r="H38" s="491">
        <f t="shared" si="1"/>
        <v>3321128</v>
      </c>
    </row>
    <row r="39" spans="1:8" ht="15.75">
      <c r="A39" s="115">
        <v>18</v>
      </c>
      <c r="B39" s="46" t="s">
        <v>125</v>
      </c>
      <c r="C39" s="626">
        <v>-23397</v>
      </c>
      <c r="D39" s="626">
        <v>1083389</v>
      </c>
      <c r="E39" s="627">
        <f t="shared" si="0"/>
        <v>1059992</v>
      </c>
      <c r="F39" s="626">
        <v>-162700</v>
      </c>
      <c r="G39" s="626">
        <v>-4</v>
      </c>
      <c r="H39" s="491">
        <f t="shared" si="1"/>
        <v>-162704</v>
      </c>
    </row>
    <row r="40" spans="1:8" ht="15.75">
      <c r="A40" s="115">
        <v>19</v>
      </c>
      <c r="B40" s="46" t="s">
        <v>126</v>
      </c>
      <c r="C40" s="626">
        <v>6903822</v>
      </c>
      <c r="D40" s="626"/>
      <c r="E40" s="627">
        <f t="shared" si="0"/>
        <v>6903822</v>
      </c>
      <c r="F40" s="626">
        <v>3750037</v>
      </c>
      <c r="G40" s="626"/>
      <c r="H40" s="491">
        <f t="shared" si="1"/>
        <v>3750037</v>
      </c>
    </row>
    <row r="41" spans="1:8" ht="15.75">
      <c r="A41" s="115">
        <v>20</v>
      </c>
      <c r="B41" s="46" t="s">
        <v>127</v>
      </c>
      <c r="C41" s="626">
        <v>-5950330</v>
      </c>
      <c r="D41" s="626"/>
      <c r="E41" s="627">
        <f t="shared" si="0"/>
        <v>-5950330</v>
      </c>
      <c r="F41" s="626">
        <v>-3928568</v>
      </c>
      <c r="G41" s="626"/>
      <c r="H41" s="491">
        <f t="shared" si="1"/>
        <v>-3928568</v>
      </c>
    </row>
    <row r="42" spans="1:8" ht="15.75">
      <c r="A42" s="115">
        <v>21</v>
      </c>
      <c r="B42" s="46" t="s">
        <v>128</v>
      </c>
      <c r="C42" s="626">
        <v>10995</v>
      </c>
      <c r="D42" s="626">
        <v>0</v>
      </c>
      <c r="E42" s="627">
        <f t="shared" si="0"/>
        <v>10995</v>
      </c>
      <c r="F42" s="626">
        <v>13012</v>
      </c>
      <c r="G42" s="626">
        <v>0</v>
      </c>
      <c r="H42" s="491">
        <f t="shared" si="1"/>
        <v>13012</v>
      </c>
    </row>
    <row r="43" spans="1:8" ht="15.75">
      <c r="A43" s="115">
        <v>22</v>
      </c>
      <c r="B43" s="46" t="s">
        <v>129</v>
      </c>
      <c r="C43" s="626">
        <v>2572893</v>
      </c>
      <c r="D43" s="626">
        <v>216434</v>
      </c>
      <c r="E43" s="627">
        <f t="shared" si="0"/>
        <v>2789327</v>
      </c>
      <c r="F43" s="626">
        <v>1485366</v>
      </c>
      <c r="G43" s="626">
        <v>242031</v>
      </c>
      <c r="H43" s="491">
        <f t="shared" si="1"/>
        <v>1727397</v>
      </c>
    </row>
    <row r="44" spans="1:8" ht="15.75">
      <c r="A44" s="115">
        <v>23</v>
      </c>
      <c r="B44" s="46" t="s">
        <v>130</v>
      </c>
      <c r="C44" s="626">
        <v>7645437</v>
      </c>
      <c r="D44" s="626">
        <v>269005</v>
      </c>
      <c r="E44" s="627">
        <f t="shared" si="0"/>
        <v>7914442</v>
      </c>
      <c r="F44" s="626">
        <v>10588767</v>
      </c>
      <c r="G44" s="626">
        <v>247898</v>
      </c>
      <c r="H44" s="491">
        <f t="shared" si="1"/>
        <v>10836665</v>
      </c>
    </row>
    <row r="45" spans="1:8" ht="15.75">
      <c r="A45" s="115">
        <v>24</v>
      </c>
      <c r="B45" s="49" t="s">
        <v>131</v>
      </c>
      <c r="C45" s="628">
        <f>C34+C37+C38+C39+C40+C41+C42+C43+C44</f>
        <v>10861143</v>
      </c>
      <c r="D45" s="628">
        <f>D34+D37+D38+D39+D40+D41+D42+D43+D44</f>
        <v>-1330424</v>
      </c>
      <c r="E45" s="627">
        <f t="shared" si="0"/>
        <v>9530719</v>
      </c>
      <c r="F45" s="628">
        <f>F34+F37+F38+F39+F40+F41+F42+F43+F44</f>
        <v>15273612</v>
      </c>
      <c r="G45" s="628">
        <f>G34+G37+G38+G39+G40+G41+G42+G43+G44</f>
        <v>-3968471</v>
      </c>
      <c r="H45" s="491">
        <f t="shared" si="1"/>
        <v>11305141</v>
      </c>
    </row>
    <row r="46" spans="1:8">
      <c r="A46" s="115"/>
      <c r="B46" s="44" t="s">
        <v>132</v>
      </c>
      <c r="C46" s="626"/>
      <c r="D46" s="626"/>
      <c r="E46" s="626"/>
      <c r="F46" s="626"/>
      <c r="G46" s="626"/>
      <c r="H46" s="494"/>
    </row>
    <row r="47" spans="1:8" ht="15.75">
      <c r="A47" s="115">
        <v>25</v>
      </c>
      <c r="B47" s="46" t="s">
        <v>133</v>
      </c>
      <c r="C47" s="626">
        <v>477783</v>
      </c>
      <c r="D47" s="626">
        <v>511</v>
      </c>
      <c r="E47" s="627">
        <f t="shared" si="0"/>
        <v>478294</v>
      </c>
      <c r="F47" s="626">
        <v>636280</v>
      </c>
      <c r="G47" s="626">
        <v>10835</v>
      </c>
      <c r="H47" s="491">
        <f t="shared" si="1"/>
        <v>647115</v>
      </c>
    </row>
    <row r="48" spans="1:8" ht="15.75">
      <c r="A48" s="115">
        <v>26</v>
      </c>
      <c r="B48" s="46" t="s">
        <v>134</v>
      </c>
      <c r="C48" s="626">
        <v>534857</v>
      </c>
      <c r="D48" s="626">
        <v>31086</v>
      </c>
      <c r="E48" s="627">
        <f t="shared" si="0"/>
        <v>565943</v>
      </c>
      <c r="F48" s="626">
        <v>397580</v>
      </c>
      <c r="G48" s="626">
        <v>1420</v>
      </c>
      <c r="H48" s="491">
        <f t="shared" si="1"/>
        <v>399000</v>
      </c>
    </row>
    <row r="49" spans="1:9" ht="15.75">
      <c r="A49" s="115">
        <v>27</v>
      </c>
      <c r="B49" s="46" t="s">
        <v>135</v>
      </c>
      <c r="C49" s="626">
        <v>16423472</v>
      </c>
      <c r="D49" s="626"/>
      <c r="E49" s="627">
        <f t="shared" si="0"/>
        <v>16423472</v>
      </c>
      <c r="F49" s="626">
        <v>13067018</v>
      </c>
      <c r="G49" s="626"/>
      <c r="H49" s="491">
        <f t="shared" si="1"/>
        <v>13067018</v>
      </c>
    </row>
    <row r="50" spans="1:9" ht="15.75">
      <c r="A50" s="115">
        <v>28</v>
      </c>
      <c r="B50" s="46" t="s">
        <v>271</v>
      </c>
      <c r="C50" s="626">
        <v>95636</v>
      </c>
      <c r="D50" s="626"/>
      <c r="E50" s="627">
        <f t="shared" si="0"/>
        <v>95636</v>
      </c>
      <c r="F50" s="626">
        <v>45754</v>
      </c>
      <c r="G50" s="626"/>
      <c r="H50" s="491">
        <f t="shared" si="1"/>
        <v>45754</v>
      </c>
    </row>
    <row r="51" spans="1:9" ht="15.75">
      <c r="A51" s="115">
        <v>29</v>
      </c>
      <c r="B51" s="46" t="s">
        <v>136</v>
      </c>
      <c r="C51" s="626">
        <v>4310113</v>
      </c>
      <c r="D51" s="626"/>
      <c r="E51" s="627">
        <f t="shared" si="0"/>
        <v>4310113</v>
      </c>
      <c r="F51" s="626">
        <v>4437352</v>
      </c>
      <c r="G51" s="626"/>
      <c r="H51" s="491">
        <f t="shared" si="1"/>
        <v>4437352</v>
      </c>
    </row>
    <row r="52" spans="1:9" ht="15.75">
      <c r="A52" s="115">
        <v>30</v>
      </c>
      <c r="B52" s="46" t="s">
        <v>137</v>
      </c>
      <c r="C52" s="626">
        <v>13173485</v>
      </c>
      <c r="D52" s="626">
        <v>561357</v>
      </c>
      <c r="E52" s="627">
        <f t="shared" si="0"/>
        <v>13734842</v>
      </c>
      <c r="F52" s="626">
        <v>10353892</v>
      </c>
      <c r="G52" s="626">
        <v>244798</v>
      </c>
      <c r="H52" s="491">
        <f t="shared" si="1"/>
        <v>10598690</v>
      </c>
    </row>
    <row r="53" spans="1:9" ht="15.75">
      <c r="A53" s="115">
        <v>31</v>
      </c>
      <c r="B53" s="49" t="s">
        <v>138</v>
      </c>
      <c r="C53" s="628">
        <f>C47+C48+C49+C50+C51+C52</f>
        <v>35015346</v>
      </c>
      <c r="D53" s="628">
        <f>D47+D48+D49+D50+D51+D52</f>
        <v>592954</v>
      </c>
      <c r="E53" s="627">
        <f t="shared" si="0"/>
        <v>35608300</v>
      </c>
      <c r="F53" s="628">
        <f>F47+F48+F49+F50+F51+F52</f>
        <v>28937876</v>
      </c>
      <c r="G53" s="628">
        <f>G47+G48+G49+G50+G51+G52</f>
        <v>257053</v>
      </c>
      <c r="H53" s="491">
        <f t="shared" si="1"/>
        <v>29194929</v>
      </c>
    </row>
    <row r="54" spans="1:9" ht="15.75">
      <c r="A54" s="115">
        <v>32</v>
      </c>
      <c r="B54" s="49" t="s">
        <v>139</v>
      </c>
      <c r="C54" s="628">
        <f>C45-C53</f>
        <v>-24154203</v>
      </c>
      <c r="D54" s="628">
        <f>D45-D53</f>
        <v>-1923378</v>
      </c>
      <c r="E54" s="627">
        <f t="shared" si="0"/>
        <v>-26077581</v>
      </c>
      <c r="F54" s="628">
        <f>F45-F53</f>
        <v>-13664264</v>
      </c>
      <c r="G54" s="628">
        <f>G45-G53</f>
        <v>-4225524</v>
      </c>
      <c r="H54" s="491">
        <f t="shared" si="1"/>
        <v>-17889788</v>
      </c>
    </row>
    <row r="55" spans="1:9">
      <c r="A55" s="115"/>
      <c r="B55" s="44"/>
      <c r="C55" s="630"/>
      <c r="D55" s="630"/>
      <c r="E55" s="630"/>
      <c r="F55" s="630"/>
      <c r="G55" s="630"/>
      <c r="H55" s="493"/>
    </row>
    <row r="56" spans="1:9" ht="15.75">
      <c r="A56" s="115">
        <v>33</v>
      </c>
      <c r="B56" s="49" t="s">
        <v>140</v>
      </c>
      <c r="C56" s="628">
        <f>C31+C54</f>
        <v>20190269</v>
      </c>
      <c r="D56" s="628">
        <f>D31+D54</f>
        <v>21138277</v>
      </c>
      <c r="E56" s="627">
        <f t="shared" si="0"/>
        <v>41328546</v>
      </c>
      <c r="F56" s="628">
        <f>F31+F54</f>
        <v>9619989</v>
      </c>
      <c r="G56" s="628">
        <f>G31+G54</f>
        <v>21449038</v>
      </c>
      <c r="H56" s="491">
        <f t="shared" si="1"/>
        <v>31069027</v>
      </c>
    </row>
    <row r="57" spans="1:9">
      <c r="A57" s="115"/>
      <c r="B57" s="44"/>
      <c r="C57" s="630"/>
      <c r="D57" s="630"/>
      <c r="E57" s="630"/>
      <c r="F57" s="630"/>
      <c r="G57" s="630"/>
      <c r="H57" s="493"/>
    </row>
    <row r="58" spans="1:9" ht="15.75">
      <c r="A58" s="115">
        <v>34</v>
      </c>
      <c r="B58" s="46" t="s">
        <v>141</v>
      </c>
      <c r="C58" s="626">
        <v>-29147482</v>
      </c>
      <c r="D58" s="626"/>
      <c r="E58" s="627">
        <f>C58</f>
        <v>-29147482</v>
      </c>
      <c r="F58" s="626">
        <v>-13172293</v>
      </c>
      <c r="G58" s="626"/>
      <c r="H58" s="491">
        <f>F58</f>
        <v>-13172293</v>
      </c>
    </row>
    <row r="59" spans="1:9" s="188" customFormat="1" ht="15.75">
      <c r="A59" s="115">
        <v>35</v>
      </c>
      <c r="B59" s="43" t="s">
        <v>142</v>
      </c>
      <c r="C59" s="626">
        <v>-209619</v>
      </c>
      <c r="D59" s="631"/>
      <c r="E59" s="632">
        <f>C59</f>
        <v>-209619</v>
      </c>
      <c r="F59" s="633">
        <v>-17900</v>
      </c>
      <c r="G59" s="633"/>
      <c r="H59" s="495">
        <f>F59</f>
        <v>-17900</v>
      </c>
      <c r="I59" s="187"/>
    </row>
    <row r="60" spans="1:9" ht="15.75">
      <c r="A60" s="115">
        <v>36</v>
      </c>
      <c r="B60" s="46" t="s">
        <v>143</v>
      </c>
      <c r="C60" s="626">
        <v>12399877</v>
      </c>
      <c r="D60" s="626"/>
      <c r="E60" s="627">
        <f>C60</f>
        <v>12399877</v>
      </c>
      <c r="F60" s="626">
        <v>3942025</v>
      </c>
      <c r="G60" s="626"/>
      <c r="H60" s="491">
        <f>F60</f>
        <v>3942025</v>
      </c>
    </row>
    <row r="61" spans="1:9" ht="15.75">
      <c r="A61" s="115">
        <v>37</v>
      </c>
      <c r="B61" s="49" t="s">
        <v>144</v>
      </c>
      <c r="C61" s="628">
        <f>C58+C59+C60</f>
        <v>-16957224</v>
      </c>
      <c r="D61" s="628">
        <f>D58+D59+D60</f>
        <v>0</v>
      </c>
      <c r="E61" s="627">
        <f t="shared" si="0"/>
        <v>-16957224</v>
      </c>
      <c r="F61" s="628">
        <f>F58+F59+F60</f>
        <v>-9248168</v>
      </c>
      <c r="G61" s="628">
        <f>G58+G59+G60</f>
        <v>0</v>
      </c>
      <c r="H61" s="491">
        <f t="shared" si="1"/>
        <v>-9248168</v>
      </c>
    </row>
    <row r="62" spans="1:9">
      <c r="A62" s="115"/>
      <c r="B62" s="50"/>
      <c r="C62" s="626"/>
      <c r="D62" s="626"/>
      <c r="E62" s="626"/>
      <c r="F62" s="626"/>
      <c r="G62" s="626"/>
      <c r="H62" s="494"/>
    </row>
    <row r="63" spans="1:9" ht="15.75">
      <c r="A63" s="115">
        <v>38</v>
      </c>
      <c r="B63" s="51" t="s">
        <v>272</v>
      </c>
      <c r="C63" s="628">
        <f>C56-C61</f>
        <v>37147493</v>
      </c>
      <c r="D63" s="628">
        <f>D56-D61</f>
        <v>21138277</v>
      </c>
      <c r="E63" s="627">
        <f t="shared" si="0"/>
        <v>58285770</v>
      </c>
      <c r="F63" s="628">
        <f>F56-F61</f>
        <v>18868157</v>
      </c>
      <c r="G63" s="628">
        <f>G56-G61</f>
        <v>21449038</v>
      </c>
      <c r="H63" s="491">
        <f t="shared" si="1"/>
        <v>40317195</v>
      </c>
    </row>
    <row r="64" spans="1:9" ht="15.75">
      <c r="A64" s="113">
        <v>39</v>
      </c>
      <c r="B64" s="46" t="s">
        <v>145</v>
      </c>
      <c r="C64" s="634">
        <v>11899027</v>
      </c>
      <c r="D64" s="634"/>
      <c r="E64" s="627">
        <f t="shared" si="0"/>
        <v>11899027</v>
      </c>
      <c r="F64" s="634">
        <v>6298696</v>
      </c>
      <c r="G64" s="634"/>
      <c r="H64" s="491">
        <f t="shared" si="1"/>
        <v>6298696</v>
      </c>
    </row>
    <row r="65" spans="1:8" ht="15.75">
      <c r="A65" s="115">
        <v>40</v>
      </c>
      <c r="B65" s="49" t="s">
        <v>146</v>
      </c>
      <c r="C65" s="628">
        <f>C63-C64</f>
        <v>25248466</v>
      </c>
      <c r="D65" s="628">
        <f>D63-D64</f>
        <v>21138277</v>
      </c>
      <c r="E65" s="627">
        <f t="shared" si="0"/>
        <v>46386743</v>
      </c>
      <c r="F65" s="628">
        <f>F63-F64</f>
        <v>12569461</v>
      </c>
      <c r="G65" s="628">
        <f>G63-G64</f>
        <v>21449038</v>
      </c>
      <c r="H65" s="491">
        <f t="shared" si="1"/>
        <v>34018499</v>
      </c>
    </row>
    <row r="66" spans="1:8" ht="15.75">
      <c r="A66" s="113">
        <v>41</v>
      </c>
      <c r="B66" s="46" t="s">
        <v>147</v>
      </c>
      <c r="C66" s="634">
        <v>0</v>
      </c>
      <c r="D66" s="634"/>
      <c r="E66" s="627">
        <f t="shared" si="0"/>
        <v>0</v>
      </c>
      <c r="F66" s="634">
        <v>0</v>
      </c>
      <c r="G66" s="634"/>
      <c r="H66" s="491">
        <f t="shared" si="1"/>
        <v>0</v>
      </c>
    </row>
    <row r="67" spans="1:8" ht="16.5" thickBot="1">
      <c r="A67" s="117">
        <v>42</v>
      </c>
      <c r="B67" s="118" t="s">
        <v>148</v>
      </c>
      <c r="C67" s="214">
        <f>C65+C66</f>
        <v>25248466</v>
      </c>
      <c r="D67" s="214">
        <f>D65+D66</f>
        <v>21138277</v>
      </c>
      <c r="E67" s="212">
        <f t="shared" si="0"/>
        <v>46386743</v>
      </c>
      <c r="F67" s="214">
        <f>F65+F66</f>
        <v>12569461</v>
      </c>
      <c r="G67" s="214">
        <f>G65+G66</f>
        <v>21449038</v>
      </c>
      <c r="H67" s="215">
        <f t="shared" si="1"/>
        <v>34018499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zoomScaleNormal="100" workbookViewId="0">
      <selection activeCell="C8" sqref="C8:D53"/>
    </sheetView>
  </sheetViews>
  <sheetFormatPr defaultRowHeight="15"/>
  <cols>
    <col min="1" max="1" width="9.5703125" bestFit="1" customWidth="1"/>
    <col min="2" max="2" width="72.28515625" customWidth="1"/>
    <col min="3" max="8" width="12.7109375" customWidth="1"/>
  </cols>
  <sheetData>
    <row r="1" spans="1:8">
      <c r="A1" s="1" t="s">
        <v>188</v>
      </c>
      <c r="B1" t="str">
        <f>Info!C2</f>
        <v>სს "ბანკი ქართუ"</v>
      </c>
    </row>
    <row r="2" spans="1:8">
      <c r="A2" s="1" t="s">
        <v>189</v>
      </c>
      <c r="B2" s="641">
        <f>'1. key ratios'!B2</f>
        <v>44926</v>
      </c>
    </row>
    <row r="3" spans="1:8">
      <c r="A3" s="1"/>
    </row>
    <row r="4" spans="1:8" ht="16.5" thickBot="1">
      <c r="A4" s="1" t="s">
        <v>408</v>
      </c>
      <c r="B4" s="1"/>
      <c r="C4" s="197"/>
      <c r="D4" s="197"/>
      <c r="E4" s="197"/>
      <c r="F4" s="197"/>
      <c r="G4" s="197"/>
      <c r="H4" s="198" t="s">
        <v>93</v>
      </c>
    </row>
    <row r="5" spans="1:8" ht="15.75">
      <c r="A5" s="694" t="s">
        <v>26</v>
      </c>
      <c r="B5" s="696" t="s">
        <v>245</v>
      </c>
      <c r="C5" s="698" t="s">
        <v>194</v>
      </c>
      <c r="D5" s="698"/>
      <c r="E5" s="698"/>
      <c r="F5" s="698" t="s">
        <v>195</v>
      </c>
      <c r="G5" s="698"/>
      <c r="H5" s="699"/>
    </row>
    <row r="6" spans="1:8">
      <c r="A6" s="695"/>
      <c r="B6" s="697"/>
      <c r="C6" s="32" t="s">
        <v>27</v>
      </c>
      <c r="D6" s="32" t="s">
        <v>94</v>
      </c>
      <c r="E6" s="32" t="s">
        <v>68</v>
      </c>
      <c r="F6" s="32" t="s">
        <v>27</v>
      </c>
      <c r="G6" s="32" t="s">
        <v>94</v>
      </c>
      <c r="H6" s="33" t="s">
        <v>68</v>
      </c>
    </row>
    <row r="7" spans="1:8" ht="15.75">
      <c r="A7" s="107">
        <v>1</v>
      </c>
      <c r="B7" s="199" t="s">
        <v>483</v>
      </c>
      <c r="C7" s="648"/>
      <c r="D7" s="648"/>
      <c r="E7" s="652">
        <f>C7+D7</f>
        <v>0</v>
      </c>
      <c r="F7" s="648"/>
      <c r="G7" s="648"/>
      <c r="H7" s="487">
        <f t="shared" ref="H7:H53" si="0">F7+G7</f>
        <v>0</v>
      </c>
    </row>
    <row r="8" spans="1:8" ht="15.75">
      <c r="A8" s="107">
        <v>1.1000000000000001</v>
      </c>
      <c r="B8" s="200" t="s">
        <v>276</v>
      </c>
      <c r="C8" s="648">
        <v>45895337</v>
      </c>
      <c r="D8" s="648">
        <v>5074988</v>
      </c>
      <c r="E8" s="652">
        <f>C8+D8</f>
        <v>50970325</v>
      </c>
      <c r="F8" s="648">
        <v>20570996</v>
      </c>
      <c r="G8" s="648">
        <v>10342848</v>
      </c>
      <c r="H8" s="487">
        <f t="shared" si="0"/>
        <v>30913844</v>
      </c>
    </row>
    <row r="9" spans="1:8" ht="15.75">
      <c r="A9" s="107">
        <v>1.2</v>
      </c>
      <c r="B9" s="200" t="s">
        <v>277</v>
      </c>
      <c r="C9" s="648"/>
      <c r="D9" s="648">
        <v>0</v>
      </c>
      <c r="E9" s="652">
        <f t="shared" ref="E9:E52" si="1">C9+D9</f>
        <v>0</v>
      </c>
      <c r="F9" s="648"/>
      <c r="G9" s="648">
        <v>0</v>
      </c>
      <c r="H9" s="487">
        <f t="shared" si="0"/>
        <v>0</v>
      </c>
    </row>
    <row r="10" spans="1:8" ht="15.75">
      <c r="A10" s="107">
        <v>1.3</v>
      </c>
      <c r="B10" s="200" t="s">
        <v>278</v>
      </c>
      <c r="C10" s="648">
        <v>11029433</v>
      </c>
      <c r="D10" s="648">
        <v>20635203</v>
      </c>
      <c r="E10" s="652">
        <f t="shared" si="1"/>
        <v>31664636</v>
      </c>
      <c r="F10" s="648">
        <v>15360014</v>
      </c>
      <c r="G10" s="648">
        <v>19962081</v>
      </c>
      <c r="H10" s="487">
        <f t="shared" si="0"/>
        <v>35322095</v>
      </c>
    </row>
    <row r="11" spans="1:8" ht="15.75">
      <c r="A11" s="107">
        <v>1.4</v>
      </c>
      <c r="B11" s="200" t="s">
        <v>279</v>
      </c>
      <c r="C11" s="648">
        <v>10072</v>
      </c>
      <c r="D11" s="648">
        <v>0</v>
      </c>
      <c r="E11" s="652">
        <f t="shared" si="1"/>
        <v>10072</v>
      </c>
      <c r="F11" s="648">
        <v>8975</v>
      </c>
      <c r="G11" s="648">
        <v>0</v>
      </c>
      <c r="H11" s="487">
        <f t="shared" si="0"/>
        <v>8975</v>
      </c>
    </row>
    <row r="12" spans="1:8" ht="29.25" customHeight="1">
      <c r="A12" s="107">
        <v>2</v>
      </c>
      <c r="B12" s="199" t="s">
        <v>280</v>
      </c>
      <c r="C12" s="648"/>
      <c r="D12" s="648"/>
      <c r="E12" s="652">
        <f t="shared" si="1"/>
        <v>0</v>
      </c>
      <c r="F12" s="648"/>
      <c r="G12" s="648"/>
      <c r="H12" s="487">
        <f t="shared" si="0"/>
        <v>0</v>
      </c>
    </row>
    <row r="13" spans="1:8" ht="25.5">
      <c r="A13" s="107">
        <v>3</v>
      </c>
      <c r="B13" s="199" t="s">
        <v>281</v>
      </c>
      <c r="C13" s="648"/>
      <c r="D13" s="648"/>
      <c r="E13" s="652">
        <f t="shared" si="1"/>
        <v>0</v>
      </c>
      <c r="F13" s="648"/>
      <c r="G13" s="648"/>
      <c r="H13" s="487">
        <f t="shared" si="0"/>
        <v>0</v>
      </c>
    </row>
    <row r="14" spans="1:8" ht="15.75">
      <c r="A14" s="107">
        <v>3.1</v>
      </c>
      <c r="B14" s="200" t="s">
        <v>282</v>
      </c>
      <c r="C14" s="648"/>
      <c r="D14" s="648"/>
      <c r="E14" s="652">
        <f t="shared" si="1"/>
        <v>0</v>
      </c>
      <c r="F14" s="648"/>
      <c r="G14" s="648"/>
      <c r="H14" s="487">
        <f t="shared" si="0"/>
        <v>0</v>
      </c>
    </row>
    <row r="15" spans="1:8" ht="15.75">
      <c r="A15" s="107">
        <v>3.2</v>
      </c>
      <c r="B15" s="200" t="s">
        <v>283</v>
      </c>
      <c r="C15" s="648"/>
      <c r="D15" s="648"/>
      <c r="E15" s="652">
        <f t="shared" si="1"/>
        <v>0</v>
      </c>
      <c r="F15" s="648"/>
      <c r="G15" s="648"/>
      <c r="H15" s="487">
        <f t="shared" si="0"/>
        <v>0</v>
      </c>
    </row>
    <row r="16" spans="1:8" ht="15.75">
      <c r="A16" s="107">
        <v>4</v>
      </c>
      <c r="B16" s="199" t="s">
        <v>284</v>
      </c>
      <c r="C16" s="648"/>
      <c r="D16" s="648"/>
      <c r="E16" s="652">
        <f t="shared" si="1"/>
        <v>0</v>
      </c>
      <c r="F16" s="648"/>
      <c r="G16" s="648"/>
      <c r="H16" s="487">
        <f t="shared" si="0"/>
        <v>0</v>
      </c>
    </row>
    <row r="17" spans="1:8" ht="15.75">
      <c r="A17" s="107">
        <v>4.0999999999999996</v>
      </c>
      <c r="B17" s="200" t="s">
        <v>285</v>
      </c>
      <c r="C17" s="648">
        <v>6043541.8399999999</v>
      </c>
      <c r="D17" s="648">
        <v>2600293.284674</v>
      </c>
      <c r="E17" s="652">
        <f t="shared" si="1"/>
        <v>8643835.1246739998</v>
      </c>
      <c r="F17" s="648">
        <v>8155362.464999998</v>
      </c>
      <c r="G17" s="648">
        <v>3090163.6053919992</v>
      </c>
      <c r="H17" s="487">
        <f t="shared" si="0"/>
        <v>11245526.070391998</v>
      </c>
    </row>
    <row r="18" spans="1:8" ht="15.75">
      <c r="A18" s="107">
        <v>4.2</v>
      </c>
      <c r="B18" s="200" t="s">
        <v>286</v>
      </c>
      <c r="C18" s="648">
        <v>87806481.543924794</v>
      </c>
      <c r="D18" s="648">
        <v>299725313.49771672</v>
      </c>
      <c r="E18" s="652">
        <f t="shared" si="1"/>
        <v>387531795.04164153</v>
      </c>
      <c r="F18" s="648">
        <v>131659125.5761461</v>
      </c>
      <c r="G18" s="648">
        <v>398360107.35868627</v>
      </c>
      <c r="H18" s="487">
        <f t="shared" si="0"/>
        <v>530019232.93483233</v>
      </c>
    </row>
    <row r="19" spans="1:8" ht="25.5">
      <c r="A19" s="107">
        <v>5</v>
      </c>
      <c r="B19" s="199" t="s">
        <v>287</v>
      </c>
      <c r="C19" s="648"/>
      <c r="D19" s="648"/>
      <c r="E19" s="652">
        <f t="shared" si="1"/>
        <v>0</v>
      </c>
      <c r="F19" s="648"/>
      <c r="G19" s="648"/>
      <c r="H19" s="487">
        <f t="shared" si="0"/>
        <v>0</v>
      </c>
    </row>
    <row r="20" spans="1:8" ht="15.75">
      <c r="A20" s="107">
        <v>5.0999999999999996</v>
      </c>
      <c r="B20" s="200" t="s">
        <v>288</v>
      </c>
      <c r="C20" s="648">
        <v>38546308.949999996</v>
      </c>
      <c r="D20" s="648">
        <v>22498914.914395999</v>
      </c>
      <c r="E20" s="652">
        <f t="shared" si="1"/>
        <v>61045223.864395991</v>
      </c>
      <c r="F20" s="648">
        <v>3100782.9</v>
      </c>
      <c r="G20" s="648">
        <v>40855692.463567995</v>
      </c>
      <c r="H20" s="487">
        <f t="shared" si="0"/>
        <v>43956475.363567993</v>
      </c>
    </row>
    <row r="21" spans="1:8" ht="15.75">
      <c r="A21" s="107">
        <v>5.2</v>
      </c>
      <c r="B21" s="200" t="s">
        <v>289</v>
      </c>
      <c r="C21" s="648">
        <v>0</v>
      </c>
      <c r="D21" s="648">
        <v>0</v>
      </c>
      <c r="E21" s="652">
        <f t="shared" si="1"/>
        <v>0</v>
      </c>
      <c r="F21" s="648">
        <v>0</v>
      </c>
      <c r="G21" s="648">
        <v>0</v>
      </c>
      <c r="H21" s="487">
        <f t="shared" si="0"/>
        <v>0</v>
      </c>
    </row>
    <row r="22" spans="1:8" ht="15.75">
      <c r="A22" s="107">
        <v>5.3</v>
      </c>
      <c r="B22" s="200" t="s">
        <v>290</v>
      </c>
      <c r="C22" s="648">
        <v>21167988</v>
      </c>
      <c r="D22" s="648">
        <v>1364274919.887177</v>
      </c>
      <c r="E22" s="652">
        <f t="shared" si="1"/>
        <v>1385442907.887177</v>
      </c>
      <c r="F22" s="648">
        <v>14329287.59322034</v>
      </c>
      <c r="G22" s="648">
        <v>1520967541.4594371</v>
      </c>
      <c r="H22" s="487">
        <f t="shared" si="0"/>
        <v>1535296829.0526574</v>
      </c>
    </row>
    <row r="23" spans="1:8" ht="15.75">
      <c r="A23" s="107" t="s">
        <v>291</v>
      </c>
      <c r="B23" s="201" t="s">
        <v>292</v>
      </c>
      <c r="C23" s="648">
        <v>97272</v>
      </c>
      <c r="D23" s="648">
        <v>155051350.0822098</v>
      </c>
      <c r="E23" s="652">
        <f t="shared" si="1"/>
        <v>155148622.0822098</v>
      </c>
      <c r="F23" s="648">
        <v>309760</v>
      </c>
      <c r="G23" s="648">
        <v>193627446.18882832</v>
      </c>
      <c r="H23" s="487">
        <f t="shared" si="0"/>
        <v>193937206.18882832</v>
      </c>
    </row>
    <row r="24" spans="1:8" ht="15.75">
      <c r="A24" s="107" t="s">
        <v>293</v>
      </c>
      <c r="B24" s="201" t="s">
        <v>294</v>
      </c>
      <c r="C24" s="648">
        <v>653884</v>
      </c>
      <c r="D24" s="648">
        <v>612129371.2945888</v>
      </c>
      <c r="E24" s="652">
        <f t="shared" si="1"/>
        <v>612783255.2945888</v>
      </c>
      <c r="F24" s="648">
        <v>622145.08474576275</v>
      </c>
      <c r="G24" s="648">
        <v>718984778.74302435</v>
      </c>
      <c r="H24" s="487">
        <f t="shared" si="0"/>
        <v>719606923.82777011</v>
      </c>
    </row>
    <row r="25" spans="1:8" ht="15.75">
      <c r="A25" s="107" t="s">
        <v>295</v>
      </c>
      <c r="B25" s="202" t="s">
        <v>296</v>
      </c>
      <c r="C25" s="648">
        <v>0</v>
      </c>
      <c r="D25" s="648">
        <v>175041729.4634555</v>
      </c>
      <c r="E25" s="652">
        <f t="shared" si="1"/>
        <v>175041729.4634555</v>
      </c>
      <c r="F25" s="648">
        <v>0</v>
      </c>
      <c r="G25" s="648">
        <v>138258378.00621551</v>
      </c>
      <c r="H25" s="487">
        <f t="shared" si="0"/>
        <v>138258378.00621551</v>
      </c>
    </row>
    <row r="26" spans="1:8" ht="15.75">
      <c r="A26" s="107" t="s">
        <v>297</v>
      </c>
      <c r="B26" s="201" t="s">
        <v>298</v>
      </c>
      <c r="C26" s="648">
        <v>20416832</v>
      </c>
      <c r="D26" s="648">
        <v>384597782.8325839</v>
      </c>
      <c r="E26" s="652">
        <f t="shared" si="1"/>
        <v>405014614.8325839</v>
      </c>
      <c r="F26" s="648">
        <v>13397382.508474577</v>
      </c>
      <c r="G26" s="648">
        <v>381229384.82280242</v>
      </c>
      <c r="H26" s="487">
        <f t="shared" si="0"/>
        <v>394626767.33127701</v>
      </c>
    </row>
    <row r="27" spans="1:8" ht="15.75">
      <c r="A27" s="107" t="s">
        <v>299</v>
      </c>
      <c r="B27" s="201" t="s">
        <v>300</v>
      </c>
      <c r="C27" s="648">
        <v>0</v>
      </c>
      <c r="D27" s="648">
        <v>37454686.214338973</v>
      </c>
      <c r="E27" s="652">
        <f t="shared" si="1"/>
        <v>37454686.214338973</v>
      </c>
      <c r="F27" s="648">
        <v>0</v>
      </c>
      <c r="G27" s="648">
        <v>88867553.698566735</v>
      </c>
      <c r="H27" s="487">
        <f t="shared" si="0"/>
        <v>88867553.698566735</v>
      </c>
    </row>
    <row r="28" spans="1:8" ht="15.75">
      <c r="A28" s="107">
        <v>5.4</v>
      </c>
      <c r="B28" s="200" t="s">
        <v>301</v>
      </c>
      <c r="C28" s="648">
        <v>132216317.62151842</v>
      </c>
      <c r="D28" s="648">
        <v>299351114.41522157</v>
      </c>
      <c r="E28" s="652">
        <f t="shared" si="1"/>
        <v>431567432.03674001</v>
      </c>
      <c r="F28" s="648">
        <v>193038397.28818431</v>
      </c>
      <c r="G28" s="648">
        <v>262577705.45831689</v>
      </c>
      <c r="H28" s="487">
        <f t="shared" si="0"/>
        <v>455616102.74650121</v>
      </c>
    </row>
    <row r="29" spans="1:8" ht="15.75">
      <c r="A29" s="107">
        <v>5.5</v>
      </c>
      <c r="B29" s="200" t="s">
        <v>302</v>
      </c>
      <c r="C29" s="648">
        <v>10726543.039999999</v>
      </c>
      <c r="D29" s="648">
        <v>157486739.15240002</v>
      </c>
      <c r="E29" s="652">
        <f t="shared" si="1"/>
        <v>168213282.19240001</v>
      </c>
      <c r="F29" s="648">
        <v>22753825.811951999</v>
      </c>
      <c r="G29" s="648">
        <v>206277043.93919998</v>
      </c>
      <c r="H29" s="487">
        <f t="shared" si="0"/>
        <v>229030869.75115198</v>
      </c>
    </row>
    <row r="30" spans="1:8" ht="15.75">
      <c r="A30" s="107">
        <v>5.6</v>
      </c>
      <c r="B30" s="200" t="s">
        <v>303</v>
      </c>
      <c r="C30" s="648">
        <v>0</v>
      </c>
      <c r="D30" s="648">
        <v>4188100.01</v>
      </c>
      <c r="E30" s="652">
        <f t="shared" si="1"/>
        <v>4188100.01</v>
      </c>
      <c r="F30" s="648">
        <v>0</v>
      </c>
      <c r="G30" s="648">
        <v>4801280</v>
      </c>
      <c r="H30" s="487">
        <f t="shared" si="0"/>
        <v>4801280</v>
      </c>
    </row>
    <row r="31" spans="1:8" ht="15.75">
      <c r="A31" s="107">
        <v>5.7</v>
      </c>
      <c r="B31" s="200" t="s">
        <v>304</v>
      </c>
      <c r="C31" s="648">
        <v>92800</v>
      </c>
      <c r="D31" s="648">
        <v>23583055.999999993</v>
      </c>
      <c r="E31" s="652">
        <f t="shared" si="1"/>
        <v>23675855.999999993</v>
      </c>
      <c r="F31" s="648">
        <v>2887869</v>
      </c>
      <c r="G31" s="648">
        <v>30331699.261951983</v>
      </c>
      <c r="H31" s="487">
        <f t="shared" si="0"/>
        <v>33219568.261951983</v>
      </c>
    </row>
    <row r="32" spans="1:8" ht="15.75">
      <c r="A32" s="107">
        <v>6</v>
      </c>
      <c r="B32" s="199" t="s">
        <v>305</v>
      </c>
      <c r="C32" s="648"/>
      <c r="D32" s="648"/>
      <c r="E32" s="652">
        <f t="shared" si="1"/>
        <v>0</v>
      </c>
      <c r="F32" s="648"/>
      <c r="G32" s="648"/>
      <c r="H32" s="487">
        <f t="shared" si="0"/>
        <v>0</v>
      </c>
    </row>
    <row r="33" spans="1:8" ht="25.5">
      <c r="A33" s="107">
        <v>6.1</v>
      </c>
      <c r="B33" s="200" t="s">
        <v>484</v>
      </c>
      <c r="C33" s="648"/>
      <c r="D33" s="648">
        <v>0</v>
      </c>
      <c r="E33" s="652">
        <f t="shared" si="1"/>
        <v>0</v>
      </c>
      <c r="F33" s="648"/>
      <c r="G33" s="648">
        <v>29911525.25</v>
      </c>
      <c r="H33" s="487">
        <f t="shared" si="0"/>
        <v>29911525.25</v>
      </c>
    </row>
    <row r="34" spans="1:8" ht="25.5">
      <c r="A34" s="107">
        <v>6.2</v>
      </c>
      <c r="B34" s="200" t="s">
        <v>306</v>
      </c>
      <c r="C34" s="648">
        <v>0</v>
      </c>
      <c r="D34" s="648">
        <v>0</v>
      </c>
      <c r="E34" s="652">
        <f t="shared" si="1"/>
        <v>0</v>
      </c>
      <c r="F34" s="648">
        <v>12502400</v>
      </c>
      <c r="G34" s="648">
        <v>17520000</v>
      </c>
      <c r="H34" s="487">
        <f t="shared" si="0"/>
        <v>30022400</v>
      </c>
    </row>
    <row r="35" spans="1:8" ht="25.5">
      <c r="A35" s="107">
        <v>6.3</v>
      </c>
      <c r="B35" s="200" t="s">
        <v>307</v>
      </c>
      <c r="C35" s="648"/>
      <c r="D35" s="648"/>
      <c r="E35" s="652">
        <f t="shared" si="1"/>
        <v>0</v>
      </c>
      <c r="F35" s="648"/>
      <c r="G35" s="648"/>
      <c r="H35" s="487">
        <f t="shared" si="0"/>
        <v>0</v>
      </c>
    </row>
    <row r="36" spans="1:8" ht="15.75">
      <c r="A36" s="107">
        <v>6.4</v>
      </c>
      <c r="B36" s="200" t="s">
        <v>308</v>
      </c>
      <c r="C36" s="648"/>
      <c r="D36" s="648"/>
      <c r="E36" s="652">
        <f t="shared" si="1"/>
        <v>0</v>
      </c>
      <c r="F36" s="648"/>
      <c r="G36" s="648"/>
      <c r="H36" s="487">
        <f t="shared" si="0"/>
        <v>0</v>
      </c>
    </row>
    <row r="37" spans="1:8" ht="15.75">
      <c r="A37" s="107">
        <v>6.5</v>
      </c>
      <c r="B37" s="200" t="s">
        <v>309</v>
      </c>
      <c r="C37" s="648"/>
      <c r="D37" s="648"/>
      <c r="E37" s="652">
        <f t="shared" si="1"/>
        <v>0</v>
      </c>
      <c r="F37" s="648"/>
      <c r="G37" s="648"/>
      <c r="H37" s="487">
        <f t="shared" si="0"/>
        <v>0</v>
      </c>
    </row>
    <row r="38" spans="1:8" ht="25.5">
      <c r="A38" s="107">
        <v>6.6</v>
      </c>
      <c r="B38" s="200" t="s">
        <v>310</v>
      </c>
      <c r="C38" s="648"/>
      <c r="D38" s="648"/>
      <c r="E38" s="652">
        <f t="shared" si="1"/>
        <v>0</v>
      </c>
      <c r="F38" s="648"/>
      <c r="G38" s="648"/>
      <c r="H38" s="487">
        <f t="shared" si="0"/>
        <v>0</v>
      </c>
    </row>
    <row r="39" spans="1:8" ht="25.5">
      <c r="A39" s="107">
        <v>6.7</v>
      </c>
      <c r="B39" s="200" t="s">
        <v>311</v>
      </c>
      <c r="C39" s="648"/>
      <c r="D39" s="648"/>
      <c r="E39" s="652">
        <f t="shared" si="1"/>
        <v>0</v>
      </c>
      <c r="F39" s="648"/>
      <c r="G39" s="648"/>
      <c r="H39" s="487">
        <f t="shared" si="0"/>
        <v>0</v>
      </c>
    </row>
    <row r="40" spans="1:8" ht="15.75">
      <c r="A40" s="107">
        <v>7</v>
      </c>
      <c r="B40" s="199" t="s">
        <v>312</v>
      </c>
      <c r="C40" s="648"/>
      <c r="D40" s="648"/>
      <c r="E40" s="652">
        <f t="shared" si="1"/>
        <v>0</v>
      </c>
      <c r="F40" s="648"/>
      <c r="G40" s="648"/>
      <c r="H40" s="487">
        <f t="shared" si="0"/>
        <v>0</v>
      </c>
    </row>
    <row r="41" spans="1:8" ht="25.5">
      <c r="A41" s="107">
        <v>7.1</v>
      </c>
      <c r="B41" s="200" t="s">
        <v>313</v>
      </c>
      <c r="C41" s="648">
        <v>34573.61999999918</v>
      </c>
      <c r="D41" s="648">
        <v>7661032.2000000002</v>
      </c>
      <c r="E41" s="652">
        <f t="shared" si="1"/>
        <v>7695605.8199999994</v>
      </c>
      <c r="F41" s="648">
        <v>143846.97999999998</v>
      </c>
      <c r="G41" s="648">
        <v>24095.739999999991</v>
      </c>
      <c r="H41" s="487">
        <f t="shared" si="0"/>
        <v>167942.71999999997</v>
      </c>
    </row>
    <row r="42" spans="1:8" ht="25.5">
      <c r="A42" s="107">
        <v>7.2</v>
      </c>
      <c r="B42" s="200" t="s">
        <v>314</v>
      </c>
      <c r="C42" s="648">
        <v>838683.08000000066</v>
      </c>
      <c r="D42" s="648">
        <v>3720901.6700000083</v>
      </c>
      <c r="E42" s="652">
        <f t="shared" si="1"/>
        <v>4559584.7500000093</v>
      </c>
      <c r="F42" s="648">
        <v>2276648.8900000155</v>
      </c>
      <c r="G42" s="648">
        <v>4800029.2200000184</v>
      </c>
      <c r="H42" s="487">
        <f t="shared" si="0"/>
        <v>7076678.1100000339</v>
      </c>
    </row>
    <row r="43" spans="1:8" ht="25.5">
      <c r="A43" s="107">
        <v>7.3</v>
      </c>
      <c r="B43" s="200" t="s">
        <v>315</v>
      </c>
      <c r="C43" s="648">
        <v>11838301.469999997</v>
      </c>
      <c r="D43" s="648">
        <v>15962261.34</v>
      </c>
      <c r="E43" s="652">
        <f t="shared" si="1"/>
        <v>27800562.809999995</v>
      </c>
      <c r="F43" s="648">
        <v>5056909.4699999988</v>
      </c>
      <c r="G43" s="648">
        <v>9418578.8500000015</v>
      </c>
      <c r="H43" s="487">
        <f t="shared" si="0"/>
        <v>14475488.32</v>
      </c>
    </row>
    <row r="44" spans="1:8" ht="25.5">
      <c r="A44" s="107">
        <v>7.4</v>
      </c>
      <c r="B44" s="200" t="s">
        <v>316</v>
      </c>
      <c r="C44" s="648">
        <v>56204180.739997439</v>
      </c>
      <c r="D44" s="648">
        <v>118826409.95000285</v>
      </c>
      <c r="E44" s="652">
        <f t="shared" si="1"/>
        <v>175030590.6900003</v>
      </c>
      <c r="F44" s="648">
        <v>60950938.189997673</v>
      </c>
      <c r="G44" s="648">
        <v>137280462.90000501</v>
      </c>
      <c r="H44" s="487">
        <f t="shared" si="0"/>
        <v>198231401.09000269</v>
      </c>
    </row>
    <row r="45" spans="1:8" ht="15.75">
      <c r="A45" s="107">
        <v>8</v>
      </c>
      <c r="B45" s="199" t="s">
        <v>317</v>
      </c>
      <c r="C45" s="648">
        <v>2106154.151968</v>
      </c>
      <c r="D45" s="648">
        <v>0</v>
      </c>
      <c r="E45" s="652">
        <f>SUM(E46:E52)</f>
        <v>2106154.151968</v>
      </c>
      <c r="F45" s="648">
        <v>2122486.3571839998</v>
      </c>
      <c r="G45" s="648">
        <v>0</v>
      </c>
      <c r="H45" s="487">
        <f t="shared" si="0"/>
        <v>2122486.3571839998</v>
      </c>
    </row>
    <row r="46" spans="1:8" ht="15.75">
      <c r="A46" s="107">
        <v>8.1</v>
      </c>
      <c r="B46" s="200" t="s">
        <v>318</v>
      </c>
      <c r="C46" s="648">
        <v>83155.459967999981</v>
      </c>
      <c r="D46" s="648">
        <v>0</v>
      </c>
      <c r="E46" s="652">
        <f t="shared" si="1"/>
        <v>83155.459967999981</v>
      </c>
      <c r="F46" s="648">
        <v>96450.317184000014</v>
      </c>
      <c r="G46" s="648">
        <v>0</v>
      </c>
      <c r="H46" s="487">
        <f t="shared" si="0"/>
        <v>96450.317184000014</v>
      </c>
    </row>
    <row r="47" spans="1:8" ht="15.75">
      <c r="A47" s="107">
        <v>8.1999999999999993</v>
      </c>
      <c r="B47" s="200" t="s">
        <v>319</v>
      </c>
      <c r="C47" s="648">
        <v>1960878.1439999999</v>
      </c>
      <c r="D47" s="648">
        <v>0</v>
      </c>
      <c r="E47" s="652">
        <f t="shared" si="1"/>
        <v>1960878.1439999999</v>
      </c>
      <c r="F47" s="648">
        <v>1969401.4799999997</v>
      </c>
      <c r="G47" s="648">
        <v>0</v>
      </c>
      <c r="H47" s="487">
        <f t="shared" si="0"/>
        <v>1969401.4799999997</v>
      </c>
    </row>
    <row r="48" spans="1:8" ht="15.75">
      <c r="A48" s="107">
        <v>8.3000000000000007</v>
      </c>
      <c r="B48" s="200" t="s">
        <v>320</v>
      </c>
      <c r="C48" s="648">
        <v>48709.023999999998</v>
      </c>
      <c r="D48" s="648">
        <v>0</v>
      </c>
      <c r="E48" s="652">
        <f t="shared" si="1"/>
        <v>48709.023999999998</v>
      </c>
      <c r="F48" s="648">
        <v>38600.32</v>
      </c>
      <c r="G48" s="648">
        <v>0</v>
      </c>
      <c r="H48" s="487">
        <f t="shared" si="0"/>
        <v>38600.32</v>
      </c>
    </row>
    <row r="49" spans="1:8" ht="15.75">
      <c r="A49" s="107">
        <v>8.4</v>
      </c>
      <c r="B49" s="200" t="s">
        <v>321</v>
      </c>
      <c r="C49" s="648">
        <v>13411.523999999998</v>
      </c>
      <c r="D49" s="648">
        <v>0</v>
      </c>
      <c r="E49" s="652">
        <f t="shared" si="1"/>
        <v>13411.523999999998</v>
      </c>
      <c r="F49" s="648">
        <v>17134.239999999998</v>
      </c>
      <c r="G49" s="648">
        <v>0</v>
      </c>
      <c r="H49" s="487">
        <f t="shared" si="0"/>
        <v>17134.239999999998</v>
      </c>
    </row>
    <row r="50" spans="1:8" ht="15.75">
      <c r="A50" s="107">
        <v>8.5</v>
      </c>
      <c r="B50" s="200" t="s">
        <v>322</v>
      </c>
      <c r="C50" s="648">
        <v>0</v>
      </c>
      <c r="D50" s="648">
        <v>0</v>
      </c>
      <c r="E50" s="652">
        <f t="shared" si="1"/>
        <v>0</v>
      </c>
      <c r="F50" s="648">
        <v>900</v>
      </c>
      <c r="G50" s="648">
        <v>0</v>
      </c>
      <c r="H50" s="487">
        <f t="shared" si="0"/>
        <v>900</v>
      </c>
    </row>
    <row r="51" spans="1:8" ht="15.75">
      <c r="A51" s="107">
        <v>8.6</v>
      </c>
      <c r="B51" s="200" t="s">
        <v>323</v>
      </c>
      <c r="C51" s="648">
        <v>0</v>
      </c>
      <c r="D51" s="648">
        <v>0</v>
      </c>
      <c r="E51" s="652">
        <f t="shared" si="1"/>
        <v>0</v>
      </c>
      <c r="F51" s="648">
        <v>0</v>
      </c>
      <c r="G51" s="648">
        <v>0</v>
      </c>
      <c r="H51" s="487">
        <f t="shared" si="0"/>
        <v>0</v>
      </c>
    </row>
    <row r="52" spans="1:8" ht="15.75">
      <c r="A52" s="107">
        <v>8.6999999999999993</v>
      </c>
      <c r="B52" s="200" t="s">
        <v>324</v>
      </c>
      <c r="C52" s="648">
        <v>0</v>
      </c>
      <c r="D52" s="648">
        <v>0</v>
      </c>
      <c r="E52" s="652">
        <f t="shared" si="1"/>
        <v>0</v>
      </c>
      <c r="F52" s="648">
        <v>0</v>
      </c>
      <c r="G52" s="648">
        <v>0</v>
      </c>
      <c r="H52" s="487">
        <f t="shared" si="0"/>
        <v>0</v>
      </c>
    </row>
    <row r="53" spans="1:8" ht="16.5" thickBot="1">
      <c r="A53" s="203">
        <v>9</v>
      </c>
      <c r="B53" s="204" t="s">
        <v>325</v>
      </c>
      <c r="C53" s="216"/>
      <c r="D53" s="216"/>
      <c r="E53" s="217">
        <f>C53+D53</f>
        <v>0</v>
      </c>
      <c r="F53" s="216"/>
      <c r="G53" s="216"/>
      <c r="H53" s="213">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C7" sqref="C7:C12"/>
    </sheetView>
  </sheetViews>
  <sheetFormatPr defaultColWidth="9.28515625" defaultRowHeight="12.75"/>
  <cols>
    <col min="1" max="1" width="9.5703125" style="1" bestFit="1" customWidth="1"/>
    <col min="2" max="2" width="93.5703125" style="1" customWidth="1"/>
    <col min="3" max="4" width="14" style="1" customWidth="1"/>
    <col min="5" max="7" width="14" style="9" customWidth="1"/>
    <col min="8" max="11" width="9.7109375" style="9" customWidth="1"/>
    <col min="12" max="16384" width="9.28515625" style="9"/>
  </cols>
  <sheetData>
    <row r="1" spans="1:7" ht="15">
      <c r="A1" s="14" t="s">
        <v>188</v>
      </c>
      <c r="B1" s="13" t="str">
        <f>Info!C2</f>
        <v>სს "ბანკი ქართუ"</v>
      </c>
      <c r="C1" s="13"/>
    </row>
    <row r="2" spans="1:7" ht="15">
      <c r="A2" s="14" t="s">
        <v>189</v>
      </c>
      <c r="B2" s="644">
        <f>'1. key ratios'!B2</f>
        <v>44926</v>
      </c>
      <c r="C2" s="13"/>
    </row>
    <row r="3" spans="1:7" ht="15">
      <c r="A3" s="14"/>
      <c r="B3" s="13"/>
      <c r="C3" s="13"/>
    </row>
    <row r="4" spans="1:7" ht="15" customHeight="1" thickBot="1">
      <c r="A4" s="194" t="s">
        <v>409</v>
      </c>
      <c r="B4" s="195" t="s">
        <v>187</v>
      </c>
      <c r="C4" s="196" t="s">
        <v>93</v>
      </c>
    </row>
    <row r="5" spans="1:7" ht="15" customHeight="1">
      <c r="A5" s="192" t="s">
        <v>26</v>
      </c>
      <c r="B5" s="193"/>
      <c r="C5" s="357" t="str">
        <f>INT((MONTH($B$2))/3)&amp;"Q"&amp;"-"&amp;YEAR($B$2)</f>
        <v>4Q-2022</v>
      </c>
      <c r="D5" s="357" t="str">
        <f>IF(INT(MONTH($B$2))=3, "4"&amp;"Q"&amp;"-"&amp;YEAR($B$2)-1, IF(INT(MONTH($B$2))=6, "1"&amp;"Q"&amp;"-"&amp;YEAR($B$2), IF(INT(MONTH($B$2))=9, "2"&amp;"Q"&amp;"-"&amp;YEAR($B$2),IF(INT(MONTH($B$2))=12, "3"&amp;"Q"&amp;"-"&amp;YEAR($B$2), 0))))</f>
        <v>3Q-2022</v>
      </c>
      <c r="E5" s="357" t="str">
        <f>IF(INT(MONTH($B$2))=3, "3"&amp;"Q"&amp;"-"&amp;YEAR($B$2)-1, IF(INT(MONTH($B$2))=6, "4"&amp;"Q"&amp;"-"&amp;YEAR($B$2)-1, IF(INT(MONTH($B$2))=9, "1"&amp;"Q"&amp;"-"&amp;YEAR($B$2),IF(INT(MONTH($B$2))=12, "2"&amp;"Q"&amp;"-"&amp;YEAR($B$2), 0))))</f>
        <v>2Q-2022</v>
      </c>
      <c r="F5" s="357" t="str">
        <f>IF(INT(MONTH($B$2))=3, "2"&amp;"Q"&amp;"-"&amp;YEAR($B$2)-1, IF(INT(MONTH($B$2))=6, "3"&amp;"Q"&amp;"-"&amp;YEAR($B$2)-1, IF(INT(MONTH($B$2))=9, "4"&amp;"Q"&amp;"-"&amp;YEAR($B$2)-1,IF(INT(MONTH($B$2))=12, "1"&amp;"Q"&amp;"-"&amp;YEAR($B$2), 0))))</f>
        <v>1Q-2022</v>
      </c>
      <c r="G5" s="357" t="str">
        <f>IF(INT(MONTH($B$2))=3, "1"&amp;"Q"&amp;"-"&amp;YEAR($B$2)-1, IF(INT(MONTH($B$2))=6, "2"&amp;"Q"&amp;"-"&amp;YEAR($B$2)-1, IF(INT(MONTH($B$2))=9, "3"&amp;"Q"&amp;"-"&amp;YEAR($B$2)-1,IF(INT(MONTH($B$2))=12, "4"&amp;"Q"&amp;"-"&amp;YEAR($B$2)-1, 0))))</f>
        <v>4Q-2021</v>
      </c>
    </row>
    <row r="6" spans="1:7" ht="15" customHeight="1">
      <c r="A6" s="302">
        <v>1</v>
      </c>
      <c r="B6" s="342" t="s">
        <v>192</v>
      </c>
      <c r="C6" s="303">
        <f>C7+C9+C10</f>
        <v>1257002956.6007755</v>
      </c>
      <c r="D6" s="344">
        <f>D7+D9+D10</f>
        <v>1227247102.8135364</v>
      </c>
      <c r="E6" s="344">
        <f>E7+E9+E10</f>
        <v>1193624491.8101244</v>
      </c>
      <c r="F6" s="303">
        <f>F7+F9+F10</f>
        <v>1214652459.9997916</v>
      </c>
      <c r="G6" s="345">
        <f>G7+G9+G10</f>
        <v>1161153557.2589002</v>
      </c>
    </row>
    <row r="7" spans="1:7" ht="15" customHeight="1">
      <c r="A7" s="302">
        <v>1.1000000000000001</v>
      </c>
      <c r="B7" s="304" t="s">
        <v>605</v>
      </c>
      <c r="C7" s="305">
        <v>1218280520.0715938</v>
      </c>
      <c r="D7" s="346">
        <v>1196535923.7659338</v>
      </c>
      <c r="E7" s="346">
        <v>1164932546.5300364</v>
      </c>
      <c r="F7" s="305">
        <v>1189270401.6807432</v>
      </c>
      <c r="G7" s="347">
        <v>1128092368.3730202</v>
      </c>
    </row>
    <row r="8" spans="1:7" ht="25.5">
      <c r="A8" s="302" t="s">
        <v>252</v>
      </c>
      <c r="B8" s="306" t="s">
        <v>403</v>
      </c>
      <c r="C8" s="305">
        <v>53125636.099999994</v>
      </c>
      <c r="D8" s="346">
        <v>52418607.5</v>
      </c>
      <c r="E8" s="346">
        <v>43188477.5</v>
      </c>
      <c r="F8" s="305">
        <v>39590050</v>
      </c>
      <c r="G8" s="347">
        <v>40402657.5</v>
      </c>
    </row>
    <row r="9" spans="1:7" ht="15" customHeight="1">
      <c r="A9" s="302">
        <v>1.2</v>
      </c>
      <c r="B9" s="304" t="s">
        <v>22</v>
      </c>
      <c r="C9" s="305">
        <v>38722436.529181771</v>
      </c>
      <c r="D9" s="346">
        <v>30711179.047602732</v>
      </c>
      <c r="E9" s="346">
        <v>28691945.280088007</v>
      </c>
      <c r="F9" s="305">
        <v>24906790.31904849</v>
      </c>
      <c r="G9" s="347">
        <v>32460740.885879934</v>
      </c>
    </row>
    <row r="10" spans="1:7" ht="15" customHeight="1">
      <c r="A10" s="302">
        <v>1.3</v>
      </c>
      <c r="B10" s="343" t="s">
        <v>77</v>
      </c>
      <c r="C10" s="305">
        <v>0</v>
      </c>
      <c r="D10" s="346">
        <v>0</v>
      </c>
      <c r="E10" s="346">
        <v>0</v>
      </c>
      <c r="F10" s="305">
        <v>475268</v>
      </c>
      <c r="G10" s="347">
        <v>600448</v>
      </c>
    </row>
    <row r="11" spans="1:7" ht="15" customHeight="1">
      <c r="A11" s="302">
        <v>2</v>
      </c>
      <c r="B11" s="342" t="s">
        <v>193</v>
      </c>
      <c r="C11" s="305">
        <v>29901368.969042748</v>
      </c>
      <c r="D11" s="346">
        <v>39539895.108680919</v>
      </c>
      <c r="E11" s="346">
        <v>55215475.841529138</v>
      </c>
      <c r="F11" s="305">
        <v>41213261.31616801</v>
      </c>
      <c r="G11" s="347">
        <v>32703895.311471444</v>
      </c>
    </row>
    <row r="12" spans="1:7" ht="15" customHeight="1">
      <c r="A12" s="302">
        <v>3</v>
      </c>
      <c r="B12" s="342" t="s">
        <v>191</v>
      </c>
      <c r="C12" s="305">
        <v>117805420.62499999</v>
      </c>
      <c r="D12" s="346">
        <v>105286124.37499999</v>
      </c>
      <c r="E12" s="346">
        <v>105286124.37499999</v>
      </c>
      <c r="F12" s="305">
        <v>105286124.37499999</v>
      </c>
      <c r="G12" s="347">
        <v>105286124.37499999</v>
      </c>
    </row>
    <row r="13" spans="1:7" ht="15" customHeight="1" thickBot="1">
      <c r="A13" s="120">
        <v>4</v>
      </c>
      <c r="B13" s="350" t="s">
        <v>253</v>
      </c>
      <c r="C13" s="218">
        <f>C6+C11+C12</f>
        <v>1404709746.1948183</v>
      </c>
      <c r="D13" s="348">
        <f>D6+D11+D12</f>
        <v>1372073122.2972174</v>
      </c>
      <c r="E13" s="348">
        <f>E6+E11+E12</f>
        <v>1354126092.0266535</v>
      </c>
      <c r="F13" s="218">
        <f>F6+F11+F12</f>
        <v>1361151845.6909597</v>
      </c>
      <c r="G13" s="349">
        <f>G6+G11+G12</f>
        <v>1299143576.9453716</v>
      </c>
    </row>
    <row r="14" spans="1:7">
      <c r="B14" s="18"/>
    </row>
    <row r="15" spans="1:7" ht="25.5">
      <c r="B15" s="18" t="s">
        <v>606</v>
      </c>
    </row>
    <row r="16" spans="1:7">
      <c r="B16" s="18"/>
    </row>
    <row r="17" spans="2:2">
      <c r="B17" s="18"/>
    </row>
    <row r="18" spans="2:2">
      <c r="B18"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4"/>
  <sheetViews>
    <sheetView showGridLines="0" zoomScaleNormal="100" workbookViewId="0">
      <pane xSplit="1" ySplit="4" topLeftCell="B5" activePane="bottomRight" state="frozen"/>
      <selection activeCell="B2" sqref="B2"/>
      <selection pane="topRight" activeCell="B2" sqref="B2"/>
      <selection pane="bottomLeft" activeCell="B2" sqref="B2"/>
      <selection pane="bottomRight" activeCell="B9" sqref="B9"/>
    </sheetView>
  </sheetViews>
  <sheetFormatPr defaultRowHeight="15"/>
  <cols>
    <col min="1" max="1" width="9.5703125" style="1" bestFit="1" customWidth="1"/>
    <col min="2" max="2" width="58.7109375" style="1" customWidth="1"/>
    <col min="3" max="3" width="76.85546875" style="1" bestFit="1" customWidth="1"/>
  </cols>
  <sheetData>
    <row r="1" spans="1:8">
      <c r="A1" s="1" t="s">
        <v>188</v>
      </c>
      <c r="B1" s="1" t="str">
        <f>Info!C2</f>
        <v>სს "ბანკი ქართუ"</v>
      </c>
    </row>
    <row r="2" spans="1:8">
      <c r="A2" s="1" t="s">
        <v>189</v>
      </c>
      <c r="B2" s="641">
        <f>'1. key ratios'!B2</f>
        <v>44926</v>
      </c>
    </row>
    <row r="4" spans="1:8" ht="25.5" customHeight="1" thickBot="1">
      <c r="A4" s="205" t="s">
        <v>410</v>
      </c>
      <c r="B4" s="53" t="s">
        <v>149</v>
      </c>
      <c r="C4" s="10"/>
    </row>
    <row r="5" spans="1:8" ht="15.75">
      <c r="A5" s="8"/>
      <c r="B5" s="338" t="s">
        <v>150</v>
      </c>
      <c r="C5" s="355" t="s">
        <v>620</v>
      </c>
    </row>
    <row r="6" spans="1:8" ht="15.75">
      <c r="A6" s="11">
        <v>1</v>
      </c>
      <c r="B6" s="497" t="s">
        <v>961</v>
      </c>
      <c r="C6" s="653" t="s">
        <v>1056</v>
      </c>
    </row>
    <row r="7" spans="1:8" ht="15.75">
      <c r="A7" s="11">
        <v>2</v>
      </c>
      <c r="B7" s="497" t="s">
        <v>962</v>
      </c>
      <c r="C7" s="653" t="s">
        <v>963</v>
      </c>
    </row>
    <row r="8" spans="1:8" ht="15.75">
      <c r="A8" s="11">
        <v>3</v>
      </c>
      <c r="B8" s="497" t="s">
        <v>965</v>
      </c>
      <c r="C8" s="653" t="s">
        <v>964</v>
      </c>
    </row>
    <row r="9" spans="1:8" ht="15.75">
      <c r="A9" s="11">
        <v>4</v>
      </c>
      <c r="B9" s="497" t="s">
        <v>966</v>
      </c>
      <c r="C9" s="653" t="s">
        <v>967</v>
      </c>
    </row>
    <row r="10" spans="1:8">
      <c r="A10" s="11">
        <v>5</v>
      </c>
      <c r="B10" s="496"/>
      <c r="C10" s="351"/>
    </row>
    <row r="11" spans="1:8">
      <c r="A11" s="11">
        <v>6</v>
      </c>
      <c r="B11" s="54"/>
      <c r="C11" s="351"/>
    </row>
    <row r="12" spans="1:8">
      <c r="A12" s="11">
        <v>7</v>
      </c>
      <c r="B12" s="54"/>
      <c r="C12" s="351"/>
      <c r="H12" s="2"/>
    </row>
    <row r="13" spans="1:8">
      <c r="A13" s="11">
        <v>8</v>
      </c>
      <c r="B13" s="54"/>
      <c r="C13" s="351"/>
    </row>
    <row r="14" spans="1:8">
      <c r="A14" s="11">
        <v>9</v>
      </c>
      <c r="B14" s="54"/>
      <c r="C14" s="351"/>
    </row>
    <row r="15" spans="1:8">
      <c r="A15" s="11">
        <v>10</v>
      </c>
      <c r="B15" s="54"/>
      <c r="C15" s="351"/>
    </row>
    <row r="16" spans="1:8">
      <c r="A16" s="11"/>
      <c r="B16" s="700"/>
      <c r="C16" s="701"/>
    </row>
    <row r="17" spans="1:3" ht="30">
      <c r="A17" s="11"/>
      <c r="B17" s="339" t="s">
        <v>151</v>
      </c>
      <c r="C17" s="356" t="s">
        <v>621</v>
      </c>
    </row>
    <row r="18" spans="1:3" ht="15.75">
      <c r="A18" s="11">
        <v>1</v>
      </c>
      <c r="B18" s="497" t="s">
        <v>968</v>
      </c>
      <c r="C18" s="353" t="s">
        <v>969</v>
      </c>
    </row>
    <row r="19" spans="1:3" ht="15.75">
      <c r="A19" s="11">
        <v>2</v>
      </c>
      <c r="B19" s="497" t="s">
        <v>970</v>
      </c>
      <c r="C19" s="353" t="s">
        <v>1049</v>
      </c>
    </row>
    <row r="20" spans="1:3" ht="15.75">
      <c r="A20" s="11">
        <v>3</v>
      </c>
      <c r="B20" s="497" t="s">
        <v>971</v>
      </c>
      <c r="C20" s="353" t="s">
        <v>1050</v>
      </c>
    </row>
    <row r="21" spans="1:3" ht="15.75">
      <c r="A21" s="11">
        <v>4</v>
      </c>
      <c r="B21" s="497" t="s">
        <v>972</v>
      </c>
      <c r="C21" s="353" t="s">
        <v>1051</v>
      </c>
    </row>
    <row r="22" spans="1:3" ht="15.75">
      <c r="A22" s="11">
        <v>5</v>
      </c>
      <c r="B22" s="497" t="s">
        <v>973</v>
      </c>
      <c r="C22" s="353" t="s">
        <v>1052</v>
      </c>
    </row>
    <row r="23" spans="1:3" ht="15.75">
      <c r="A23" s="11">
        <v>6</v>
      </c>
      <c r="B23" s="22" t="s">
        <v>1048</v>
      </c>
      <c r="C23" s="353" t="s">
        <v>1053</v>
      </c>
    </row>
    <row r="24" spans="1:3" ht="15.75">
      <c r="A24" s="11">
        <v>7</v>
      </c>
      <c r="B24" s="22" t="s">
        <v>1054</v>
      </c>
      <c r="C24" s="353" t="s">
        <v>1055</v>
      </c>
    </row>
    <row r="25" spans="1:3" ht="15.75">
      <c r="A25" s="11">
        <v>8</v>
      </c>
      <c r="B25" s="22"/>
      <c r="C25" s="353"/>
    </row>
    <row r="26" spans="1:3" ht="15.75">
      <c r="A26" s="11">
        <v>9</v>
      </c>
      <c r="B26" s="22"/>
      <c r="C26" s="353"/>
    </row>
    <row r="27" spans="1:3" ht="15.75" customHeight="1">
      <c r="A27" s="11">
        <v>10</v>
      </c>
      <c r="B27" s="22"/>
      <c r="C27" s="354"/>
    </row>
    <row r="28" spans="1:3" ht="15.75" customHeight="1">
      <c r="A28" s="11"/>
      <c r="B28" s="22"/>
      <c r="C28" s="23"/>
    </row>
    <row r="29" spans="1:3" ht="30" customHeight="1">
      <c r="A29" s="11"/>
      <c r="B29" s="702" t="s">
        <v>152</v>
      </c>
      <c r="C29" s="703"/>
    </row>
    <row r="30" spans="1:3">
      <c r="A30" s="11">
        <v>1</v>
      </c>
      <c r="B30" s="498" t="s">
        <v>974</v>
      </c>
      <c r="C30" s="499">
        <v>1</v>
      </c>
    </row>
    <row r="31" spans="1:3" ht="15.75" customHeight="1">
      <c r="A31" s="11"/>
      <c r="B31" s="54"/>
      <c r="C31" s="55"/>
    </row>
    <row r="32" spans="1:3" ht="29.25" customHeight="1">
      <c r="A32" s="11"/>
      <c r="B32" s="702" t="s">
        <v>273</v>
      </c>
      <c r="C32" s="703"/>
    </row>
    <row r="33" spans="1:3">
      <c r="A33" s="11">
        <v>1</v>
      </c>
      <c r="B33" s="496" t="s">
        <v>975</v>
      </c>
      <c r="C33" s="500">
        <v>1</v>
      </c>
    </row>
    <row r="34" spans="1:3" ht="16.5" thickBot="1">
      <c r="A34" s="12"/>
      <c r="B34" s="56"/>
      <c r="C34" s="352"/>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16" activePane="bottomRight" state="frozen"/>
      <selection activeCell="B2" sqref="B2"/>
      <selection pane="topRight" activeCell="B2" sqref="B2"/>
      <selection pane="bottomLeft" activeCell="B2" sqref="B2"/>
      <selection pane="bottomRight" activeCell="C10" sqref="C10"/>
    </sheetView>
  </sheetViews>
  <sheetFormatPr defaultRowHeight="15"/>
  <cols>
    <col min="1" max="1" width="9.5703125" style="1" bestFit="1" customWidth="1"/>
    <col min="2" max="2" width="47.5703125" style="1" customWidth="1"/>
    <col min="3" max="3" width="28" style="1" customWidth="1"/>
    <col min="4" max="4" width="22.42578125" style="1" customWidth="1"/>
    <col min="5" max="5" width="18.7109375" style="1" customWidth="1"/>
    <col min="6" max="6" width="12" bestFit="1" customWidth="1"/>
    <col min="7" max="7" width="12.5703125" bestFit="1" customWidth="1"/>
  </cols>
  <sheetData>
    <row r="1" spans="1:5" ht="15.75">
      <c r="A1" s="14" t="s">
        <v>188</v>
      </c>
      <c r="B1" s="13" t="str">
        <f>Info!C2</f>
        <v>სს "ბანკი ქართუ"</v>
      </c>
    </row>
    <row r="2" spans="1:5" s="14" customFormat="1" ht="15.75" customHeight="1">
      <c r="A2" s="14" t="s">
        <v>189</v>
      </c>
      <c r="B2" s="641">
        <f>'1. key ratios'!B2</f>
        <v>44926</v>
      </c>
    </row>
    <row r="3" spans="1:5" s="14" customFormat="1" ht="15.75" customHeight="1"/>
    <row r="4" spans="1:5" s="14" customFormat="1" ht="15.75" customHeight="1" thickBot="1">
      <c r="A4" s="206" t="s">
        <v>411</v>
      </c>
      <c r="B4" s="207" t="s">
        <v>263</v>
      </c>
      <c r="C4" s="171"/>
      <c r="D4" s="171"/>
      <c r="E4" s="172" t="s">
        <v>93</v>
      </c>
    </row>
    <row r="5" spans="1:5" s="108" customFormat="1" ht="17.649999999999999" customHeight="1">
      <c r="A5" s="273"/>
      <c r="B5" s="274"/>
      <c r="C5" s="170" t="s">
        <v>0</v>
      </c>
      <c r="D5" s="170" t="s">
        <v>1</v>
      </c>
      <c r="E5" s="275" t="s">
        <v>2</v>
      </c>
    </row>
    <row r="6" spans="1:5" ht="14.65" customHeight="1">
      <c r="A6" s="276"/>
      <c r="B6" s="704" t="s">
        <v>231</v>
      </c>
      <c r="C6" s="704" t="s">
        <v>230</v>
      </c>
      <c r="D6" s="705" t="s">
        <v>229</v>
      </c>
      <c r="E6" s="706"/>
    </row>
    <row r="7" spans="1:5" ht="99.6" customHeight="1">
      <c r="A7" s="276"/>
      <c r="B7" s="704"/>
      <c r="C7" s="704"/>
      <c r="D7" s="271" t="s">
        <v>228</v>
      </c>
      <c r="E7" s="272" t="s">
        <v>522</v>
      </c>
    </row>
    <row r="8" spans="1:5">
      <c r="A8" s="277">
        <v>1</v>
      </c>
      <c r="B8" s="278" t="s">
        <v>154</v>
      </c>
      <c r="C8" s="279">
        <f>'2. RC'!E7</f>
        <v>27977543</v>
      </c>
      <c r="D8" s="279"/>
      <c r="E8" s="280">
        <f>C8-D8</f>
        <v>27977543</v>
      </c>
    </row>
    <row r="9" spans="1:5">
      <c r="A9" s="277">
        <v>2</v>
      </c>
      <c r="B9" s="278" t="s">
        <v>155</v>
      </c>
      <c r="C9" s="279">
        <f>'2. RC'!E8</f>
        <v>330333988</v>
      </c>
      <c r="D9" s="279"/>
      <c r="E9" s="280">
        <f t="shared" ref="E9:E20" si="0">C9-D9</f>
        <v>330333988</v>
      </c>
    </row>
    <row r="10" spans="1:5">
      <c r="A10" s="277">
        <v>3</v>
      </c>
      <c r="B10" s="278" t="s">
        <v>227</v>
      </c>
      <c r="C10" s="279">
        <f>'2. RC'!E9</f>
        <v>332159335.99000001</v>
      </c>
      <c r="D10" s="279"/>
      <c r="E10" s="280">
        <f t="shared" si="0"/>
        <v>332159335.99000001</v>
      </c>
    </row>
    <row r="11" spans="1:5">
      <c r="A11" s="277">
        <v>4</v>
      </c>
      <c r="B11" s="278" t="s">
        <v>185</v>
      </c>
      <c r="C11" s="279">
        <f>'2. RC'!E10</f>
        <v>0</v>
      </c>
      <c r="D11" s="279"/>
      <c r="E11" s="280">
        <f t="shared" si="0"/>
        <v>0</v>
      </c>
    </row>
    <row r="12" spans="1:5">
      <c r="A12" s="277">
        <v>5</v>
      </c>
      <c r="B12" s="278" t="s">
        <v>157</v>
      </c>
      <c r="C12" s="279">
        <f>'2. RC'!E11</f>
        <v>35923730</v>
      </c>
      <c r="D12" s="279">
        <f>'2. RC'!E39</f>
        <v>30730</v>
      </c>
      <c r="E12" s="280">
        <f t="shared" si="0"/>
        <v>35893000</v>
      </c>
    </row>
    <row r="13" spans="1:5">
      <c r="A13" s="277">
        <v>6.1</v>
      </c>
      <c r="B13" s="278" t="s">
        <v>158</v>
      </c>
      <c r="C13" s="281">
        <f>'2. RC'!E12</f>
        <v>760270853</v>
      </c>
      <c r="D13" s="279"/>
      <c r="E13" s="280">
        <f>C13-D13</f>
        <v>760270853</v>
      </c>
    </row>
    <row r="14" spans="1:5">
      <c r="A14" s="277">
        <v>6.2</v>
      </c>
      <c r="B14" s="282" t="s">
        <v>159</v>
      </c>
      <c r="C14" s="501">
        <f>'2. RC'!E13</f>
        <v>-110295388</v>
      </c>
      <c r="D14" s="502"/>
      <c r="E14" s="503">
        <f>C14</f>
        <v>-110295388</v>
      </c>
    </row>
    <row r="15" spans="1:5">
      <c r="A15" s="277">
        <v>6</v>
      </c>
      <c r="B15" s="278" t="s">
        <v>226</v>
      </c>
      <c r="C15" s="279">
        <f>'2. RC'!E14</f>
        <v>649975465</v>
      </c>
      <c r="D15" s="279"/>
      <c r="E15" s="280">
        <f>SUM(E13:E14)</f>
        <v>649975465</v>
      </c>
    </row>
    <row r="16" spans="1:5">
      <c r="A16" s="277">
        <v>7</v>
      </c>
      <c r="B16" s="278" t="s">
        <v>161</v>
      </c>
      <c r="C16" s="279">
        <f>'2. RC'!E15</f>
        <v>34477586</v>
      </c>
      <c r="D16" s="279"/>
      <c r="E16" s="280">
        <f t="shared" si="0"/>
        <v>34477586</v>
      </c>
    </row>
    <row r="17" spans="1:7">
      <c r="A17" s="277">
        <v>8</v>
      </c>
      <c r="B17" s="278" t="s">
        <v>162</v>
      </c>
      <c r="C17" s="279">
        <f>'2. RC'!E16</f>
        <v>22260034</v>
      </c>
      <c r="D17" s="279"/>
      <c r="E17" s="280">
        <f t="shared" si="0"/>
        <v>22260034</v>
      </c>
      <c r="F17" s="3"/>
      <c r="G17" s="3"/>
    </row>
    <row r="18" spans="1:7">
      <c r="A18" s="277">
        <v>9</v>
      </c>
      <c r="B18" s="278" t="s">
        <v>163</v>
      </c>
      <c r="C18" s="279">
        <f>'2. RC'!E17</f>
        <v>7800148</v>
      </c>
      <c r="D18" s="279"/>
      <c r="E18" s="280">
        <f t="shared" si="0"/>
        <v>7800148</v>
      </c>
      <c r="G18" s="3"/>
    </row>
    <row r="19" spans="1:7" ht="25.5">
      <c r="A19" s="277">
        <v>10</v>
      </c>
      <c r="B19" s="278" t="s">
        <v>164</v>
      </c>
      <c r="C19" s="279">
        <f>'2. RC'!E18</f>
        <v>22426868</v>
      </c>
      <c r="D19" s="279">
        <f>'9. Capital'!C15</f>
        <v>5439743</v>
      </c>
      <c r="E19" s="280">
        <f t="shared" si="0"/>
        <v>16987125</v>
      </c>
      <c r="G19" s="3"/>
    </row>
    <row r="20" spans="1:7">
      <c r="A20" s="277">
        <v>11</v>
      </c>
      <c r="B20" s="278" t="s">
        <v>165</v>
      </c>
      <c r="C20" s="279">
        <f>'2. RC'!E19</f>
        <v>21190494.009999998</v>
      </c>
      <c r="D20" s="279">
        <f>'9. Capital'!C20</f>
        <v>0</v>
      </c>
      <c r="E20" s="280">
        <f t="shared" si="0"/>
        <v>21190494.009999998</v>
      </c>
    </row>
    <row r="21" spans="1:7" ht="39" thickBot="1">
      <c r="A21" s="283"/>
      <c r="B21" s="284" t="s">
        <v>485</v>
      </c>
      <c r="C21" s="242">
        <f>SUM(C8:C12, C15:C20)</f>
        <v>1484525192</v>
      </c>
      <c r="D21" s="242">
        <f>SUM(D8:D12, D15:D20)</f>
        <v>5470473</v>
      </c>
      <c r="E21" s="285">
        <f>SUM(E8:E12, E15:E20)</f>
        <v>1479054719</v>
      </c>
    </row>
    <row r="22" spans="1:7">
      <c r="A22"/>
      <c r="B22"/>
      <c r="C22"/>
      <c r="D22"/>
      <c r="E22"/>
    </row>
    <row r="23" spans="1:7">
      <c r="A23"/>
      <c r="B23"/>
      <c r="C23"/>
      <c r="D23"/>
      <c r="E23"/>
    </row>
    <row r="25" spans="1:7" s="1" customFormat="1">
      <c r="B25" s="58"/>
      <c r="F25"/>
      <c r="G25"/>
    </row>
    <row r="26" spans="1:7" s="1" customFormat="1">
      <c r="B26" s="59"/>
      <c r="F26"/>
      <c r="G26"/>
    </row>
    <row r="27" spans="1:7" s="1" customFormat="1">
      <c r="B27" s="58"/>
      <c r="F27"/>
      <c r="G27"/>
    </row>
    <row r="28" spans="1:7" s="1" customFormat="1">
      <c r="B28" s="58"/>
      <c r="F28"/>
      <c r="G28"/>
    </row>
    <row r="29" spans="1:7" s="1" customFormat="1">
      <c r="B29" s="58"/>
      <c r="F29"/>
      <c r="G29"/>
    </row>
    <row r="30" spans="1:7" s="1" customFormat="1">
      <c r="B30" s="58"/>
      <c r="F30"/>
      <c r="G30"/>
    </row>
    <row r="31" spans="1:7" s="1" customFormat="1">
      <c r="B31" s="58"/>
      <c r="F31"/>
      <c r="G31"/>
    </row>
    <row r="32" spans="1:7" s="1" customFormat="1">
      <c r="B32" s="59"/>
      <c r="F32"/>
      <c r="G32"/>
    </row>
    <row r="33" spans="2:7" s="1" customFormat="1">
      <c r="B33" s="59"/>
      <c r="F33"/>
      <c r="G33"/>
    </row>
    <row r="34" spans="2:7" s="1" customFormat="1">
      <c r="B34" s="59"/>
      <c r="F34"/>
      <c r="G34"/>
    </row>
    <row r="35" spans="2:7" s="1" customFormat="1">
      <c r="B35" s="59"/>
      <c r="F35"/>
      <c r="G35"/>
    </row>
    <row r="36" spans="2:7" s="1" customFormat="1">
      <c r="B36" s="59"/>
      <c r="F36"/>
      <c r="G36"/>
    </row>
    <row r="37" spans="2:7" s="1" customFormat="1">
      <c r="B37" s="5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C12" sqref="C12"/>
    </sheetView>
  </sheetViews>
  <sheetFormatPr defaultRowHeight="15" outlineLevelRow="1"/>
  <cols>
    <col min="1" max="1" width="9.5703125" style="1" bestFit="1" customWidth="1"/>
    <col min="2" max="2" width="114.28515625" style="1" customWidth="1"/>
    <col min="3" max="3" width="18.71093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"ბანკი ქართუ"</v>
      </c>
    </row>
    <row r="2" spans="1:6" s="14" customFormat="1" ht="15.75" customHeight="1">
      <c r="A2" s="14" t="s">
        <v>189</v>
      </c>
      <c r="B2" s="641">
        <f>'1. key ratios'!B2</f>
        <v>44926</v>
      </c>
      <c r="C2"/>
      <c r="D2"/>
      <c r="E2"/>
      <c r="F2"/>
    </row>
    <row r="3" spans="1:6" s="14" customFormat="1" ht="15.75" customHeight="1">
      <c r="C3"/>
      <c r="D3"/>
      <c r="E3"/>
      <c r="F3"/>
    </row>
    <row r="4" spans="1:6" s="14" customFormat="1" ht="26.25" thickBot="1">
      <c r="A4" s="14" t="s">
        <v>412</v>
      </c>
      <c r="B4" s="178" t="s">
        <v>266</v>
      </c>
      <c r="C4" s="172" t="s">
        <v>93</v>
      </c>
      <c r="D4"/>
      <c r="E4"/>
      <c r="F4"/>
    </row>
    <row r="5" spans="1:6" ht="26.25">
      <c r="A5" s="173">
        <v>1</v>
      </c>
      <c r="B5" s="174" t="s">
        <v>434</v>
      </c>
      <c r="C5" s="219">
        <f>'7. LI1'!E21</f>
        <v>1479054719</v>
      </c>
    </row>
    <row r="6" spans="1:6">
      <c r="A6" s="107">
        <v>2.1</v>
      </c>
      <c r="B6" s="180" t="s">
        <v>267</v>
      </c>
      <c r="C6" s="504">
        <f>'13. CRME'!D22</f>
        <v>81670687.572820142</v>
      </c>
    </row>
    <row r="7" spans="1:6" s="2" customFormat="1" ht="25.5" outlineLevel="1">
      <c r="A7" s="179">
        <v>2.2000000000000002</v>
      </c>
      <c r="B7" s="175" t="s">
        <v>268</v>
      </c>
      <c r="C7" s="505">
        <f>'15. CCR'!C21</f>
        <v>0</v>
      </c>
    </row>
    <row r="8" spans="1:6" s="2" customFormat="1" ht="26.25">
      <c r="A8" s="179">
        <v>3</v>
      </c>
      <c r="B8" s="176" t="s">
        <v>435</v>
      </c>
      <c r="C8" s="221">
        <f>SUM(C5:C7)</f>
        <v>1560725406.5728202</v>
      </c>
    </row>
    <row r="9" spans="1:6">
      <c r="A9" s="107">
        <v>4</v>
      </c>
      <c r="B9" s="183" t="s">
        <v>264</v>
      </c>
      <c r="C9" s="504">
        <v>9786158</v>
      </c>
    </row>
    <row r="10" spans="1:6" s="2" customFormat="1" ht="25.5" outlineLevel="1">
      <c r="A10" s="179">
        <v>5.0999999999999996</v>
      </c>
      <c r="B10" s="175" t="s">
        <v>274</v>
      </c>
      <c r="C10" s="220">
        <f>'13. CRME'!E22-'13. CRME'!D22</f>
        <v>-38370191.094040059</v>
      </c>
    </row>
    <row r="11" spans="1:6" s="2" customFormat="1" ht="25.5" outlineLevel="1">
      <c r="A11" s="179">
        <v>5.2</v>
      </c>
      <c r="B11" s="175" t="s">
        <v>275</v>
      </c>
      <c r="C11" s="220">
        <f>'15. CCR'!E21-'15. CCR'!C21</f>
        <v>0</v>
      </c>
    </row>
    <row r="12" spans="1:6" s="2" customFormat="1">
      <c r="A12" s="179">
        <v>6</v>
      </c>
      <c r="B12" s="181" t="s">
        <v>607</v>
      </c>
      <c r="C12" s="220">
        <v>4668181.54</v>
      </c>
    </row>
    <row r="13" spans="1:6" s="2" customFormat="1" ht="15.75" thickBot="1">
      <c r="A13" s="182">
        <v>7</v>
      </c>
      <c r="B13" s="177" t="s">
        <v>265</v>
      </c>
      <c r="C13" s="222">
        <f>SUM(C8:C12)</f>
        <v>1536809555.01878</v>
      </c>
    </row>
    <row r="15" spans="1:6" ht="26.25">
      <c r="B15" s="18" t="s">
        <v>608</v>
      </c>
    </row>
    <row r="17" spans="2:9" s="1" customFormat="1">
      <c r="B17" s="60"/>
      <c r="C17"/>
      <c r="D17"/>
      <c r="E17"/>
      <c r="F17"/>
      <c r="G17"/>
      <c r="H17"/>
      <c r="I17"/>
    </row>
    <row r="18" spans="2:9" s="1" customFormat="1">
      <c r="B18" s="57"/>
      <c r="C18"/>
      <c r="D18"/>
      <c r="E18"/>
      <c r="F18"/>
      <c r="G18"/>
      <c r="H18"/>
      <c r="I18"/>
    </row>
    <row r="19" spans="2:9" s="1" customFormat="1">
      <c r="B19" s="57"/>
      <c r="C19"/>
      <c r="D19"/>
      <c r="E19"/>
      <c r="F19"/>
      <c r="G19"/>
      <c r="H19"/>
      <c r="I19"/>
    </row>
    <row r="20" spans="2:9" s="1" customFormat="1">
      <c r="B20" s="59"/>
      <c r="C20"/>
      <c r="D20"/>
      <c r="E20"/>
      <c r="F20"/>
      <c r="G20"/>
      <c r="H20"/>
      <c r="I20"/>
    </row>
    <row r="21" spans="2:9" s="1" customFormat="1">
      <c r="B21" s="58"/>
      <c r="C21"/>
      <c r="D21"/>
      <c r="E21"/>
      <c r="F21"/>
      <c r="G21"/>
      <c r="H21"/>
      <c r="I21"/>
    </row>
    <row r="22" spans="2:9" s="1" customFormat="1">
      <c r="B22" s="59"/>
      <c r="C22"/>
      <c r="D22"/>
      <c r="E22"/>
      <c r="F22"/>
      <c r="G22"/>
      <c r="H22"/>
      <c r="I22"/>
    </row>
    <row r="23" spans="2:9" s="1" customFormat="1">
      <c r="B23" s="58"/>
      <c r="C23"/>
      <c r="D23"/>
      <c r="E23"/>
      <c r="F23"/>
      <c r="G23"/>
      <c r="H23"/>
      <c r="I23"/>
    </row>
    <row r="24" spans="2:9" s="1" customFormat="1">
      <c r="B24" s="58"/>
      <c r="C24"/>
      <c r="D24"/>
      <c r="E24"/>
      <c r="F24"/>
      <c r="G24"/>
      <c r="H24"/>
      <c r="I24"/>
    </row>
    <row r="25" spans="2:9" s="1" customFormat="1">
      <c r="B25" s="58"/>
      <c r="C25"/>
      <c r="D25"/>
      <c r="E25"/>
      <c r="F25"/>
      <c r="G25"/>
      <c r="H25"/>
      <c r="I25"/>
    </row>
    <row r="26" spans="2:9" s="1" customFormat="1">
      <c r="B26" s="58"/>
      <c r="C26"/>
      <c r="D26"/>
      <c r="E26"/>
      <c r="F26"/>
      <c r="G26"/>
      <c r="H26"/>
      <c r="I26"/>
    </row>
    <row r="27" spans="2:9" s="1" customFormat="1">
      <c r="B27" s="58"/>
      <c r="C27"/>
      <c r="D27"/>
      <c r="E27"/>
      <c r="F27"/>
      <c r="G27"/>
      <c r="H27"/>
      <c r="I27"/>
    </row>
    <row r="28" spans="2:9" s="1" customFormat="1">
      <c r="B28" s="59"/>
      <c r="C28"/>
      <c r="D28"/>
      <c r="E28"/>
      <c r="F28"/>
      <c r="G28"/>
      <c r="H28"/>
      <c r="I28"/>
    </row>
    <row r="29" spans="2:9" s="1" customFormat="1">
      <c r="B29" s="59"/>
      <c r="C29"/>
      <c r="D29"/>
      <c r="E29"/>
      <c r="F29"/>
      <c r="G29"/>
      <c r="H29"/>
      <c r="I29"/>
    </row>
    <row r="30" spans="2:9" s="1" customFormat="1">
      <c r="B30" s="59"/>
      <c r="C30"/>
      <c r="D30"/>
      <c r="E30"/>
      <c r="F30"/>
      <c r="G30"/>
      <c r="H30"/>
      <c r="I30"/>
    </row>
    <row r="31" spans="2:9" s="1" customFormat="1">
      <c r="B31" s="59"/>
      <c r="C31"/>
      <c r="D31"/>
      <c r="E31"/>
      <c r="F31"/>
      <c r="G31"/>
      <c r="H31"/>
      <c r="I31"/>
    </row>
    <row r="32" spans="2:9" s="1" customFormat="1">
      <c r="B32" s="59"/>
      <c r="C32"/>
      <c r="D32"/>
      <c r="E32"/>
      <c r="F32"/>
      <c r="G32"/>
      <c r="H32"/>
      <c r="I32"/>
    </row>
    <row r="33" spans="2:9" s="1" customFormat="1">
      <c r="B33" s="5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fiKEEspCQLOp+stEqSGmU//x3jkB66TR/QghAanHtgU=</DigestValue>
    </Reference>
    <Reference Type="http://www.w3.org/2000/09/xmldsig#Object" URI="#idOfficeObject">
      <DigestMethod Algorithm="http://www.w3.org/2001/04/xmlenc#sha256"/>
      <DigestValue>3Fqi4SGQFmJfEI195zmScUePgdxMYav4CD1HFJphTQc=</DigestValue>
    </Reference>
    <Reference Type="http://uri.etsi.org/01903#SignedProperties" URI="#idSignedProperties">
      <Transforms>
        <Transform Algorithm="http://www.w3.org/TR/2001/REC-xml-c14n-20010315"/>
      </Transforms>
      <DigestMethod Algorithm="http://www.w3.org/2001/04/xmlenc#sha256"/>
      <DigestValue>faUClD5P43XUAjsu85cXHuV731fThyVVh8F7gApkN34=</DigestValue>
    </Reference>
  </SignedInfo>
  <SignatureValue>KUYzozp2R/dn5PhfATuMPTLyYUDUGGtYG8yjkYyWmFHKEwc91oMsWcujPUHk/kZ7zpx6/X7Gt+F9
eeyXUmVRBxbK+v1xbQDkPq45SaWdkHNrNAp/y8N6tKiUOo80ZyUwm2/p35OcSTZ4Eooz3J4B87QC
57loFe5F20ShIDXUPh4dR+CJX7WkU1rdCYRBQmTR+aId4DSz8oaj2kz2bAZGUna5F6Rm+0/mk/iq
TaH10ovHbE2sKYh1JDLP0FLB6GO/BVnApdsaKKQiP+hb9S5EDfjxQDPJQvSpbyaa7hr7nVwbIm8u
LF8KCtkWq84jnMC+9YYeTSuDbESGa++NWZ47PQ==</SignatureValue>
  <KeyInfo>
    <X509Data>
      <X509Certificate>MIIGPTCCBSWgAwIBAgIKaCmghgADAAH9FjANBgkqhkiG9w0BAQsFADBKMRIwEAYKCZImiZPyLGQBGRYCZ2UxEzARBgoJkiaJk/IsZAEZFgNuYmcxHzAdBgNVBAMTFk5CRyBDbGFzcyAyIElOVCBTdWIgQ0EwHhcNMjExMjA2MTEzMjU3WhcNMjMxMjA2MTEzMjU3WjA7MRcwFQYDVQQKEw5KU0MgQ0FSVFUgQkFOSzEgMB4GA1UEAxMXQkNSIC0gRGF2aWQgR2FsdWFzaHZpbGkwggEiMA0GCSqGSIb3DQEBAQUAA4IBDwAwggEKAoIBAQCaHLIbBsMRD0XQ2H4Cljphv43bFBGQRcIolOmAMJJVHBLQajGmXbigf4JaRzo9PCOpVZ6MpBTi7VvGF24bweXkBRjxDn9EywMyz837aRsPyJRy8nIj3lckwzY4MvDc7GDTvVcXQOLEGdQ5xbw7jm4huehlclHfTaLo/VvgywWRNLXo04/STgwg27dgTlJmpcOTxZIBYkT7vjwK36I/Mb0j8JDSc4hwa0OKGlp/NB5C8TiXMaW6lnd5z7cyCB201EDLnZs9Df3NWPbnF4eI6jpJE8AqBdC8aY/5FFI80mX9MfR4uM8PT91lhAmjYzScZvsrklz2rNv6v/Z/+IIIpqrlAgMBAAGjggMyMIIDLjA8BgkrBgEEAYI3FQcELzAtBiUrBgEEAYI3FQjmsmCDjfVEhoGZCYO4oUqDvoRxBIPEkTOEg4hdAgFkAgEjMB0GA1UdJQQWMBQGCCsGAQUFBwMCBggrBgEFBQcDBDALBgNVHQ8EBAMCB4AwJwYJKwYBBAGCNxUKBBowGDAKBggrBgEFBQcDAjAKBggrBgEFBQcDBDAdBgNVHQ4EFgQU0JO/WXyJDE7XNtpTiXftYb7pvy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xNwIXC44DESbbP2usl9qwD+HD2mZyAILICWO+3iJagjUx075F4aRS69Kz0d+9ex+2vX4zhmz+yrCJm1pDABOY3IKRKm0pyLQkll3+9a1Drge2wgNQp8AHBmv3ZOWVRYT6lJ6Tx2ZFvtf5FB0S4zETQpY8eZr5GUYgyyXKtki4flT/1WMqzHeO4adyoGnadhq/KVzj+WSsGz8lYdeUtvUyRvDDX1zzT65MUnbzO+BsNnTpW8g+MLnpRxFGMYHzn21jXJneMEm0FgDMTR4RRchnXJMEnltihx9vywmZ+b2QLWGCFBSiP7r9sExDTj6SEgQ+bEsa1pJnNyl7uo+atXA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iV/Uu02YGmeRWVT05jtED97R+pXVqu61injY/BwktKY=</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16.bin?ContentType=application/vnd.openxmlformats-officedocument.spreadsheetml.printerSettings">
        <DigestMethod Algorithm="http://www.w3.org/2001/04/xmlenc#sha256"/>
        <DigestValue>i1H/KDFjJcYFnRoG/vQAPO15syS6bTWL9W8sSlcyte0=</DigestValue>
      </Reference>
      <Reference URI="/xl/printerSettings/printerSettings17.bin?ContentType=application/vnd.openxmlformats-officedocument.spreadsheetml.printerSettings">
        <DigestMethod Algorithm="http://www.w3.org/2001/04/xmlenc#sha256"/>
        <DigestValue>JXWIrlKFv8dBdHgbBsxByPOLyWdHbFirDhO9WCuSqUU=</DigestValue>
      </Reference>
      <Reference URI="/xl/printerSettings/printerSettings18.bin?ContentType=application/vnd.openxmlformats-officedocument.spreadsheetml.printerSettings">
        <DigestMethod Algorithm="http://www.w3.org/2001/04/xmlenc#sha256"/>
        <DigestValue>JXWIrlKFv8dBdHgbBsxByPOLyWdHbFirDhO9WCuSqUU=</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i1H/KDFjJcYFnRoG/vQAPO15syS6bTWL9W8sSlcyte0=</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JXWIrlKFv8dBdHgbBsxByPOLyWdHbFirDhO9WCuSqUU=</DigestValue>
      </Reference>
      <Reference URI="/xl/printerSettings/printerSettings25.bin?ContentType=application/vnd.openxmlformats-officedocument.spreadsheetml.printerSettings">
        <DigestMethod Algorithm="http://www.w3.org/2001/04/xmlenc#sha256"/>
        <DigestValue>i1H/KDFjJcYFnRoG/vQAPO15syS6bTWL9W8sSlcyte0=</DigestValue>
      </Reference>
      <Reference URI="/xl/printerSettings/printerSettings26.bin?ContentType=application/vnd.openxmlformats-officedocument.spreadsheetml.printerSettings">
        <DigestMethod Algorithm="http://www.w3.org/2001/04/xmlenc#sha256"/>
        <DigestValue>yq741iUxKc3WyW8Gs0tEU0HDfob9x8G3uOoh5dY9ILc=</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Qor/U7g/KDzNrP7hnKztBbh9JrPW8JOJubRmPBe3D3I=</DigestValue>
      </Reference>
      <Reference URI="/xl/styles.xml?ContentType=application/vnd.openxmlformats-officedocument.spreadsheetml.styles+xml">
        <DigestMethod Algorithm="http://www.w3.org/2001/04/xmlenc#sha256"/>
        <DigestValue>NYXiz/dzPhq9D8tt0kFYksVVvrxDBGw3JEFO+EAexpM=</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5o905Pzje33ZD8J5r0QumZirxTFe3fpgTMlb6Wfqcmk=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B761zTg0ectFXr3mrGOOU2HppMFn0EUrA0g50oUnuf0=</DigestValue>
      </Reference>
      <Reference URI="/xl/worksheets/sheet10.xml?ContentType=application/vnd.openxmlformats-officedocument.spreadsheetml.worksheet+xml">
        <DigestMethod Algorithm="http://www.w3.org/2001/04/xmlenc#sha256"/>
        <DigestValue>YPDWRf1/f1Fkm2pXCkfVBcM4RhkM0gYb5XGiQhAIOhQ=</DigestValue>
      </Reference>
      <Reference URI="/xl/worksheets/sheet11.xml?ContentType=application/vnd.openxmlformats-officedocument.spreadsheetml.worksheet+xml">
        <DigestMethod Algorithm="http://www.w3.org/2001/04/xmlenc#sha256"/>
        <DigestValue>wgxdYGNV3hl1TALdybsG06apBajVVUFzXoV/7pMwU3Q=</DigestValue>
      </Reference>
      <Reference URI="/xl/worksheets/sheet12.xml?ContentType=application/vnd.openxmlformats-officedocument.spreadsheetml.worksheet+xml">
        <DigestMethod Algorithm="http://www.w3.org/2001/04/xmlenc#sha256"/>
        <DigestValue>r+VKELXs3aJiSpF1AVTIt3v80sVgV5oBiNlXpZ/UZq8=</DigestValue>
      </Reference>
      <Reference URI="/xl/worksheets/sheet13.xml?ContentType=application/vnd.openxmlformats-officedocument.spreadsheetml.worksheet+xml">
        <DigestMethod Algorithm="http://www.w3.org/2001/04/xmlenc#sha256"/>
        <DigestValue>cc8M1AS9CEeAoCX49cObPEyICm752Bl4gTtiJQwNkLc=</DigestValue>
      </Reference>
      <Reference URI="/xl/worksheets/sheet14.xml?ContentType=application/vnd.openxmlformats-officedocument.spreadsheetml.worksheet+xml">
        <DigestMethod Algorithm="http://www.w3.org/2001/04/xmlenc#sha256"/>
        <DigestValue>JZ87CAs1WOQLvckTVGyez2jqcyv8rFT0UfR3pbE9FqY=</DigestValue>
      </Reference>
      <Reference URI="/xl/worksheets/sheet15.xml?ContentType=application/vnd.openxmlformats-officedocument.spreadsheetml.worksheet+xml">
        <DigestMethod Algorithm="http://www.w3.org/2001/04/xmlenc#sha256"/>
        <DigestValue>qZIg+ikY2hOxcCFIK1Q1Tn1ziwuZdx7d24d3A0nV1pc=</DigestValue>
      </Reference>
      <Reference URI="/xl/worksheets/sheet16.xml?ContentType=application/vnd.openxmlformats-officedocument.spreadsheetml.worksheet+xml">
        <DigestMethod Algorithm="http://www.w3.org/2001/04/xmlenc#sha256"/>
        <DigestValue>EQ4YOUnU3oF6u/rsQB3ruy5CrMJlet240davuHtZbC4=</DigestValue>
      </Reference>
      <Reference URI="/xl/worksheets/sheet17.xml?ContentType=application/vnd.openxmlformats-officedocument.spreadsheetml.worksheet+xml">
        <DigestMethod Algorithm="http://www.w3.org/2001/04/xmlenc#sha256"/>
        <DigestValue>TlM3syeYCQFynDjQyplDC2XV/Byt/WlGysb2PrjpXMA=</DigestValue>
      </Reference>
      <Reference URI="/xl/worksheets/sheet18.xml?ContentType=application/vnd.openxmlformats-officedocument.spreadsheetml.worksheet+xml">
        <DigestMethod Algorithm="http://www.w3.org/2001/04/xmlenc#sha256"/>
        <DigestValue>i/v81L09UiOOyhDySTbrEoRaEiOVlVx2vru6n2FVdwo=</DigestValue>
      </Reference>
      <Reference URI="/xl/worksheets/sheet19.xml?ContentType=application/vnd.openxmlformats-officedocument.spreadsheetml.worksheet+xml">
        <DigestMethod Algorithm="http://www.w3.org/2001/04/xmlenc#sha256"/>
        <DigestValue>j3ngBBriMJgMZEdqSxesXkuMuM2RzrEv/O8OKtPu+z0=</DigestValue>
      </Reference>
      <Reference URI="/xl/worksheets/sheet2.xml?ContentType=application/vnd.openxmlformats-officedocument.spreadsheetml.worksheet+xml">
        <DigestMethod Algorithm="http://www.w3.org/2001/04/xmlenc#sha256"/>
        <DigestValue>aO8TfD9jWZVvAmToNjO8R1YgAT0aJwroosqFIAFZVI4=</DigestValue>
      </Reference>
      <Reference URI="/xl/worksheets/sheet20.xml?ContentType=application/vnd.openxmlformats-officedocument.spreadsheetml.worksheet+xml">
        <DigestMethod Algorithm="http://www.w3.org/2001/04/xmlenc#sha256"/>
        <DigestValue>6XvHIoGjNb5kAlj+G0pXWoxgelODh1x74/gzHLjAZoI=</DigestValue>
      </Reference>
      <Reference URI="/xl/worksheets/sheet21.xml?ContentType=application/vnd.openxmlformats-officedocument.spreadsheetml.worksheet+xml">
        <DigestMethod Algorithm="http://www.w3.org/2001/04/xmlenc#sha256"/>
        <DigestValue>g0coEiqB7lGOOpFI5Aq3IXY6YTg+aNBM7LGY/KhBZSo=</DigestValue>
      </Reference>
      <Reference URI="/xl/worksheets/sheet22.xml?ContentType=application/vnd.openxmlformats-officedocument.spreadsheetml.worksheet+xml">
        <DigestMethod Algorithm="http://www.w3.org/2001/04/xmlenc#sha256"/>
        <DigestValue>tKpcgml1QKhs+RvLk6HHRu96yUDEjv6DORLSY3u+XyI=</DigestValue>
      </Reference>
      <Reference URI="/xl/worksheets/sheet23.xml?ContentType=application/vnd.openxmlformats-officedocument.spreadsheetml.worksheet+xml">
        <DigestMethod Algorithm="http://www.w3.org/2001/04/xmlenc#sha256"/>
        <DigestValue>CIDQDoxNsj1AR+vdxnNL2AWvo9cu8t52jtFeCI3m9gs=</DigestValue>
      </Reference>
      <Reference URI="/xl/worksheets/sheet24.xml?ContentType=application/vnd.openxmlformats-officedocument.spreadsheetml.worksheet+xml">
        <DigestMethod Algorithm="http://www.w3.org/2001/04/xmlenc#sha256"/>
        <DigestValue>VKn2GdfGpy59B45LgxJwGlRkmwmtPqbWv9krA5ocIHI=</DigestValue>
      </Reference>
      <Reference URI="/xl/worksheets/sheet25.xml?ContentType=application/vnd.openxmlformats-officedocument.spreadsheetml.worksheet+xml">
        <DigestMethod Algorithm="http://www.w3.org/2001/04/xmlenc#sha256"/>
        <DigestValue>fonvA0NJI/sUfKFNeAFnC0jpvrqCOcUVur4W3kw3Pjo=</DigestValue>
      </Reference>
      <Reference URI="/xl/worksheets/sheet26.xml?ContentType=application/vnd.openxmlformats-officedocument.spreadsheetml.worksheet+xml">
        <DigestMethod Algorithm="http://www.w3.org/2001/04/xmlenc#sha256"/>
        <DigestValue>ox+HZBB8C284Ki7JyOJc3FLhc3exBxcuAZ6POyF+USo=</DigestValue>
      </Reference>
      <Reference URI="/xl/worksheets/sheet27.xml?ContentType=application/vnd.openxmlformats-officedocument.spreadsheetml.worksheet+xml">
        <DigestMethod Algorithm="http://www.w3.org/2001/04/xmlenc#sha256"/>
        <DigestValue>BfvrB770DrQ7fR7Mds98YoejJclC2bJnrplKwSnO6lk=</DigestValue>
      </Reference>
      <Reference URI="/xl/worksheets/sheet28.xml?ContentType=application/vnd.openxmlformats-officedocument.spreadsheetml.worksheet+xml">
        <DigestMethod Algorithm="http://www.w3.org/2001/04/xmlenc#sha256"/>
        <DigestValue>iWI6Z/+V71CkxP631DjjbUcFPR7Ju4ZRM81i3z9xEII=</DigestValue>
      </Reference>
      <Reference URI="/xl/worksheets/sheet29.xml?ContentType=application/vnd.openxmlformats-officedocument.spreadsheetml.worksheet+xml">
        <DigestMethod Algorithm="http://www.w3.org/2001/04/xmlenc#sha256"/>
        <DigestValue>VDqOWDIre+HzprgJDWA/WcWXGCzQquEn/rQC6KFT/EU=</DigestValue>
      </Reference>
      <Reference URI="/xl/worksheets/sheet3.xml?ContentType=application/vnd.openxmlformats-officedocument.spreadsheetml.worksheet+xml">
        <DigestMethod Algorithm="http://www.w3.org/2001/04/xmlenc#sha256"/>
        <DigestValue>PlCL8DKygzsM2L30yxh4ISZh44IACAX40K0kbWoX/no=</DigestValue>
      </Reference>
      <Reference URI="/xl/worksheets/sheet30.xml?ContentType=application/vnd.openxmlformats-officedocument.spreadsheetml.worksheet+xml">
        <DigestMethod Algorithm="http://www.w3.org/2001/04/xmlenc#sha256"/>
        <DigestValue>/e5josaCq02Gxvo+syHg5FCxZTVeLtGuI+Zwlsf2baU=</DigestValue>
      </Reference>
      <Reference URI="/xl/worksheets/sheet4.xml?ContentType=application/vnd.openxmlformats-officedocument.spreadsheetml.worksheet+xml">
        <DigestMethod Algorithm="http://www.w3.org/2001/04/xmlenc#sha256"/>
        <DigestValue>ER6wRaVB6JxFN66sm37y9LPlysD+4rvVa1fsLId1s3A=</DigestValue>
      </Reference>
      <Reference URI="/xl/worksheets/sheet5.xml?ContentType=application/vnd.openxmlformats-officedocument.spreadsheetml.worksheet+xml">
        <DigestMethod Algorithm="http://www.w3.org/2001/04/xmlenc#sha256"/>
        <DigestValue>o/pcHE0BgGplYgGPFae+c33rDEwBopfNc2BrECkCseI=</DigestValue>
      </Reference>
      <Reference URI="/xl/worksheets/sheet6.xml?ContentType=application/vnd.openxmlformats-officedocument.spreadsheetml.worksheet+xml">
        <DigestMethod Algorithm="http://www.w3.org/2001/04/xmlenc#sha256"/>
        <DigestValue>S2Ba213kZktMjDE+m72FfVNs9+tp8uW+b0VDEZJ/kBE=</DigestValue>
      </Reference>
      <Reference URI="/xl/worksheets/sheet7.xml?ContentType=application/vnd.openxmlformats-officedocument.spreadsheetml.worksheet+xml">
        <DigestMethod Algorithm="http://www.w3.org/2001/04/xmlenc#sha256"/>
        <DigestValue>ksfelGojWu2KOCEIXYJrkaiP1jQhFzTiBl2r5cBqhhY=</DigestValue>
      </Reference>
      <Reference URI="/xl/worksheets/sheet8.xml?ContentType=application/vnd.openxmlformats-officedocument.spreadsheetml.worksheet+xml">
        <DigestMethod Algorithm="http://www.w3.org/2001/04/xmlenc#sha256"/>
        <DigestValue>ZjvXTzghkfuCQ9hAT3jTJKFqol9DViMZnw0ZISm2qFo=</DigestValue>
      </Reference>
      <Reference URI="/xl/worksheets/sheet9.xml?ContentType=application/vnd.openxmlformats-officedocument.spreadsheetml.worksheet+xml">
        <DigestMethod Algorithm="http://www.w3.org/2001/04/xmlenc#sha256"/>
        <DigestValue>IM/0iOVLzCbnHHRzmznRVSVp49Wr4lpcgpyC5gCN7kw=</DigestValue>
      </Reference>
    </Manifest>
    <SignatureProperties>
      <SignatureProperty Id="idSignatureTime" Target="#idPackageSignature">
        <mdssi:SignatureTime xmlns:mdssi="http://schemas.openxmlformats.org/package/2006/digital-signature">
          <mdssi:Format>YYYY-MM-DDThh:mm:ssTZD</mdssi:Format>
          <mdssi:Value>2023-02-27T07:56:42Z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14</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2023-02-27T07:56:42Z</xd:SigningTime>
          <xd:SigningCertificate>
            <xd:Cert>
              <xd:CertDigest>
                <DigestMethod Algorithm="http://www.w3.org/2001/04/xmlenc#sha256"/>
                <DigestValue>VH/JYsD5bnPzffHLABRw0/ITbUZe3iuletVUI+JTYcs=</DigestValue>
              </xd:CertDigest>
              <xd:IssuerSerial>
                <X509IssuerName>CN=NBG Class 2 INT Sub CA, DC=nbg, DC=ge</X509IssuerName>
                <X509SerialNumber>491893997658171026570518</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14</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Q72no9sr6kNBnKnjv8M65BxRVFwK4a+1sC4kG4swoIk=</DigestValue>
    </Reference>
    <Reference Type="http://www.w3.org/2000/09/xmldsig#Object" URI="#idOfficeObject">
      <DigestMethod Algorithm="http://www.w3.org/2001/04/xmlenc#sha256"/>
      <DigestValue>5/Y+TqHtJicNiR2k55D6CLgC2kzUGw122UQWaD+T+Z0=</DigestValue>
    </Reference>
    <Reference Type="http://uri.etsi.org/01903#SignedProperties" URI="#idSignedProperties">
      <Transforms>
        <Transform Algorithm="http://www.w3.org/TR/2001/REC-xml-c14n-20010315"/>
      </Transforms>
      <DigestMethod Algorithm="http://www.w3.org/2001/04/xmlenc#sha256"/>
      <DigestValue>5fmWCRcXyEBl1N9bRPB0ww349BryY27kyPr5vh9UKW4=</DigestValue>
    </Reference>
  </SignedInfo>
  <SignatureValue>d/L4yqeC/jnECmjEyBaTqyaUWwWvSldSMMX81O2I6hBvaDjd0ACunzQYMVFeXfT095rKJYaEYnP6
RxRAEXUKdjDEWjbnPSsPFDdM5f5oT+PN8e6M7G0HKIaKNLzkVdUvdbpIPUVMTJ5PEcH+8mDfP0ay
ehEj7aJIGPUG1QAwsxbnaD+N1hfvlVSWG0Vw1Z7Sg4oH8TFnG5z159Ar1l/fNI/3BBKrFQWyUGIS
zTwycc9Ghmu/McT4usziZJGco5j9xghZRebdBktFMpEr+wDv+xEgt1Cr91Jzpb3CB+EmjgXunn6s
4EFZP0IFzrBfmTK0wOAEdafL7Z+IxOMvtFh1LQ==</SignatureValue>
  <KeyInfo>
    <X509Data>
      <X509Certificate>MIIGPDCCBSSgAwIBAgIKOB+W7QADAAIpWjANBgkqhkiG9w0BAQsFADBKMRIwEAYKCZImiZPyLGQBGRYCZ2UxEzARBgoJkiaJk/IsZAEZFgNuYmcxHzAdBgNVBAMTFk5CRyBDbGFzcyAyIElOVCBTdWIgQ0EwHhcNMjIxMjI3MTI1NzEzWhcNMjQxMjI2MTI1NzEzWjA6MRcwFQYDVQQKEw5KU0MgQ0FSVFUgQkFOSzEfMB0GA1UEAxMWQkNSIC0gVGFtYXIgVGNoaWdsYWR6ZTCCASIwDQYJKoZIhvcNAQEBBQADggEPADCCAQoCggEBAN9TOpkX9Xxgr5jcpPPFIvr1Z+hJh3gWetPOvdME6EyxSySZFeDxx/c67of+8uFHIu4H9rj7u3OyJlsOtFZkIiJV2qWp8W9AurzZq/qyKhwRB5ck6VIzq+QMgotjwqs40E3PM9KB/kZjRbwTbV0dUih2r2JGWC2p51JDdHt08ZhyXK4rvLfw7nzaKVcSsvw4O9ykRdumtMzsFyI+19kaf1NF2WqiLb1AzWmrTWWFjLaTPP/UDHloGV3gKep2oTp3P4n9JkhfJun0e9S+cgSQ29Jfq0vZIkm3IKQyzTc6JV43qk1EK23EBxcmY6IgPa4qbs0cI0lSRuVHsDYF66K5/y8CAwEAAaOCAzIwggMuMDwGCSsGAQQBgjcVBwQvMC0GJSsGAQQBgjcVCOayYION9USGgZkJg7ihSoO+hHEEg8SRM4SDiF0CAWQCASMwHQYDVR0lBBYwFAYIKwYBBQUHAwIGCCsGAQUFBwMEMAsGA1UdDwQEAwIHgDAnBgkrBgEEAYI3FQoEGjAYMAoGCCsGAQUFBwMCMAoGCCsGAQUFBwMEMB0GA1UdDgQWBBQlCCrAoeBNMzyEIbfiVcVddNXYg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UQToevVjfI2IvF7tuCI3XJib/HG6dmc4mHoVYMaJyM4eX03AeZZe3f5Ig27A0FQ/53Z4EDK2eH57kYcMp+syDEaWMQxK4AtTrNxG2jVC8oG8DHeDO7UrRj3dacrNaSpkqRxhvH1YeUm0xVKXmq8NNw8xFlhvA+/75dJe4LwTEABI/Shu5nYnmhZMRwTX/Q1YHx3QLLowS+bmk8qH4mrTf8E/1GyDLYkAvHwr8RllOzyclp0x1W9VHaz2Xpx1HB9oig4OPm7584R1ikmK2ew6/eFV/NnA7PqShCY+gOPXKMV+YMsrBEkWs0BfZWBiwdCqFlDu+oOp5sEaPlKWMZi4t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iV/Uu02YGmeRWVT05jtED97R+pXVqu61injY/BwktKY=</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16.bin?ContentType=application/vnd.openxmlformats-officedocument.spreadsheetml.printerSettings">
        <DigestMethod Algorithm="http://www.w3.org/2001/04/xmlenc#sha256"/>
        <DigestValue>i1H/KDFjJcYFnRoG/vQAPO15syS6bTWL9W8sSlcyte0=</DigestValue>
      </Reference>
      <Reference URI="/xl/printerSettings/printerSettings17.bin?ContentType=application/vnd.openxmlformats-officedocument.spreadsheetml.printerSettings">
        <DigestMethod Algorithm="http://www.w3.org/2001/04/xmlenc#sha256"/>
        <DigestValue>JXWIrlKFv8dBdHgbBsxByPOLyWdHbFirDhO9WCuSqUU=</DigestValue>
      </Reference>
      <Reference URI="/xl/printerSettings/printerSettings18.bin?ContentType=application/vnd.openxmlformats-officedocument.spreadsheetml.printerSettings">
        <DigestMethod Algorithm="http://www.w3.org/2001/04/xmlenc#sha256"/>
        <DigestValue>JXWIrlKFv8dBdHgbBsxByPOLyWdHbFirDhO9WCuSqUU=</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i1H/KDFjJcYFnRoG/vQAPO15syS6bTWL9W8sSlcyte0=</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JXWIrlKFv8dBdHgbBsxByPOLyWdHbFirDhO9WCuSqUU=</DigestValue>
      </Reference>
      <Reference URI="/xl/printerSettings/printerSettings25.bin?ContentType=application/vnd.openxmlformats-officedocument.spreadsheetml.printerSettings">
        <DigestMethod Algorithm="http://www.w3.org/2001/04/xmlenc#sha256"/>
        <DigestValue>i1H/KDFjJcYFnRoG/vQAPO15syS6bTWL9W8sSlcyte0=</DigestValue>
      </Reference>
      <Reference URI="/xl/printerSettings/printerSettings26.bin?ContentType=application/vnd.openxmlformats-officedocument.spreadsheetml.printerSettings">
        <DigestMethod Algorithm="http://www.w3.org/2001/04/xmlenc#sha256"/>
        <DigestValue>yq741iUxKc3WyW8Gs0tEU0HDfob9x8G3uOoh5dY9ILc=</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Qor/U7g/KDzNrP7hnKztBbh9JrPW8JOJubRmPBe3D3I=</DigestValue>
      </Reference>
      <Reference URI="/xl/styles.xml?ContentType=application/vnd.openxmlformats-officedocument.spreadsheetml.styles+xml">
        <DigestMethod Algorithm="http://www.w3.org/2001/04/xmlenc#sha256"/>
        <DigestValue>NYXiz/dzPhq9D8tt0kFYksVVvrxDBGw3JEFO+EAexpM=</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5o905Pzje33ZD8J5r0QumZirxTFe3fpgTMlb6Wfqcmk=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B761zTg0ectFXr3mrGOOU2HppMFn0EUrA0g50oUnuf0=</DigestValue>
      </Reference>
      <Reference URI="/xl/worksheets/sheet10.xml?ContentType=application/vnd.openxmlformats-officedocument.spreadsheetml.worksheet+xml">
        <DigestMethod Algorithm="http://www.w3.org/2001/04/xmlenc#sha256"/>
        <DigestValue>YPDWRf1/f1Fkm2pXCkfVBcM4RhkM0gYb5XGiQhAIOhQ=</DigestValue>
      </Reference>
      <Reference URI="/xl/worksheets/sheet11.xml?ContentType=application/vnd.openxmlformats-officedocument.spreadsheetml.worksheet+xml">
        <DigestMethod Algorithm="http://www.w3.org/2001/04/xmlenc#sha256"/>
        <DigestValue>wgxdYGNV3hl1TALdybsG06apBajVVUFzXoV/7pMwU3Q=</DigestValue>
      </Reference>
      <Reference URI="/xl/worksheets/sheet12.xml?ContentType=application/vnd.openxmlformats-officedocument.spreadsheetml.worksheet+xml">
        <DigestMethod Algorithm="http://www.w3.org/2001/04/xmlenc#sha256"/>
        <DigestValue>r+VKELXs3aJiSpF1AVTIt3v80sVgV5oBiNlXpZ/UZq8=</DigestValue>
      </Reference>
      <Reference URI="/xl/worksheets/sheet13.xml?ContentType=application/vnd.openxmlformats-officedocument.spreadsheetml.worksheet+xml">
        <DigestMethod Algorithm="http://www.w3.org/2001/04/xmlenc#sha256"/>
        <DigestValue>cc8M1AS9CEeAoCX49cObPEyICm752Bl4gTtiJQwNkLc=</DigestValue>
      </Reference>
      <Reference URI="/xl/worksheets/sheet14.xml?ContentType=application/vnd.openxmlformats-officedocument.spreadsheetml.worksheet+xml">
        <DigestMethod Algorithm="http://www.w3.org/2001/04/xmlenc#sha256"/>
        <DigestValue>JZ87CAs1WOQLvckTVGyez2jqcyv8rFT0UfR3pbE9FqY=</DigestValue>
      </Reference>
      <Reference URI="/xl/worksheets/sheet15.xml?ContentType=application/vnd.openxmlformats-officedocument.spreadsheetml.worksheet+xml">
        <DigestMethod Algorithm="http://www.w3.org/2001/04/xmlenc#sha256"/>
        <DigestValue>qZIg+ikY2hOxcCFIK1Q1Tn1ziwuZdx7d24d3A0nV1pc=</DigestValue>
      </Reference>
      <Reference URI="/xl/worksheets/sheet16.xml?ContentType=application/vnd.openxmlformats-officedocument.spreadsheetml.worksheet+xml">
        <DigestMethod Algorithm="http://www.w3.org/2001/04/xmlenc#sha256"/>
        <DigestValue>EQ4YOUnU3oF6u/rsQB3ruy5CrMJlet240davuHtZbC4=</DigestValue>
      </Reference>
      <Reference URI="/xl/worksheets/sheet17.xml?ContentType=application/vnd.openxmlformats-officedocument.spreadsheetml.worksheet+xml">
        <DigestMethod Algorithm="http://www.w3.org/2001/04/xmlenc#sha256"/>
        <DigestValue>TlM3syeYCQFynDjQyplDC2XV/Byt/WlGysb2PrjpXMA=</DigestValue>
      </Reference>
      <Reference URI="/xl/worksheets/sheet18.xml?ContentType=application/vnd.openxmlformats-officedocument.spreadsheetml.worksheet+xml">
        <DigestMethod Algorithm="http://www.w3.org/2001/04/xmlenc#sha256"/>
        <DigestValue>i/v81L09UiOOyhDySTbrEoRaEiOVlVx2vru6n2FVdwo=</DigestValue>
      </Reference>
      <Reference URI="/xl/worksheets/sheet19.xml?ContentType=application/vnd.openxmlformats-officedocument.spreadsheetml.worksheet+xml">
        <DigestMethod Algorithm="http://www.w3.org/2001/04/xmlenc#sha256"/>
        <DigestValue>j3ngBBriMJgMZEdqSxesXkuMuM2RzrEv/O8OKtPu+z0=</DigestValue>
      </Reference>
      <Reference URI="/xl/worksheets/sheet2.xml?ContentType=application/vnd.openxmlformats-officedocument.spreadsheetml.worksheet+xml">
        <DigestMethod Algorithm="http://www.w3.org/2001/04/xmlenc#sha256"/>
        <DigestValue>aO8TfD9jWZVvAmToNjO8R1YgAT0aJwroosqFIAFZVI4=</DigestValue>
      </Reference>
      <Reference URI="/xl/worksheets/sheet20.xml?ContentType=application/vnd.openxmlformats-officedocument.spreadsheetml.worksheet+xml">
        <DigestMethod Algorithm="http://www.w3.org/2001/04/xmlenc#sha256"/>
        <DigestValue>6XvHIoGjNb5kAlj+G0pXWoxgelODh1x74/gzHLjAZoI=</DigestValue>
      </Reference>
      <Reference URI="/xl/worksheets/sheet21.xml?ContentType=application/vnd.openxmlformats-officedocument.spreadsheetml.worksheet+xml">
        <DigestMethod Algorithm="http://www.w3.org/2001/04/xmlenc#sha256"/>
        <DigestValue>g0coEiqB7lGOOpFI5Aq3IXY6YTg+aNBM7LGY/KhBZSo=</DigestValue>
      </Reference>
      <Reference URI="/xl/worksheets/sheet22.xml?ContentType=application/vnd.openxmlformats-officedocument.spreadsheetml.worksheet+xml">
        <DigestMethod Algorithm="http://www.w3.org/2001/04/xmlenc#sha256"/>
        <DigestValue>tKpcgml1QKhs+RvLk6HHRu96yUDEjv6DORLSY3u+XyI=</DigestValue>
      </Reference>
      <Reference URI="/xl/worksheets/sheet23.xml?ContentType=application/vnd.openxmlformats-officedocument.spreadsheetml.worksheet+xml">
        <DigestMethod Algorithm="http://www.w3.org/2001/04/xmlenc#sha256"/>
        <DigestValue>CIDQDoxNsj1AR+vdxnNL2AWvo9cu8t52jtFeCI3m9gs=</DigestValue>
      </Reference>
      <Reference URI="/xl/worksheets/sheet24.xml?ContentType=application/vnd.openxmlformats-officedocument.spreadsheetml.worksheet+xml">
        <DigestMethod Algorithm="http://www.w3.org/2001/04/xmlenc#sha256"/>
        <DigestValue>VKn2GdfGpy59B45LgxJwGlRkmwmtPqbWv9krA5ocIHI=</DigestValue>
      </Reference>
      <Reference URI="/xl/worksheets/sheet25.xml?ContentType=application/vnd.openxmlformats-officedocument.spreadsheetml.worksheet+xml">
        <DigestMethod Algorithm="http://www.w3.org/2001/04/xmlenc#sha256"/>
        <DigestValue>fonvA0NJI/sUfKFNeAFnC0jpvrqCOcUVur4W3kw3Pjo=</DigestValue>
      </Reference>
      <Reference URI="/xl/worksheets/sheet26.xml?ContentType=application/vnd.openxmlformats-officedocument.spreadsheetml.worksheet+xml">
        <DigestMethod Algorithm="http://www.w3.org/2001/04/xmlenc#sha256"/>
        <DigestValue>ox+HZBB8C284Ki7JyOJc3FLhc3exBxcuAZ6POyF+USo=</DigestValue>
      </Reference>
      <Reference URI="/xl/worksheets/sheet27.xml?ContentType=application/vnd.openxmlformats-officedocument.spreadsheetml.worksheet+xml">
        <DigestMethod Algorithm="http://www.w3.org/2001/04/xmlenc#sha256"/>
        <DigestValue>BfvrB770DrQ7fR7Mds98YoejJclC2bJnrplKwSnO6lk=</DigestValue>
      </Reference>
      <Reference URI="/xl/worksheets/sheet28.xml?ContentType=application/vnd.openxmlformats-officedocument.spreadsheetml.worksheet+xml">
        <DigestMethod Algorithm="http://www.w3.org/2001/04/xmlenc#sha256"/>
        <DigestValue>iWI6Z/+V71CkxP631DjjbUcFPR7Ju4ZRM81i3z9xEII=</DigestValue>
      </Reference>
      <Reference URI="/xl/worksheets/sheet29.xml?ContentType=application/vnd.openxmlformats-officedocument.spreadsheetml.worksheet+xml">
        <DigestMethod Algorithm="http://www.w3.org/2001/04/xmlenc#sha256"/>
        <DigestValue>VDqOWDIre+HzprgJDWA/WcWXGCzQquEn/rQC6KFT/EU=</DigestValue>
      </Reference>
      <Reference URI="/xl/worksheets/sheet3.xml?ContentType=application/vnd.openxmlformats-officedocument.spreadsheetml.worksheet+xml">
        <DigestMethod Algorithm="http://www.w3.org/2001/04/xmlenc#sha256"/>
        <DigestValue>PlCL8DKygzsM2L30yxh4ISZh44IACAX40K0kbWoX/no=</DigestValue>
      </Reference>
      <Reference URI="/xl/worksheets/sheet30.xml?ContentType=application/vnd.openxmlformats-officedocument.spreadsheetml.worksheet+xml">
        <DigestMethod Algorithm="http://www.w3.org/2001/04/xmlenc#sha256"/>
        <DigestValue>/e5josaCq02Gxvo+syHg5FCxZTVeLtGuI+Zwlsf2baU=</DigestValue>
      </Reference>
      <Reference URI="/xl/worksheets/sheet4.xml?ContentType=application/vnd.openxmlformats-officedocument.spreadsheetml.worksheet+xml">
        <DigestMethod Algorithm="http://www.w3.org/2001/04/xmlenc#sha256"/>
        <DigestValue>ER6wRaVB6JxFN66sm37y9LPlysD+4rvVa1fsLId1s3A=</DigestValue>
      </Reference>
      <Reference URI="/xl/worksheets/sheet5.xml?ContentType=application/vnd.openxmlformats-officedocument.spreadsheetml.worksheet+xml">
        <DigestMethod Algorithm="http://www.w3.org/2001/04/xmlenc#sha256"/>
        <DigestValue>o/pcHE0BgGplYgGPFae+c33rDEwBopfNc2BrECkCseI=</DigestValue>
      </Reference>
      <Reference URI="/xl/worksheets/sheet6.xml?ContentType=application/vnd.openxmlformats-officedocument.spreadsheetml.worksheet+xml">
        <DigestMethod Algorithm="http://www.w3.org/2001/04/xmlenc#sha256"/>
        <DigestValue>S2Ba213kZktMjDE+m72FfVNs9+tp8uW+b0VDEZJ/kBE=</DigestValue>
      </Reference>
      <Reference URI="/xl/worksheets/sheet7.xml?ContentType=application/vnd.openxmlformats-officedocument.spreadsheetml.worksheet+xml">
        <DigestMethod Algorithm="http://www.w3.org/2001/04/xmlenc#sha256"/>
        <DigestValue>ksfelGojWu2KOCEIXYJrkaiP1jQhFzTiBl2r5cBqhhY=</DigestValue>
      </Reference>
      <Reference URI="/xl/worksheets/sheet8.xml?ContentType=application/vnd.openxmlformats-officedocument.spreadsheetml.worksheet+xml">
        <DigestMethod Algorithm="http://www.w3.org/2001/04/xmlenc#sha256"/>
        <DigestValue>ZjvXTzghkfuCQ9hAT3jTJKFqol9DViMZnw0ZISm2qFo=</DigestValue>
      </Reference>
      <Reference URI="/xl/worksheets/sheet9.xml?ContentType=application/vnd.openxmlformats-officedocument.spreadsheetml.worksheet+xml">
        <DigestMethod Algorithm="http://www.w3.org/2001/04/xmlenc#sha256"/>
        <DigestValue>IM/0iOVLzCbnHHRzmznRVSVp49Wr4lpcgpyC5gCN7kw=</DigestValue>
      </Reference>
    </Manifest>
    <SignatureProperties>
      <SignatureProperty Id="idSignatureTime" Target="#idPackageSignature">
        <mdssi:SignatureTime xmlns:mdssi="http://schemas.openxmlformats.org/package/2006/digital-signature">
          <mdssi:Format>YYYY-MM-DDThh:mm:ssTZD</mdssi:Format>
          <mdssi:Value>2023-02-27T08:11:20Z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16.0.15128/23</OfficeVersion>
          <ApplicationVersion>16.0.15128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2023-02-27T08:11:20Z</xd:SigningTime>
          <xd:SigningCertificate>
            <xd:Cert>
              <xd:CertDigest>
                <DigestMethod Algorithm="http://www.w3.org/2001/04/xmlenc#sha256"/>
                <DigestValue>CwTpvPSCk/jyseY3nDoQPkjX62sm6OsYnV9STjGat9U=</DigestValue>
              </xd:CertDigest>
              <xd:IssuerSerial>
                <X509IssuerName>CN=NBG Class 2 INT Sub CA, DC=nbg, DC=ge</X509IssuerName>
                <X509SerialNumber>265035247455673182726490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2023-02-24T14:58:40Z</dcterms:modified>
</cp:coreProperties>
</file>