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39A0A50F-DC61-4DDC-9D92-645A7314945A}" xr6:coauthVersionLast="47" xr6:coauthVersionMax="47" xr10:uidLastSave="{00000000-0000-0000-0000-000000000000}"/>
  <bookViews>
    <workbookView xWindow="2868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91" l="1"/>
  <c r="N19" i="91"/>
  <c r="M19" i="91"/>
  <c r="L19" i="91"/>
  <c r="K19" i="91"/>
  <c r="J19" i="91"/>
  <c r="I19" i="91"/>
  <c r="H19" i="91"/>
  <c r="G19" i="91"/>
  <c r="F19" i="91"/>
  <c r="E19" i="91"/>
  <c r="D19" i="91"/>
  <c r="C19" i="91"/>
  <c r="C7" i="84" l="1"/>
  <c r="C47" i="28" l="1"/>
  <c r="C43" i="28"/>
  <c r="C52" i="28" s="1"/>
  <c r="C35" i="28"/>
  <c r="C31" i="28"/>
  <c r="C30" i="28" s="1"/>
  <c r="C41" i="28" s="1"/>
  <c r="C12" i="28"/>
  <c r="C6" i="28"/>
  <c r="C28" i="28" s="1"/>
  <c r="H66" i="53"/>
  <c r="E66" i="53"/>
  <c r="H64" i="53"/>
  <c r="E64" i="53"/>
  <c r="G61" i="53"/>
  <c r="F61" i="53"/>
  <c r="H61" i="53" s="1"/>
  <c r="D61" i="53"/>
  <c r="C61" i="53"/>
  <c r="H60" i="53"/>
  <c r="E60" i="53"/>
  <c r="H59" i="53"/>
  <c r="E59" i="53"/>
  <c r="H58" i="53"/>
  <c r="E58" i="53"/>
  <c r="G53" i="53"/>
  <c r="F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H29" i="53"/>
  <c r="E29" i="53"/>
  <c r="H28" i="53"/>
  <c r="E28" i="53"/>
  <c r="H27" i="53"/>
  <c r="E27" i="53"/>
  <c r="H26" i="53"/>
  <c r="E26" i="53"/>
  <c r="H25" i="53"/>
  <c r="E25" i="53"/>
  <c r="H24" i="53"/>
  <c r="E24" i="53"/>
  <c r="F22"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D9" i="53"/>
  <c r="D22" i="53" s="1"/>
  <c r="C9" i="53"/>
  <c r="C22" i="53" s="1"/>
  <c r="H8" i="53"/>
  <c r="E8" i="53"/>
  <c r="H22" i="53" l="1"/>
  <c r="H53" i="53"/>
  <c r="E53" i="53"/>
  <c r="E61" i="53"/>
  <c r="D31" i="53"/>
  <c r="D56" i="53" s="1"/>
  <c r="D63" i="53" s="1"/>
  <c r="D65" i="53" s="1"/>
  <c r="D67" i="53" s="1"/>
  <c r="H9" i="53"/>
  <c r="E30" i="53"/>
  <c r="E45" i="53"/>
  <c r="C54" i="53"/>
  <c r="E54" i="53" s="1"/>
  <c r="E22" i="53"/>
  <c r="C31" i="53"/>
  <c r="H45" i="53"/>
  <c r="F54" i="53"/>
  <c r="H54" i="53" s="1"/>
  <c r="E9" i="53"/>
  <c r="E34" i="53"/>
  <c r="H34" i="53"/>
  <c r="F31" i="53"/>
  <c r="F56" i="53" l="1"/>
  <c r="H31" i="53"/>
  <c r="C56" i="53"/>
  <c r="E31" i="53"/>
  <c r="C63" i="53" l="1"/>
  <c r="E56" i="53"/>
  <c r="F63" i="53"/>
  <c r="H56" i="53"/>
  <c r="H63" i="53" l="1"/>
  <c r="F65" i="53"/>
  <c r="C65" i="53"/>
  <c r="E63" i="53"/>
  <c r="C67" i="53" l="1"/>
  <c r="E67" i="53" s="1"/>
  <c r="E65" i="53"/>
  <c r="F67" i="53"/>
  <c r="H67" i="53" s="1"/>
  <c r="H65" i="53"/>
  <c r="G21" i="82" l="1"/>
  <c r="G34" i="83"/>
  <c r="H8" i="81"/>
  <c r="H9" i="81"/>
  <c r="H10" i="81"/>
  <c r="H11" i="81"/>
  <c r="H12" i="81"/>
  <c r="H13" i="81"/>
  <c r="H14" i="81"/>
  <c r="H15" i="81"/>
  <c r="H16" i="81"/>
  <c r="H17" i="81"/>
  <c r="H18" i="81"/>
  <c r="H19" i="81"/>
  <c r="H20" i="81"/>
  <c r="H21" i="81"/>
  <c r="D19" i="72"/>
  <c r="D20" i="72"/>
  <c r="G31" i="62"/>
  <c r="G41" i="62" s="1"/>
  <c r="F31" i="62"/>
  <c r="G14" i="62"/>
  <c r="G20" i="62" s="1"/>
  <c r="F14" i="62"/>
  <c r="F20" i="62" s="1"/>
  <c r="D31" i="62"/>
  <c r="D41" i="62" s="1"/>
  <c r="C31" i="62"/>
  <c r="C41" i="62" s="1"/>
  <c r="D14" i="62"/>
  <c r="D20" i="62" s="1"/>
  <c r="C14" i="62"/>
  <c r="C20" i="62" s="1"/>
  <c r="F41" i="62" l="1"/>
  <c r="H19" i="62" l="1"/>
  <c r="H15" i="62"/>
  <c r="V7" i="64" l="1"/>
  <c r="V8" i="64"/>
  <c r="V9" i="64"/>
  <c r="V10" i="64"/>
  <c r="V11" i="64"/>
  <c r="V12" i="64"/>
  <c r="V13" i="64"/>
  <c r="V14" i="64"/>
  <c r="V15" i="64"/>
  <c r="V16" i="64"/>
  <c r="V17" i="64"/>
  <c r="V18" i="64"/>
  <c r="V19" i="64"/>
  <c r="V20" i="64"/>
  <c r="S8" i="35"/>
  <c r="S9" i="35"/>
  <c r="S10" i="35"/>
  <c r="S11" i="35"/>
  <c r="S12" i="35"/>
  <c r="S13" i="35"/>
  <c r="S14" i="35"/>
  <c r="S15" i="35"/>
  <c r="S16" i="35"/>
  <c r="S17" i="35"/>
  <c r="S18" i="35"/>
  <c r="S19" i="35"/>
  <c r="S20" i="35"/>
  <c r="S21" i="35"/>
  <c r="H14" i="62"/>
  <c r="E7" i="62"/>
  <c r="C8" i="72" s="1"/>
  <c r="E8" i="72" s="1"/>
  <c r="H7" i="62"/>
  <c r="E8" i="62"/>
  <c r="C9" i="72" s="1"/>
  <c r="E9" i="72" s="1"/>
  <c r="H8" i="62"/>
  <c r="E9" i="62"/>
  <c r="C10" i="72" s="1"/>
  <c r="E10" i="72" s="1"/>
  <c r="H9" i="62"/>
  <c r="E10" i="62"/>
  <c r="C11" i="72" s="1"/>
  <c r="E11" i="72" s="1"/>
  <c r="H10" i="62"/>
  <c r="E11" i="62"/>
  <c r="C12" i="72" s="1"/>
  <c r="H11" i="62"/>
  <c r="E12" i="62"/>
  <c r="C13" i="72" s="1"/>
  <c r="E13" i="72" s="1"/>
  <c r="H12" i="62"/>
  <c r="E13" i="62"/>
  <c r="C14" i="72" s="1"/>
  <c r="E14" i="72" s="1"/>
  <c r="H13" i="62"/>
  <c r="E15" i="62"/>
  <c r="C16" i="72" s="1"/>
  <c r="E16" i="72" s="1"/>
  <c r="E16" i="62"/>
  <c r="C17" i="72" s="1"/>
  <c r="E17" i="72" s="1"/>
  <c r="H16" i="62"/>
  <c r="E17" i="62"/>
  <c r="C18" i="72" s="1"/>
  <c r="E18" i="72" s="1"/>
  <c r="H17" i="62"/>
  <c r="E18" i="62"/>
  <c r="C19" i="72" s="1"/>
  <c r="E19" i="72" s="1"/>
  <c r="H18" i="62"/>
  <c r="E19" i="62"/>
  <c r="C20" i="72" s="1"/>
  <c r="E20" i="72" s="1"/>
  <c r="E22" i="62"/>
  <c r="H22" i="62"/>
  <c r="E23" i="62"/>
  <c r="H23" i="62"/>
  <c r="E24" i="62"/>
  <c r="H24" i="62"/>
  <c r="E25" i="62"/>
  <c r="H25" i="62"/>
  <c r="E26" i="62"/>
  <c r="H26" i="62"/>
  <c r="E27" i="62"/>
  <c r="H27" i="62"/>
  <c r="E28" i="62"/>
  <c r="H28" i="62"/>
  <c r="E29" i="62"/>
  <c r="H29" i="62"/>
  <c r="E30" i="62"/>
  <c r="H30" i="62"/>
  <c r="E33" i="62"/>
  <c r="H33" i="62"/>
  <c r="E34" i="62"/>
  <c r="H34" i="62"/>
  <c r="E35" i="62"/>
  <c r="H35" i="62"/>
  <c r="E36" i="62"/>
  <c r="H36" i="62"/>
  <c r="E37" i="62"/>
  <c r="H37" i="62"/>
  <c r="E38" i="62"/>
  <c r="H38" i="62"/>
  <c r="E39" i="62"/>
  <c r="D12" i="72" s="1"/>
  <c r="H39" i="62"/>
  <c r="E40" i="62"/>
  <c r="H40" i="62"/>
  <c r="E12" i="72" l="1"/>
  <c r="E15" i="72"/>
  <c r="E20" i="62"/>
  <c r="H41" i="62"/>
  <c r="H20" i="62"/>
  <c r="E41" i="62"/>
  <c r="E31" i="62"/>
  <c r="H31" i="62"/>
  <c r="E14" i="62"/>
  <c r="C15" i="72" s="1"/>
  <c r="C12" i="84" l="1"/>
  <c r="B2" i="91" l="1"/>
  <c r="N33" i="88" l="1"/>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D12" i="84"/>
  <c r="D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C35" i="79"/>
  <c r="G22" i="81"/>
  <c r="F22" i="81"/>
  <c r="E22" i="81"/>
  <c r="D22" i="81"/>
  <c r="C22" i="8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C30" i="79"/>
  <c r="C26" i="79"/>
  <c r="K23" i="36"/>
  <c r="J23" i="36"/>
  <c r="I23" i="36"/>
  <c r="H23" i="36"/>
  <c r="G23" i="36"/>
  <c r="F23" i="36"/>
  <c r="K21" i="36"/>
  <c r="J21" i="36"/>
  <c r="I21" i="36"/>
  <c r="H21" i="36"/>
  <c r="G21" i="36"/>
  <c r="F21" i="36"/>
  <c r="E21" i="36"/>
  <c r="D21" i="36"/>
  <c r="C21" i="36"/>
  <c r="K16" i="36"/>
  <c r="J16" i="36"/>
  <c r="I16" i="36"/>
  <c r="H16" i="36"/>
  <c r="G16" i="36"/>
  <c r="F16" i="36"/>
  <c r="E16" i="36"/>
  <c r="D16" i="36"/>
  <c r="C16" i="36"/>
  <c r="G22" i="74"/>
  <c r="F22" i="74"/>
  <c r="E22" i="74"/>
  <c r="D22" i="74"/>
  <c r="C6" i="73" s="1"/>
  <c r="C22" i="74"/>
  <c r="H21" i="74"/>
  <c r="H20" i="74"/>
  <c r="H19" i="74"/>
  <c r="H18" i="74"/>
  <c r="H17" i="74"/>
  <c r="H16" i="74"/>
  <c r="H15" i="74"/>
  <c r="H14" i="74"/>
  <c r="H13" i="74"/>
  <c r="H12" i="74"/>
  <c r="H11" i="74"/>
  <c r="H10" i="74"/>
  <c r="H9" i="74"/>
  <c r="H8" i="74"/>
  <c r="U21" i="64"/>
  <c r="T21" i="64"/>
  <c r="S21" i="64"/>
  <c r="R21" i="64"/>
  <c r="Q21" i="64"/>
  <c r="P21" i="64"/>
  <c r="O21" i="64"/>
  <c r="N21" i="64"/>
  <c r="M21" i="64"/>
  <c r="L21" i="64"/>
  <c r="K21" i="64"/>
  <c r="J21" i="64"/>
  <c r="I21" i="64"/>
  <c r="H21" i="64"/>
  <c r="G21" i="64"/>
  <c r="F21" i="64"/>
  <c r="E21" i="64"/>
  <c r="D21" i="64"/>
  <c r="C21" i="64"/>
  <c r="R22" i="35"/>
  <c r="Q22" i="35"/>
  <c r="P22" i="35"/>
  <c r="O22" i="35"/>
  <c r="N22" i="35"/>
  <c r="M22" i="35"/>
  <c r="L22" i="35"/>
  <c r="K22" i="35"/>
  <c r="J22" i="35"/>
  <c r="I22" i="35"/>
  <c r="H22" i="35"/>
  <c r="G22" i="35"/>
  <c r="F22" i="35"/>
  <c r="E22" i="35"/>
  <c r="D22" i="35"/>
  <c r="C22" i="35"/>
  <c r="C29" i="69"/>
  <c r="C27" i="69"/>
  <c r="C20" i="69"/>
  <c r="G6" i="71"/>
  <c r="G13" i="71" s="1"/>
  <c r="F6" i="71"/>
  <c r="F13" i="71" s="1"/>
  <c r="E6" i="71"/>
  <c r="E13" i="71" s="1"/>
  <c r="D6" i="71"/>
  <c r="D13" i="71" s="1"/>
  <c r="C6" i="71"/>
  <c r="C13" i="71" s="1"/>
  <c r="B2" i="7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C53" i="69"/>
  <c r="C50" i="69"/>
  <c r="C49" i="69"/>
  <c r="C48" i="69"/>
  <c r="C47" i="69"/>
  <c r="C46" i="69"/>
  <c r="C43" i="69"/>
  <c r="C44" i="69" s="1"/>
  <c r="C41" i="69"/>
  <c r="C40" i="69"/>
  <c r="C39" i="69"/>
  <c r="C38" i="69"/>
  <c r="C37" i="69"/>
  <c r="C36" i="69"/>
  <c r="C35" i="69"/>
  <c r="C34" i="69"/>
  <c r="G5" i="6"/>
  <c r="F5" i="6"/>
  <c r="E5" i="6"/>
  <c r="D5" i="6"/>
  <c r="C5" i="6"/>
  <c r="C10" i="73" l="1"/>
  <c r="C19" i="69"/>
  <c r="C26" i="69"/>
  <c r="C54" i="69"/>
  <c r="C55" i="69" s="1"/>
  <c r="C13" i="69"/>
  <c r="C17" i="69" s="1"/>
  <c r="G21" i="80"/>
  <c r="H22" i="81"/>
  <c r="D19" i="84"/>
  <c r="F24" i="36"/>
  <c r="F25" i="36" s="1"/>
  <c r="I21" i="82"/>
  <c r="I24" i="36"/>
  <c r="I25" i="36" s="1"/>
  <c r="S22" i="35"/>
  <c r="E45" i="75"/>
  <c r="C28" i="69"/>
  <c r="C32" i="69" s="1"/>
  <c r="C6" i="69"/>
  <c r="C45" i="69"/>
  <c r="C7" i="69"/>
  <c r="C18" i="69"/>
  <c r="V21" i="64"/>
  <c r="I34" i="83"/>
  <c r="C8" i="69"/>
  <c r="G24" i="36"/>
  <c r="G25" i="36" s="1"/>
  <c r="J24" i="36"/>
  <c r="J25" i="36" s="1"/>
  <c r="G37" i="80"/>
  <c r="C9" i="69"/>
  <c r="H22" i="74"/>
  <c r="H24" i="36"/>
  <c r="H25" i="36" s="1"/>
  <c r="K24" i="36"/>
  <c r="K25" i="36" s="1"/>
  <c r="C10" i="69"/>
  <c r="C12" i="69" s="1"/>
  <c r="C19" i="84"/>
  <c r="D21" i="72" l="1"/>
  <c r="C21" i="72"/>
  <c r="G39" i="80"/>
  <c r="C33" i="69"/>
  <c r="E21" i="72"/>
  <c r="C5" i="73" s="1"/>
  <c r="B2" i="80" l="1"/>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H7" i="37"/>
  <c r="G7" i="37"/>
  <c r="F7" i="37"/>
  <c r="F21" i="37" s="1"/>
  <c r="C7" i="37"/>
  <c r="G21" i="37" l="1"/>
  <c r="I21" i="37"/>
  <c r="H21" i="37"/>
  <c r="L21" i="37"/>
  <c r="M21" i="37"/>
  <c r="N14" i="37"/>
  <c r="E14" i="37"/>
  <c r="E7" i="37"/>
  <c r="C21" i="37"/>
  <c r="N8" i="37"/>
  <c r="C7" i="73" l="1"/>
  <c r="C8" i="73" s="1"/>
  <c r="E21" i="37"/>
  <c r="N7" i="37"/>
  <c r="N21" i="37" s="1"/>
  <c r="K7" i="37"/>
  <c r="K21" i="37" s="1"/>
  <c r="C12" i="79" l="1"/>
  <c r="C18" i="79" s="1"/>
  <c r="C36" i="79" s="1"/>
  <c r="C38" i="79" s="1"/>
  <c r="C11" i="73"/>
  <c r="C13" i="73" s="1"/>
  <c r="H53" i="75"/>
  <c r="E53" i="75"/>
  <c r="H7" i="75"/>
  <c r="E7" i="75"/>
</calcChain>
</file>

<file path=xl/sharedStrings.xml><?xml version="1.0" encoding="utf-8"?>
<sst xmlns="http://schemas.openxmlformats.org/spreadsheetml/2006/main" count="1595" uniqueCount="1058">
  <si>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</si>
  <si>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</si>
  <si>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</si>
  <si>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</si>
  <si>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</si>
  <si>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</si>
  <si>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</si>
  <si>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</si>
  <si>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</si>
  <si>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</si>
  <si>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</si>
  <si>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</si>
  <si>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</si>
  <si>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</si>
  <si>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</si>
  <si>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</si>
  <si>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</si>
  <si>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</si>
  <si>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</si>
  <si>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</si>
  <si>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</si>
  <si>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</si>
  <si>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</si>
  <si>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</si>
  <si>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</si>
  <si>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</si>
  <si>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</si>
  <si>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</si>
  <si>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</si>
  <si>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</si>
  <si>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</si>
  <si>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</si>
  <si>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</si>
  <si>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</si>
  <si>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</si>
  <si>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</si>
  <si>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</si>
  <si>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</si>
  <si>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</si>
  <si>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</si>
  <si>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</si>
  <si>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</si>
  <si>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</si>
  <si>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</si>
  <si>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</si>
  <si>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</si>
  <si>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</si>
  <si>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</si>
  <si>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</si>
  <si>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</si>
  <si>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</si>
  <si>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</si>
  <si>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</si>
  <si>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</si>
  <si>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</si>
  <si>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</si>
  <si>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</si>
  <si>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</si>
  <si>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</si>
  <si>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</si>
  <si>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</si>
  <si>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</si>
  <si>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</si>
  <si>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</si>
  <si>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</si>
  <si>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</si>
  <si>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</si>
  <si>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</si>
  <si>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</si>
  <si>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</si>
  <si>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</si>
  <si>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</si>
  <si>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</si>
  <si>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</si>
  <si>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</si>
  <si>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</si>
  <si>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</si>
  <si>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</si>
  <si>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</si>
  <si>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</si>
  <si>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</si>
  <si>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</si>
  <si>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</si>
  <si>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</si>
  <si>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</si>
  <si>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</si>
  <si>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</si>
  <si>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</si>
  <si>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</si>
  <si>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</si>
  <si>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</si>
  <si>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</si>
  <si>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</si>
  <si>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</si>
  <si>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</si>
  <si>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</si>
  <si>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</si>
  <si>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</si>
  <si>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</si>
  <si>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</si>
  <si>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</si>
  <si>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</si>
  <si>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</si>
  <si>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</si>
  <si>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</si>
  <si>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</si>
  <si>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</si>
  <si>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</si>
  <si>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</si>
  <si>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</si>
  <si>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</si>
  <si>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</si>
  <si>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</si>
  <si>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</si>
  <si>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</si>
  <si>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</si>
  <si>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</si>
  <si>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</si>
  <si>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</si>
  <si>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</si>
  <si>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</si>
  <si>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</si>
  <si>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</si>
  <si>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</si>
  <si>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</si>
  <si>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</si>
  <si>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</si>
  <si>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</si>
  <si>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</si>
  <si>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</si>
  <si>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</si>
  <si>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</si>
  <si>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</si>
  <si>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</si>
  <si>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</si>
  <si>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</si>
  <si>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</si>
  <si>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</si>
  <si>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</si>
  <si>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</si>
  <si>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</si>
  <si>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</si>
  <si>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</si>
  <si>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</si>
  <si>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</si>
  <si>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</si>
  <si>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</si>
  <si>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</si>
  <si>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</si>
  <si>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</si>
  <si>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</si>
  <si>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</si>
  <si>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</si>
  <si>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</si>
  <si>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</si>
  <si>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</si>
  <si>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</si>
  <si>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</si>
  <si>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</si>
  <si>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</si>
  <si>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</si>
  <si>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</si>
  <si>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</si>
  <si>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</si>
  <si>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</si>
  <si>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</si>
  <si>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</si>
  <si>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</si>
  <si>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</si>
  <si>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</si>
  <si>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</si>
  <si>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</si>
  <si>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</si>
  <si>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</si>
  <si>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</si>
  <si>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</si>
  <si>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</si>
  <si>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</si>
  <si>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</si>
  <si>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</si>
  <si>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</si>
  <si>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</si>
  <si>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</si>
  <si>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</si>
  <si>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</si>
  <si>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</si>
  <si>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</si>
  <si>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</si>
  <si>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</si>
  <si>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</si>
  <si>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</si>
  <si>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</si>
  <si>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</si>
  <si>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</si>
  <si>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</si>
  <si>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</si>
  <si>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</si>
  <si>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</si>
  <si>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</si>
  <si>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</si>
  <si>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</si>
  <si>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</si>
  <si>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</si>
  <si>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</si>
  <si>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</si>
  <si>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</si>
  <si>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</si>
  <si>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</si>
  <si>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</si>
  <si>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</si>
  <si>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</si>
  <si>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</si>
  <si>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</si>
  <si>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</si>
  <si>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</si>
  <si>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</si>
  <si>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</si>
  <si>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</si>
  <si>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</si>
  <si>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</si>
  <si>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</si>
  <si>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</si>
  <si>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</si>
  <si>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</si>
  <si>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</si>
  <si>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</si>
  <si>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</si>
  <si>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</si>
  <si>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</si>
  <si>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</si>
  <si>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</si>
  <si>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</si>
  <si>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</si>
  <si>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</si>
  <si>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</si>
  <si>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</si>
  <si>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</si>
  <si>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</si>
  <si>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</si>
  <si>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</si>
  <si>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</si>
  <si>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</si>
  <si>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</si>
  <si>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</si>
  <si>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</si>
  <si>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</si>
  <si>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</si>
  <si>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</si>
  <si>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</si>
  <si>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</si>
  <si>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</si>
  <si>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</si>
  <si>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</si>
  <si>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</si>
  <si>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</si>
  <si>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</si>
  <si>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</si>
  <si>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</si>
  <si>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</si>
  <si>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</si>
  <si>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</si>
  <si>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</si>
  <si>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</si>
  <si>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</si>
  <si>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</si>
  <si>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</si>
  <si>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</si>
  <si>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</si>
  <si>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</si>
  <si>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</si>
  <si>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</si>
  <si>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</si>
  <si>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</si>
  <si>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</si>
  <si>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</si>
  <si>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</si>
  <si>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</si>
  <si>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</si>
  <si>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</si>
  <si>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</si>
  <si>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</si>
  <si>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</si>
  <si>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</si>
  <si>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</si>
  <si>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</si>
  <si>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</si>
  <si>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</si>
  <si>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</si>
  <si>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</si>
  <si>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</si>
  <si>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</si>
  <si>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</si>
  <si>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</si>
  <si>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</si>
  <si>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</si>
  <si>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</si>
  <si>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</si>
  <si>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</si>
  <si>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</si>
  <si>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</si>
  <si>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</si>
  <si>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</si>
  <si>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</si>
  <si>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</si>
  <si>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</si>
  <si>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</si>
  <si>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</si>
  <si>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</si>
  <si>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</si>
  <si>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</si>
  <si>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</si>
  <si>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</si>
  <si>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</si>
  <si>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</si>
  <si>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</si>
  <si>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</si>
  <si>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</si>
  <si>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</si>
  <si>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</si>
  <si>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</si>
  <si>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</si>
  <si>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</si>
  <si>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</si>
  <si>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</si>
  <si>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</si>
  <si>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</si>
  <si>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</si>
  <si>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</si>
  <si>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</si>
  <si>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</si>
  <si>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</si>
  <si>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</si>
  <si>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</si>
  <si>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</si>
  <si>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</si>
  <si>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</si>
  <si>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</si>
  <si>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</si>
  <si>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</si>
  <si>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</si>
  <si>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</si>
  <si>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</si>
  <si>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</si>
  <si>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</si>
  <si>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</si>
  <si>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</si>
  <si>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</si>
  <si>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</si>
  <si>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</si>
  <si>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</si>
  <si>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</si>
  <si>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</si>
  <si>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</si>
  <si>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</si>
  <si>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</si>
  <si>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</si>
  <si>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</si>
  <si>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</si>
  <si>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</si>
  <si>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</si>
  <si>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</si>
  <si>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</si>
  <si>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</si>
  <si>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</si>
  <si>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</si>
  <si>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</si>
  <si>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</si>
  <si>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</si>
  <si>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</si>
  <si>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</si>
  <si>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</si>
  <si>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</si>
  <si>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</si>
  <si>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</si>
  <si>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</si>
  <si>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</si>
  <si>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</si>
  <si>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</si>
  <si>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</si>
  <si>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</si>
  <si>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</si>
  <si>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</si>
  <si>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</si>
  <si>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</si>
  <si>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</si>
  <si>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</si>
  <si>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</si>
  <si>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</si>
  <si>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</si>
  <si>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</si>
  <si>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</si>
  <si>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</si>
  <si>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</si>
  <si>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</si>
  <si>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</si>
  <si>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</si>
  <si>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</si>
  <si>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</si>
  <si>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</si>
  <si>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</si>
  <si>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</si>
  <si>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</si>
  <si>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</si>
  <si>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</si>
  <si>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</si>
  <si>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</si>
  <si>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</si>
  <si>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</si>
  <si>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</si>
  <si>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</si>
  <si>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</si>
  <si>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</si>
  <si>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</si>
  <si>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</si>
  <si>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</si>
  <si>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</si>
  <si>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</si>
  <si>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</si>
  <si>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</si>
  <si>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</si>
  <si>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</si>
  <si>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</si>
  <si>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</si>
  <si>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</si>
  <si>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</si>
  <si>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</si>
  <si>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</si>
  <si>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</si>
  <si>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</si>
  <si>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</si>
  <si>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</si>
  <si>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</si>
  <si>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</si>
  <si>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</si>
  <si>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</si>
  <si>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</si>
  <si>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</si>
  <si>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</si>
  <si>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</si>
  <si>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</si>
  <si>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</si>
  <si>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</si>
  <si>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</si>
  <si>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</si>
  <si>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</si>
  <si>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</si>
  <si>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</si>
  <si>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</si>
  <si>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</si>
  <si>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</si>
  <si>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</si>
  <si>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</si>
  <si>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</si>
  <si>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</si>
  <si>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</si>
  <si>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</si>
  <si>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</si>
  <si>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</si>
  <si>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</si>
  <si>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</si>
  <si>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</si>
  <si>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</si>
  <si>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</si>
  <si>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</si>
  <si>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</si>
  <si>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</si>
  <si>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</si>
  <si>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</si>
  <si>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</si>
  <si>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</si>
  <si>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</si>
  <si>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</si>
  <si>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</si>
  <si>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</si>
  <si>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</si>
  <si>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</si>
  <si>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</si>
  <si>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</si>
  <si>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</si>
  <si>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</si>
  <si>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</si>
  <si>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</si>
  <si>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</si>
  <si>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</si>
  <si>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</si>
  <si>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</si>
  <si>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</si>
  <si>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</si>
  <si>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</si>
  <si>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</si>
  <si>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</si>
  <si>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</si>
  <si>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</si>
  <si>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</si>
  <si>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</si>
  <si>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</si>
  <si>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</si>
  <si>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</si>
  <si>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</si>
  <si>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</si>
  <si>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</si>
  <si>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</si>
  <si>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</si>
  <si>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</si>
  <si>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</si>
  <si>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</si>
  <si>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</si>
  <si>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</si>
  <si>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</si>
  <si>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</si>
  <si>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</si>
  <si>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</si>
  <si>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</si>
  <si>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</si>
  <si>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</si>
  <si>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</si>
  <si>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</si>
  <si>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</si>
  <si>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</si>
  <si>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</si>
  <si>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</si>
  <si>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</si>
  <si>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</si>
  <si>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</si>
  <si>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</si>
  <si>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</si>
  <si>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</si>
  <si>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</si>
  <si>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</si>
  <si>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</si>
  <si>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</si>
  <si>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</si>
  <si>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</si>
  <si>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</si>
  <si>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</si>
  <si>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</si>
  <si>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</si>
  <si>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</si>
  <si>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</si>
  <si>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</si>
  <si>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</si>
  <si>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</si>
  <si>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</si>
  <si>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</si>
  <si>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</si>
  <si>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</si>
  <si>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</si>
  <si>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</si>
  <si>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</si>
  <si>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</si>
  <si>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</si>
  <si>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</si>
  <si>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</si>
  <si>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</si>
  <si>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</si>
  <si>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</si>
  <si>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</si>
  <si>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</si>
  <si>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</si>
  <si>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</si>
  <si>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</si>
  <si>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</si>
  <si>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</si>
  <si>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</si>
  <si>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</si>
  <si>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</si>
  <si>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</si>
  <si>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</si>
  <si>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</si>
  <si>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</si>
  <si>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</si>
  <si>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</si>
  <si>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</si>
  <si>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</si>
  <si>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</si>
  <si>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</si>
  <si>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</si>
  <si>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</si>
  <si>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</si>
  <si>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</si>
  <si>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</si>
  <si>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</si>
  <si>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</si>
  <si>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</si>
  <si>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</si>
  <si>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</si>
  <si>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</si>
  <si>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</si>
  <si>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</si>
  <si>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</si>
  <si>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</si>
  <si>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</si>
  <si>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</si>
  <si>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</si>
  <si>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</si>
  <si>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</si>
  <si>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</si>
  <si>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</si>
  <si>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</si>
  <si>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</si>
  <si>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</si>
  <si>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</si>
  <si>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</si>
  <si>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</si>
  <si>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</si>
  <si>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</si>
  <si>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</si>
  <si>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</si>
  <si>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</si>
  <si>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</si>
  <si>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</si>
  <si>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</si>
  <si>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</si>
  <si>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</si>
  <si>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</si>
  <si>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</si>
  <si>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</si>
  <si>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</si>
  <si>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</si>
  <si>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</si>
  <si>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</si>
  <si>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</si>
  <si>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</si>
  <si>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</si>
  <si>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</si>
  <si>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</si>
  <si>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</si>
  <si>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</si>
  <si>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</si>
  <si>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</si>
  <si>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</si>
  <si>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</si>
  <si>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</si>
  <si>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</si>
  <si>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</si>
  <si>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</si>
  <si>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</si>
  <si>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</si>
  <si>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</si>
  <si>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</si>
  <si>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</si>
  <si>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</si>
  <si>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</si>
  <si>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</si>
  <si>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</si>
  <si>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</si>
  <si>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</si>
  <si>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</si>
  <si>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</si>
  <si>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</si>
  <si>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</si>
  <si>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</si>
  <si>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</si>
  <si>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</si>
  <si>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</si>
  <si>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</si>
  <si>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</si>
  <si>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</si>
  <si>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</si>
  <si>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</si>
  <si>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</si>
  <si>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</si>
  <si>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</si>
  <si>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</si>
  <si>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</si>
  <si>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</si>
  <si>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</si>
  <si>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</si>
  <si>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</si>
  <si>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</si>
  <si>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</si>
  <si>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</si>
  <si>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</si>
  <si>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</si>
  <si>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</si>
  <si>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</si>
  <si>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</si>
  <si>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</si>
  <si>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</si>
  <si>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</si>
  <si>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</si>
  <si>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</si>
  <si>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</si>
  <si>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</si>
  <si>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</si>
  <si>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</si>
  <si>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</si>
  <si>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</si>
  <si>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</si>
  <si>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</si>
  <si>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</si>
  <si>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</si>
  <si>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</si>
  <si>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</si>
  <si>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</si>
  <si>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</si>
  <si>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</si>
  <si>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</si>
  <si>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</si>
  <si>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</si>
  <si>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</si>
  <si>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</si>
  <si>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</si>
  <si>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</si>
  <si>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</si>
  <si>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</si>
  <si>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</si>
  <si>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</si>
  <si>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</si>
  <si>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</si>
  <si>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</si>
  <si>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</si>
  <si>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</si>
  <si>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</si>
  <si>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</si>
  <si>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</si>
  <si>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</si>
  <si>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</si>
  <si>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</si>
  <si>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</si>
  <si>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</si>
  <si>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</si>
  <si>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</si>
  <si>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</si>
  <si>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</si>
  <si>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</si>
  <si>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</si>
  <si>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</si>
  <si>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</si>
  <si>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</si>
  <si>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</si>
  <si>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</si>
  <si>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</si>
  <si>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</si>
  <si>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</si>
  <si>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</si>
  <si>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</si>
  <si>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</si>
  <si>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</si>
  <si>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</si>
  <si>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</si>
  <si>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</si>
  <si>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</si>
  <si>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</si>
  <si>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</si>
  <si>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</si>
  <si>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</si>
  <si>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</si>
  <si>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</si>
  <si>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</si>
  <si>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</si>
  <si>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</si>
  <si>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</si>
  <si>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</si>
  <si>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</si>
  <si>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</si>
  <si>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</si>
  <si>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</si>
  <si>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</si>
  <si>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</si>
  <si>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</si>
  <si>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</si>
  <si>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</si>
  <si>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</si>
  <si>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</si>
  <si>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</si>
  <si>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</si>
  <si>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</si>
  <si>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</si>
  <si>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</si>
  <si>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</si>
  <si>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</si>
  <si>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</si>
  <si>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</si>
  <si>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</si>
  <si>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</si>
  <si>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</si>
  <si>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</si>
  <si>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</si>
  <si>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</si>
  <si>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</si>
  <si>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</si>
  <si>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</si>
  <si>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</si>
  <si>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</si>
  <si>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</si>
  <si>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</si>
  <si>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</si>
  <si>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</si>
  <si>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</si>
  <si>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</si>
  <si>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</si>
  <si>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</si>
  <si>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</si>
  <si>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</si>
  <si>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</si>
  <si>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</si>
  <si>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</si>
  <si>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</si>
  <si>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</si>
  <si>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</si>
  <si>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</si>
  <si>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</si>
  <si>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</si>
  <si>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</si>
  <si>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</si>
  <si>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</si>
  <si>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</si>
  <si>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</si>
  <si>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</si>
  <si>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</si>
  <si>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</si>
  <si>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</si>
  <si>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</si>
  <si>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</si>
  <si>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</si>
  <si>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</si>
  <si>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</si>
  <si>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</si>
  <si>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</si>
  <si>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</si>
  <si>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</si>
  <si>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</si>
  <si>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</si>
  <si>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</si>
  <si>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</si>
  <si>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</si>
  <si>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</si>
  <si>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</si>
  <si>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</si>
  <si>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</si>
  <si>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</si>
  <si>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</si>
  <si>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</si>
  <si>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</si>
  <si>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</si>
  <si>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</si>
  <si>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</si>
  <si>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</si>
  <si>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</si>
  <si>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</si>
  <si>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</si>
  <si>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</si>
  <si>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</si>
  <si>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</si>
  <si>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</si>
  <si>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</si>
  <si>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</si>
  <si>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</si>
  <si>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</si>
  <si>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</si>
  <si>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</si>
  <si>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</si>
  <si>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</si>
  <si>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</si>
  <si>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</si>
  <si>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</si>
  <si>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</si>
  <si>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</si>
  <si>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</si>
  <si>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</si>
  <si>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</si>
  <si>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</si>
  <si>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</si>
  <si>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</si>
  <si>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</si>
  <si>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</si>
  <si>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</si>
  <si>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</si>
  <si>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</si>
  <si>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</si>
  <si>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</si>
  <si>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</si>
  <si>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</si>
  <si>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</si>
  <si>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</si>
  <si>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</si>
  <si>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</si>
  <si>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</si>
  <si>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</si>
  <si>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</si>
  <si>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</si>
  <si>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</si>
  <si>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</si>
  <si>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</si>
  <si>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</si>
  <si>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</si>
  <si>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</si>
  <si>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</si>
  <si>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</si>
  <si>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</si>
  <si>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</si>
  <si>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</si>
  <si>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</si>
  <si>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</si>
  <si>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</si>
  <si>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</si>
  <si>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</si>
  <si>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</si>
  <si>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</si>
  <si>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</si>
  <si>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</si>
  <si>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</si>
  <si>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</si>
  <si>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</si>
  <si>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</si>
  <si>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</si>
  <si>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</si>
  <si>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</si>
  <si>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</si>
  <si>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</si>
  <si>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</si>
  <si>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</si>
  <si>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</si>
  <si>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</si>
  <si>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</si>
  <si>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</si>
  <si>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</si>
  <si>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</si>
  <si>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</si>
  <si>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</si>
  <si>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</si>
  <si>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</si>
  <si>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</si>
  <si>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</si>
  <si>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</si>
  <si>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</si>
  <si>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</si>
  <si>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</si>
  <si>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</si>
  <si>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</si>
  <si>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</si>
  <si>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</si>
  <si>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</si>
  <si>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</si>
  <si>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</si>
  <si>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</si>
  <si>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</si>
  <si>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</si>
  <si>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</si>
  <si>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</si>
  <si>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</si>
  <si>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</si>
  <si>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</si>
  <si>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</si>
  <si>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</si>
  <si>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</si>
  <si>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</si>
  <si>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</si>
  <si>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</si>
  <si>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</si>
  <si>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</si>
  <si>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</si>
  <si>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</si>
  <si>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</si>
  <si>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</si>
  <si>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</si>
  <si>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</si>
  <si>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</si>
  <si>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</si>
  <si>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</si>
  <si>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</si>
  <si>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არადამოუკიდებელი თავმჯდომარე</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</si>
  <si>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</si>
  <si>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</si>
  <si>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</si>
  <si>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</si>
  <si>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</si>
  <si>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</si>
  <si>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</si>
  <si>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</si>
  <si>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</si>
  <si>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</si>
  <si>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ბექა კვარაცხელია</t>
  </si>
  <si>
    <t>ზურაბ გოგუა</t>
  </si>
  <si>
    <t>დავით გალუაშვილი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</si>
  <si>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</si>
  <si>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</si>
  <si>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</si>
  <si>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</si>
  <si>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</si>
  <si>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</si>
  <si>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</si>
  <si>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</si>
  <si>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</si>
  <si>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</si>
  <si>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</si>
  <si>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</si>
  <si>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</si>
  <si>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</si>
  <si>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</si>
  <si>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</si>
  <si>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</si>
  <si>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</si>
  <si>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</si>
  <si>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</si>
  <si>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</si>
  <si>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</si>
  <si>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</si>
  <si>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</si>
  <si>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</si>
  <si>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</si>
  <si>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</si>
  <si>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</si>
  <si>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</si>
  <si>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</si>
  <si>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</si>
  <si>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</si>
  <si>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</si>
  <si>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</si>
  <si>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</si>
  <si>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</si>
  <si>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</si>
  <si>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</si>
  <si>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</si>
  <si>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</si>
  <si>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</si>
  <si>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</si>
  <si>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</si>
  <si>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</si>
  <si>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</si>
  <si>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</si>
  <si>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</si>
  <si>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</si>
  <si>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</si>
  <si>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</si>
  <si>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</si>
  <si>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</si>
  <si>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</si>
  <si>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</si>
  <si>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</si>
  <si>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</si>
  <si>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</si>
  <si>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</si>
  <si>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</si>
  <si>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</si>
  <si>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</si>
  <si>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</si>
  <si>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</si>
  <si>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</si>
  <si>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</si>
  <si>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</si>
  <si>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</si>
  <si>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</si>
  <si>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</si>
  <si>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</si>
  <si>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</si>
  <si>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</si>
  <si>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X</t>
  </si>
  <si>
    <t>ცხრილი 9 (Capital), N8</t>
  </si>
  <si>
    <t>გრიგოლ კაცია</t>
  </si>
  <si>
    <t>გენერალური დირექტორის მოადგილე - ფინანსური დირექტორი</t>
  </si>
  <si>
    <t>გენერალური დირექტორის მოადგილე - რისკების დირექტორი</t>
  </si>
  <si>
    <t>გენერალური დირექტორის მოადგილე - კომერციული დირექტორი</t>
  </si>
  <si>
    <t>გენერალური დირექტორის მოადგილე - ოპერაციების დირექტორი</t>
  </si>
  <si>
    <t>გენერალური დირექტორის მოადგილე</t>
  </si>
  <si>
    <t>გიორგი სულამანიძე</t>
  </si>
  <si>
    <t>გენერალური დირექტორის მოადგილე - ციფრული საბანკო საქმიანობის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</si>
</sst>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54">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64" fillId="79" borderId="104" xfId="21412" applyFont="1" applyFill="1" applyBorder="1" applyProtection="1">
      <alignment vertical="center"/>
      <protection locked="0"/>
    </xf>
    <xf numFmtId="0" fontId="115" fillId="0" borderId="104" xfId="21412" applyFont="1" applyBorder="1" applyAlignment="1" applyProtection="1">
      <alignment horizontal="left" vertical="center" wrapText="1"/>
      <protection locked="0"/>
    </xf>
    <xf numFmtId="164" fontId="115" fillId="0" borderId="105" xfId="948" applyNumberFormat="1" applyFont="1" applyFill="1" applyBorder="1" applyAlignment="1" applyProtection="1">
      <alignment horizontal="right" vertical="center"/>
      <protection locked="0"/>
    </xf>
    <xf numFmtId="0" fontId="114" fillId="80" borderId="104" xfId="21412" applyFont="1" applyFill="1" applyBorder="1" applyAlignment="1" applyProtection="1">
      <alignment vertical="top" wrapText="1"/>
      <protection locked="0"/>
    </xf>
    <xf numFmtId="164" fontId="115" fillId="80" borderId="105" xfId="948" applyNumberFormat="1" applyFont="1" applyFill="1" applyBorder="1" applyAlignment="1" applyProtection="1">
      <alignment horizontal="right" vertical="center"/>
    </xf>
    <xf numFmtId="164" fontId="64" fillId="79" borderId="104" xfId="948" applyNumberFormat="1" applyFont="1" applyFill="1" applyBorder="1" applyAlignment="1" applyProtection="1">
      <alignment horizontal="right" vertical="center"/>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64" fontId="114" fillId="79" borderId="104" xfId="948" applyNumberFormat="1" applyFont="1" applyFill="1" applyBorder="1" applyAlignment="1" applyProtection="1">
      <alignment horizontal="right" vertical="center"/>
      <protection locked="0"/>
    </xf>
    <xf numFmtId="164" fontId="115" fillId="3" borderId="105" xfId="948" applyNumberFormat="1" applyFont="1" applyFill="1" applyBorder="1" applyAlignment="1" applyProtection="1">
      <alignment horizontal="right" vertical="center"/>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0" borderId="105" xfId="7" applyNumberFormat="1" applyFont="1" applyFill="1" applyBorder="1" applyAlignment="1" applyProtection="1">
      <alignment horizontal="right"/>
    </xf>
    <xf numFmtId="193" fontId="9" fillId="36" borderId="105" xfId="7" applyNumberFormat="1" applyFont="1" applyFill="1" applyBorder="1" applyAlignment="1" applyProtection="1">
      <alignment horizontal="right"/>
    </xf>
    <xf numFmtId="193" fontId="9" fillId="0" borderId="104" xfId="0" applyNumberFormat="1" applyFont="1" applyBorder="1" applyAlignment="1">
      <alignment horizontal="right"/>
    </xf>
    <xf numFmtId="193" fontId="9" fillId="0" borderId="105" xfId="0" applyNumberFormat="1" applyFont="1" applyBorder="1" applyAlignment="1">
      <alignment horizontal="right"/>
    </xf>
    <xf numFmtId="193" fontId="9" fillId="36" borderId="119" xfId="0" applyNumberFormat="1" applyFont="1" applyFill="1" applyBorder="1" applyAlignment="1">
      <alignment horizontal="right"/>
    </xf>
    <xf numFmtId="193" fontId="9" fillId="0" borderId="105" xfId="7" applyNumberFormat="1" applyFont="1" applyFill="1" applyBorder="1" applyAlignment="1" applyProtection="1">
      <alignment horizontal="right"/>
      <protection locked="0"/>
    </xf>
    <xf numFmtId="193" fontId="9" fillId="0" borderId="104" xfId="0" applyNumberFormat="1" applyFont="1" applyBorder="1" applyAlignment="1" applyProtection="1">
      <alignment horizontal="right"/>
      <protection locked="0"/>
    </xf>
    <xf numFmtId="193" fontId="9" fillId="0" borderId="105" xfId="0" applyNumberFormat="1" applyFont="1" applyBorder="1" applyAlignment="1" applyProtection="1">
      <alignment horizontal="right"/>
      <protection locked="0"/>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9" fillId="36" borderId="119" xfId="7" applyNumberFormat="1" applyFont="1" applyFill="1" applyBorder="1" applyAlignment="1" applyProtection="1">
      <alignment horizontal="right"/>
    </xf>
    <xf numFmtId="193" fontId="9" fillId="0" borderId="119" xfId="7" applyNumberFormat="1" applyFont="1" applyFill="1" applyBorder="1" applyAlignment="1" applyProtection="1">
      <alignment horizontal="right"/>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9" fillId="36" borderId="119" xfId="7" applyNumberFormat="1" applyFont="1" applyFill="1" applyBorder="1" applyAlignment="1" applyProtection="1"/>
    <xf numFmtId="193" fontId="9" fillId="36" borderId="105" xfId="0" applyNumberFormat="1" applyFont="1" applyFill="1" applyBorder="1" applyAlignment="1">
      <alignment horizontal="right"/>
    </xf>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93" fontId="7" fillId="36" borderId="119" xfId="2" applyNumberFormat="1" applyFont="1" applyFill="1" applyBorder="1" applyAlignment="1" applyProtection="1">
      <alignment vertical="top"/>
    </xf>
    <xf numFmtId="193" fontId="7" fillId="3" borderId="119" xfId="2" applyNumberFormat="1" applyFont="1" applyFill="1" applyBorder="1" applyAlignment="1" applyProtection="1">
      <alignment vertical="top"/>
      <protection locked="0"/>
    </xf>
    <xf numFmtId="193" fontId="7" fillId="36" borderId="119" xfId="2" applyNumberFormat="1" applyFont="1" applyFill="1" applyBorder="1" applyAlignment="1" applyProtection="1">
      <alignment vertical="top" wrapText="1"/>
    </xf>
    <xf numFmtId="193" fontId="7" fillId="3" borderId="119" xfId="2" applyNumberFormat="1" applyFont="1" applyFill="1" applyBorder="1" applyAlignment="1" applyProtection="1">
      <alignment vertical="top" wrapText="1"/>
      <protection locked="0"/>
    </xf>
    <xf numFmtId="193" fontId="7" fillId="36" borderId="119" xfId="2" applyNumberFormat="1" applyFont="1" applyFill="1" applyBorder="1" applyAlignment="1" applyProtection="1">
      <alignment vertical="top" wrapText="1"/>
      <protection locked="0"/>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193" fontId="9" fillId="0" borderId="140" xfId="0" applyNumberFormat="1" applyFont="1" applyBorder="1" applyAlignment="1">
      <alignment vertical="center"/>
    </xf>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42" xfId="0" applyNumberFormat="1" applyFont="1" applyBorder="1" applyAlignment="1">
      <alignment vertical="center"/>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10" fontId="115" fillId="80" borderId="105" xfId="20961" applyNumberFormat="1" applyFont="1" applyFill="1" applyBorder="1" applyAlignment="1" applyProtection="1">
      <alignment horizontal="right" vertical="center"/>
    </xf>
    <xf numFmtId="0" fontId="4" fillId="3" borderId="0" xfId="0" applyFont="1" applyFill="1"/>
    <xf numFmtId="164" fontId="119" fillId="0" borderId="105" xfId="7" applyNumberFormat="1" applyFont="1" applyBorder="1"/>
    <xf numFmtId="164" fontId="122" fillId="0" borderId="105" xfId="7" applyNumberFormat="1" applyFont="1" applyBorder="1"/>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9" fillId="0" borderId="105" xfId="7" applyNumberFormat="1" applyFont="1" applyBorder="1" applyAlignment="1">
      <alignment horizontal="left" indent="2"/>
    </xf>
    <xf numFmtId="164" fontId="119" fillId="0" borderId="105" xfId="7" applyNumberFormat="1" applyFont="1" applyBorder="1" applyAlignment="1">
      <alignment horizontal="left" indent="3"/>
    </xf>
    <xf numFmtId="164" fontId="119" fillId="83" borderId="105" xfId="7" applyNumberFormat="1" applyFont="1" applyFill="1" applyBorder="1"/>
    <xf numFmtId="164" fontId="119" fillId="0" borderId="105" xfId="7" applyNumberFormat="1" applyFont="1" applyBorder="1" applyAlignment="1">
      <alignment horizontal="left" vertical="top" wrapText="1" indent="2"/>
    </xf>
    <xf numFmtId="164" fontId="119" fillId="0" borderId="105" xfId="7" applyNumberFormat="1" applyFont="1" applyBorder="1" applyAlignment="1">
      <alignment horizontal="left" wrapText="1" indent="3"/>
    </xf>
    <xf numFmtId="164" fontId="119" fillId="0" borderId="105" xfId="7" applyNumberFormat="1" applyFont="1" applyBorder="1" applyAlignment="1">
      <alignment horizontal="left" wrapText="1" indent="2"/>
    </xf>
    <xf numFmtId="164" fontId="119" fillId="0" borderId="105" xfId="7" applyNumberFormat="1" applyFont="1" applyBorder="1" applyAlignment="1">
      <alignment horizontal="left" wrapText="1" indent="1"/>
    </xf>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9" fontId="137" fillId="0" borderId="105" xfId="20961" applyFont="1" applyBorder="1"/>
    <xf numFmtId="43" fontId="137" fillId="0" borderId="105" xfId="7" applyFont="1" applyBorder="1"/>
    <xf numFmtId="164" fontId="122" fillId="82" borderId="105" xfId="7" applyNumberFormat="1" applyFont="1" applyFill="1" applyBorder="1"/>
    <xf numFmtId="43" fontId="0" fillId="0" borderId="0" xfId="7" applyFont="1"/>
    <xf numFmtId="193" fontId="20" fillId="0" borderId="147" xfId="0" applyNumberFormat="1" applyFont="1" applyBorder="1" applyAlignment="1" applyProtection="1">
      <alignment horizontal="right"/>
      <protection locked="0"/>
    </xf>
    <xf numFmtId="193" fontId="9" fillId="36" borderId="147" xfId="7" applyNumberFormat="1" applyFont="1" applyFill="1" applyBorder="1" applyAlignment="1" applyProtection="1">
      <alignment horizontal="right"/>
    </xf>
    <xf numFmtId="193" fontId="20" fillId="36" borderId="147" xfId="0" applyNumberFormat="1" applyFont="1" applyFill="1" applyBorder="1" applyAlignment="1">
      <alignment horizontal="right"/>
    </xf>
    <xf numFmtId="193" fontId="9" fillId="0" borderId="147" xfId="7" applyNumberFormat="1" applyFont="1" applyFill="1" applyBorder="1" applyAlignment="1" applyProtection="1">
      <alignment horizontal="right"/>
    </xf>
    <xf numFmtId="193" fontId="21" fillId="0" borderId="147" xfId="0" applyNumberFormat="1" applyFont="1" applyBorder="1" applyAlignment="1">
      <alignment horizontal="center"/>
    </xf>
    <xf numFmtId="193" fontId="20" fillId="0" borderId="147" xfId="0" applyNumberFormat="1" applyFont="1" applyBorder="1" applyAlignment="1" applyProtection="1">
      <alignment horizontal="left" indent="1"/>
      <protection locked="0"/>
    </xf>
    <xf numFmtId="193" fontId="9" fillId="36" borderId="147" xfId="7" applyNumberFormat="1" applyFont="1" applyFill="1" applyBorder="1" applyAlignment="1" applyProtection="1"/>
    <xf numFmtId="193" fontId="20" fillId="0" borderId="147" xfId="0" applyNumberFormat="1" applyFont="1" applyBorder="1" applyProtection="1">
      <protection locked="0"/>
    </xf>
    <xf numFmtId="193" fontId="20" fillId="0" borderId="147" xfId="0" applyNumberFormat="1" applyFont="1" applyBorder="1" applyAlignment="1" applyProtection="1">
      <alignment horizontal="right" vertical="center"/>
      <protection locked="0"/>
    </xf>
    <xf numFmtId="164" fontId="121" fillId="36" borderId="105" xfId="7" applyNumberFormat="1" applyFont="1" applyFill="1" applyBorder="1"/>
    <xf numFmtId="164" fontId="122" fillId="0" borderId="105" xfId="7" applyNumberFormat="1" applyFont="1" applyBorder="1" applyAlignment="1">
      <alignment horizontal="center" vertical="center"/>
    </xf>
    <xf numFmtId="164" fontId="137" fillId="0" borderId="147" xfId="7" applyNumberFormat="1" applyFont="1" applyBorder="1"/>
    <xf numFmtId="164" fontId="119" fillId="0" borderId="0" xfId="0" applyNumberFormat="1" applyFont="1"/>
    <xf numFmtId="14" fontId="119" fillId="0" borderId="0" xfId="0" applyNumberFormat="1" applyFont="1" applyAlignment="1">
      <alignment horizontal="left"/>
    </xf>
    <xf numFmtId="14" fontId="119" fillId="0" borderId="0" xfId="0" applyNumberFormat="1" applyFont="1" applyAlignment="1">
      <alignment horizontal="left" wrapText="1"/>
    </xf>
    <xf numFmtId="14" fontId="4" fillId="0" borderId="0" xfId="0" applyNumberFormat="1" applyFont="1" applyAlignment="1">
      <alignment horizontal="left"/>
    </xf>
    <xf numFmtId="164" fontId="4" fillId="0" borderId="106" xfId="7" applyNumberFormat="1" applyFont="1" applyBorder="1"/>
    <xf numFmtId="164" fontId="4" fillId="36" borderId="26" xfId="7" applyNumberFormat="1" applyFont="1" applyFill="1" applyBorder="1"/>
    <xf numFmtId="14" fontId="7" fillId="0" borderId="0" xfId="0" applyNumberFormat="1" applyFont="1" applyAlignment="1">
      <alignment horizontal="left"/>
    </xf>
    <xf numFmtId="164" fontId="0" fillId="0" borderId="0" xfId="0" applyNumberFormat="1"/>
    <xf numFmtId="43" fontId="0" fillId="0" borderId="0" xfId="0" applyNumberFormat="1"/>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xf numFmtId="0" fontId="108" fillId="0" borderId="105"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105" xfId="0" applyFont="1" applyFill="1" applyBorder="1" applyAlignment="1">
      <alignment horizontal="center" vertical="center" wrapText="1"/>
    </xf>
    <xf numFmtId="0" fontId="107" fillId="0" borderId="105" xfId="0" applyFont="1" applyBorder="1" applyAlignment="1">
      <alignment horizontal="center" vertical="center"/>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activeCell="B2" sqref="B2"/>
      <selection pane="topRight" activeCell="B2" sqref="B2"/>
      <selection pane="bottomLeft" activeCell="B2" sqref="B2"/>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3"/>
    </row>
    <row r="2" spans="1:3" s="166" customFormat="1" ht="15.75">
      <c r="A2" s="210">
        <v>1</v>
      </c>
      <c r="B2" s="167" t="s">
        <v>255</v>
      </c>
      <c r="C2" s="517" t="s">
        <v>957</v>
      </c>
    </row>
    <row r="3" spans="1:3" s="166" customFormat="1" ht="15.75">
      <c r="A3" s="210">
        <v>2</v>
      </c>
      <c r="B3" s="168" t="s">
        <v>256</v>
      </c>
      <c r="C3" s="517" t="s">
        <v>958</v>
      </c>
    </row>
    <row r="4" spans="1:3" s="166" customFormat="1" ht="15.75">
      <c r="A4" s="210">
        <v>3</v>
      </c>
      <c r="B4" s="168" t="s">
        <v>257</v>
      </c>
      <c r="C4" s="517" t="s">
        <v>959</v>
      </c>
    </row>
    <row r="5" spans="1:3" s="166" customFormat="1" ht="15.75">
      <c r="A5" s="211">
        <v>4</v>
      </c>
      <c r="B5" s="171" t="s">
        <v>258</v>
      </c>
      <c r="C5" s="518" t="s">
        <v>960</v>
      </c>
    </row>
    <row r="6" spans="1:3" s="170" customFormat="1" ht="65.25" customHeight="1">
      <c r="A6" s="694" t="s">
        <v>490</v>
      </c>
      <c r="B6" s="695"/>
      <c r="C6" s="695"/>
    </row>
    <row r="7" spans="1:3">
      <c r="A7" s="324" t="s">
        <v>404</v>
      </c>
      <c r="B7" s="325" t="s">
        <v>259</v>
      </c>
    </row>
    <row r="8" spans="1:3">
      <c r="A8" s="326">
        <v>1</v>
      </c>
      <c r="B8" s="322" t="s">
        <v>223</v>
      </c>
    </row>
    <row r="9" spans="1:3">
      <c r="A9" s="326">
        <v>2</v>
      </c>
      <c r="B9" s="322" t="s">
        <v>260</v>
      </c>
    </row>
    <row r="10" spans="1:3">
      <c r="A10" s="326">
        <v>3</v>
      </c>
      <c r="B10" s="322" t="s">
        <v>261</v>
      </c>
    </row>
    <row r="11" spans="1:3">
      <c r="A11" s="326">
        <v>4</v>
      </c>
      <c r="B11" s="322" t="s">
        <v>262</v>
      </c>
    </row>
    <row r="12" spans="1:3">
      <c r="A12" s="326">
        <v>5</v>
      </c>
      <c r="B12" s="322" t="s">
        <v>187</v>
      </c>
    </row>
    <row r="13" spans="1:3">
      <c r="A13" s="326">
        <v>6</v>
      </c>
      <c r="B13" s="327" t="s">
        <v>149</v>
      </c>
    </row>
    <row r="14" spans="1:3">
      <c r="A14" s="326">
        <v>7</v>
      </c>
      <c r="B14" s="322" t="s">
        <v>263</v>
      </c>
    </row>
    <row r="15" spans="1:3">
      <c r="A15" s="326">
        <v>8</v>
      </c>
      <c r="B15" s="322" t="s">
        <v>266</v>
      </c>
    </row>
    <row r="16" spans="1:3">
      <c r="A16" s="326">
        <v>9</v>
      </c>
      <c r="B16" s="322" t="s">
        <v>88</v>
      </c>
    </row>
    <row r="17" spans="1:2">
      <c r="A17" s="328" t="s">
        <v>547</v>
      </c>
      <c r="B17" s="322" t="s">
        <v>527</v>
      </c>
    </row>
    <row r="18" spans="1:2">
      <c r="A18" s="326">
        <v>10</v>
      </c>
      <c r="B18" s="322" t="s">
        <v>269</v>
      </c>
    </row>
    <row r="19" spans="1:2">
      <c r="A19" s="326">
        <v>11</v>
      </c>
      <c r="B19" s="327" t="s">
        <v>250</v>
      </c>
    </row>
    <row r="20" spans="1:2">
      <c r="A20" s="326">
        <v>12</v>
      </c>
      <c r="B20" s="327" t="s">
        <v>247</v>
      </c>
    </row>
    <row r="21" spans="1:2">
      <c r="A21" s="326">
        <v>13</v>
      </c>
      <c r="B21" s="329" t="s">
        <v>460</v>
      </c>
    </row>
    <row r="22" spans="1:2">
      <c r="A22" s="326">
        <v>14</v>
      </c>
      <c r="B22" s="330" t="s">
        <v>520</v>
      </c>
    </row>
    <row r="23" spans="1:2">
      <c r="A23" s="326">
        <v>15</v>
      </c>
      <c r="B23" s="327" t="s">
        <v>77</v>
      </c>
    </row>
    <row r="24" spans="1:2">
      <c r="A24" s="326">
        <v>15.1</v>
      </c>
      <c r="B24" s="322" t="s">
        <v>556</v>
      </c>
    </row>
    <row r="25" spans="1:2">
      <c r="A25" s="326">
        <v>16</v>
      </c>
      <c r="B25" s="322" t="s">
        <v>624</v>
      </c>
    </row>
    <row r="26" spans="1:2">
      <c r="A26" s="326">
        <v>17</v>
      </c>
      <c r="B26" s="322" t="s">
        <v>936</v>
      </c>
    </row>
    <row r="27" spans="1:2">
      <c r="A27" s="326">
        <v>18</v>
      </c>
      <c r="B27" s="322" t="s">
        <v>954</v>
      </c>
    </row>
    <row r="28" spans="1:2">
      <c r="A28" s="326">
        <v>19</v>
      </c>
      <c r="B28" s="322" t="s">
        <v>955</v>
      </c>
    </row>
    <row r="29" spans="1:2">
      <c r="A29" s="326">
        <v>20</v>
      </c>
      <c r="B29" s="330" t="s">
        <v>723</v>
      </c>
    </row>
    <row r="30" spans="1:2">
      <c r="A30" s="326">
        <v>21</v>
      </c>
      <c r="B30" s="322" t="s">
        <v>741</v>
      </c>
    </row>
    <row r="31" spans="1:2">
      <c r="A31" s="326">
        <v>22</v>
      </c>
      <c r="B31" s="488" t="s">
        <v>758</v>
      </c>
    </row>
    <row r="32" spans="1:2" ht="26.25">
      <c r="A32" s="326">
        <v>23</v>
      </c>
      <c r="B32" s="488" t="s">
        <v>937</v>
      </c>
    </row>
    <row r="33" spans="1:2">
      <c r="A33" s="326">
        <v>24</v>
      </c>
      <c r="B33" s="322" t="s">
        <v>938</v>
      </c>
    </row>
    <row r="34" spans="1:2">
      <c r="A34" s="326">
        <v>25</v>
      </c>
      <c r="B34" s="322" t="s">
        <v>939</v>
      </c>
    </row>
    <row r="35" spans="1:2">
      <c r="A35" s="326">
        <v>26</v>
      </c>
      <c r="B35" s="330" t="s">
        <v>1047</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688">
        <f>'1. key ratios'!B2</f>
        <v>44834</v>
      </c>
    </row>
    <row r="3" spans="1:6" s="14" customFormat="1" ht="15.75" customHeight="1"/>
    <row r="4" spans="1:6" ht="15.75" thickBot="1">
      <c r="A4" s="1" t="s">
        <v>413</v>
      </c>
      <c r="B4" s="52" t="s">
        <v>88</v>
      </c>
    </row>
    <row r="5" spans="1:6">
      <c r="A5" s="122" t="s">
        <v>26</v>
      </c>
      <c r="B5" s="123"/>
      <c r="C5" s="124" t="s">
        <v>27</v>
      </c>
    </row>
    <row r="6" spans="1:6">
      <c r="A6" s="125">
        <v>1</v>
      </c>
      <c r="B6" s="73" t="s">
        <v>28</v>
      </c>
      <c r="C6" s="535">
        <f>SUM(C7:C11)</f>
        <v>214674880</v>
      </c>
    </row>
    <row r="7" spans="1:6">
      <c r="A7" s="125">
        <v>2</v>
      </c>
      <c r="B7" s="70" t="s">
        <v>29</v>
      </c>
      <c r="C7" s="536">
        <v>114430000</v>
      </c>
    </row>
    <row r="8" spans="1:6">
      <c r="A8" s="125">
        <v>3</v>
      </c>
      <c r="B8" s="65" t="s">
        <v>30</v>
      </c>
      <c r="C8" s="536"/>
    </row>
    <row r="9" spans="1:6">
      <c r="A9" s="125">
        <v>4</v>
      </c>
      <c r="B9" s="65" t="s">
        <v>31</v>
      </c>
      <c r="C9" s="536"/>
    </row>
    <row r="10" spans="1:6">
      <c r="A10" s="125">
        <v>5</v>
      </c>
      <c r="B10" s="65" t="s">
        <v>32</v>
      </c>
      <c r="C10" s="536">
        <v>7438034</v>
      </c>
    </row>
    <row r="11" spans="1:6">
      <c r="A11" s="125">
        <v>6</v>
      </c>
      <c r="B11" s="71" t="s">
        <v>33</v>
      </c>
      <c r="C11" s="536">
        <v>92806846</v>
      </c>
    </row>
    <row r="12" spans="1:6" s="2" customFormat="1">
      <c r="A12" s="125">
        <v>7</v>
      </c>
      <c r="B12" s="73" t="s">
        <v>34</v>
      </c>
      <c r="C12" s="537">
        <f>SUM(C13:C27)</f>
        <v>3309050</v>
      </c>
    </row>
    <row r="13" spans="1:6" s="2" customFormat="1">
      <c r="A13" s="125">
        <v>8</v>
      </c>
      <c r="B13" s="72" t="s">
        <v>35</v>
      </c>
      <c r="C13" s="538">
        <v>41510</v>
      </c>
    </row>
    <row r="14" spans="1:6" s="2" customFormat="1" ht="25.5">
      <c r="A14" s="125">
        <v>9</v>
      </c>
      <c r="B14" s="66" t="s">
        <v>36</v>
      </c>
      <c r="C14" s="538"/>
    </row>
    <row r="15" spans="1:6" s="2" customFormat="1">
      <c r="A15" s="125">
        <v>10</v>
      </c>
      <c r="B15" s="67" t="s">
        <v>37</v>
      </c>
      <c r="C15" s="538">
        <v>3267540</v>
      </c>
    </row>
    <row r="16" spans="1:6" s="2" customFormat="1">
      <c r="A16" s="125">
        <v>11</v>
      </c>
      <c r="B16" s="68" t="s">
        <v>38</v>
      </c>
      <c r="C16" s="538"/>
    </row>
    <row r="17" spans="1:3" s="2" customFormat="1">
      <c r="A17" s="125">
        <v>12</v>
      </c>
      <c r="B17" s="67" t="s">
        <v>39</v>
      </c>
      <c r="C17" s="538"/>
    </row>
    <row r="18" spans="1:3" s="2" customFormat="1">
      <c r="A18" s="125">
        <v>13</v>
      </c>
      <c r="B18" s="67" t="s">
        <v>40</v>
      </c>
      <c r="C18" s="538"/>
    </row>
    <row r="19" spans="1:3" s="2" customFormat="1">
      <c r="A19" s="125">
        <v>14</v>
      </c>
      <c r="B19" s="67" t="s">
        <v>41</v>
      </c>
      <c r="C19" s="538"/>
    </row>
    <row r="20" spans="1:3" s="2" customFormat="1" ht="25.5">
      <c r="A20" s="125">
        <v>15</v>
      </c>
      <c r="B20" s="67" t="s">
        <v>42</v>
      </c>
      <c r="C20" s="538">
        <v>0</v>
      </c>
    </row>
    <row r="21" spans="1:3" s="2" customFormat="1" ht="25.5">
      <c r="A21" s="125">
        <v>16</v>
      </c>
      <c r="B21" s="66" t="s">
        <v>43</v>
      </c>
      <c r="C21" s="538"/>
    </row>
    <row r="22" spans="1:3" s="2" customFormat="1">
      <c r="A22" s="125">
        <v>17</v>
      </c>
      <c r="B22" s="126" t="s">
        <v>44</v>
      </c>
      <c r="C22" s="538"/>
    </row>
    <row r="23" spans="1:3" s="2" customFormat="1" ht="25.5">
      <c r="A23" s="125">
        <v>18</v>
      </c>
      <c r="B23" s="66" t="s">
        <v>45</v>
      </c>
      <c r="C23" s="538"/>
    </row>
    <row r="24" spans="1:3" s="2" customFormat="1" ht="25.5">
      <c r="A24" s="125">
        <v>19</v>
      </c>
      <c r="B24" s="66" t="s">
        <v>46</v>
      </c>
      <c r="C24" s="538"/>
    </row>
    <row r="25" spans="1:3" s="2" customFormat="1" ht="25.5">
      <c r="A25" s="125">
        <v>20</v>
      </c>
      <c r="B25" s="68" t="s">
        <v>47</v>
      </c>
      <c r="C25" s="538"/>
    </row>
    <row r="26" spans="1:3" s="2" customFormat="1">
      <c r="A26" s="125">
        <v>21</v>
      </c>
      <c r="B26" s="68" t="s">
        <v>48</v>
      </c>
      <c r="C26" s="538"/>
    </row>
    <row r="27" spans="1:3" s="2" customFormat="1" ht="25.5">
      <c r="A27" s="125">
        <v>22</v>
      </c>
      <c r="B27" s="68" t="s">
        <v>49</v>
      </c>
      <c r="C27" s="538"/>
    </row>
    <row r="28" spans="1:3" s="2" customFormat="1">
      <c r="A28" s="125">
        <v>23</v>
      </c>
      <c r="B28" s="74" t="s">
        <v>23</v>
      </c>
      <c r="C28" s="537">
        <f>C6-C12</f>
        <v>211365830</v>
      </c>
    </row>
    <row r="29" spans="1:3" s="2" customFormat="1">
      <c r="A29" s="127"/>
      <c r="B29" s="69"/>
      <c r="C29" s="538"/>
    </row>
    <row r="30" spans="1:3" s="2" customFormat="1">
      <c r="A30" s="127">
        <v>24</v>
      </c>
      <c r="B30" s="74" t="s">
        <v>50</v>
      </c>
      <c r="C30" s="537">
        <f>C31+C34</f>
        <v>76550400</v>
      </c>
    </row>
    <row r="31" spans="1:3" s="2" customFormat="1">
      <c r="A31" s="127">
        <v>25</v>
      </c>
      <c r="B31" s="65" t="s">
        <v>51</v>
      </c>
      <c r="C31" s="539">
        <f>C32+C33</f>
        <v>76550400</v>
      </c>
    </row>
    <row r="32" spans="1:3" s="2" customFormat="1">
      <c r="A32" s="127">
        <v>26</v>
      </c>
      <c r="B32" s="164" t="s">
        <v>52</v>
      </c>
      <c r="C32" s="538"/>
    </row>
    <row r="33" spans="1:3" s="2" customFormat="1">
      <c r="A33" s="127">
        <v>27</v>
      </c>
      <c r="B33" s="164" t="s">
        <v>53</v>
      </c>
      <c r="C33" s="538">
        <v>76550400</v>
      </c>
    </row>
    <row r="34" spans="1:3" s="2" customFormat="1">
      <c r="A34" s="127">
        <v>28</v>
      </c>
      <c r="B34" s="65" t="s">
        <v>54</v>
      </c>
      <c r="C34" s="538"/>
    </row>
    <row r="35" spans="1:3" s="2" customFormat="1">
      <c r="A35" s="127">
        <v>29</v>
      </c>
      <c r="B35" s="74" t="s">
        <v>55</v>
      </c>
      <c r="C35" s="537">
        <f>SUM(C36:C40)</f>
        <v>0</v>
      </c>
    </row>
    <row r="36" spans="1:3" s="2" customFormat="1">
      <c r="A36" s="127">
        <v>30</v>
      </c>
      <c r="B36" s="66" t="s">
        <v>56</v>
      </c>
      <c r="C36" s="538"/>
    </row>
    <row r="37" spans="1:3" s="2" customFormat="1">
      <c r="A37" s="127">
        <v>31</v>
      </c>
      <c r="B37" s="67" t="s">
        <v>57</v>
      </c>
      <c r="C37" s="538"/>
    </row>
    <row r="38" spans="1:3" s="2" customFormat="1" ht="25.5">
      <c r="A38" s="127">
        <v>32</v>
      </c>
      <c r="B38" s="66" t="s">
        <v>58</v>
      </c>
      <c r="C38" s="538"/>
    </row>
    <row r="39" spans="1:3" s="2" customFormat="1" ht="25.5">
      <c r="A39" s="127">
        <v>33</v>
      </c>
      <c r="B39" s="66" t="s">
        <v>46</v>
      </c>
      <c r="C39" s="538"/>
    </row>
    <row r="40" spans="1:3" s="2" customFormat="1" ht="25.5">
      <c r="A40" s="127">
        <v>34</v>
      </c>
      <c r="B40" s="68" t="s">
        <v>59</v>
      </c>
      <c r="C40" s="538"/>
    </row>
    <row r="41" spans="1:3" s="2" customFormat="1">
      <c r="A41" s="127">
        <v>35</v>
      </c>
      <c r="B41" s="74" t="s">
        <v>24</v>
      </c>
      <c r="C41" s="537">
        <f>C30-C35</f>
        <v>76550400</v>
      </c>
    </row>
    <row r="42" spans="1:3" s="2" customFormat="1">
      <c r="A42" s="127"/>
      <c r="B42" s="69"/>
      <c r="C42" s="538"/>
    </row>
    <row r="43" spans="1:3" s="2" customFormat="1">
      <c r="A43" s="127">
        <v>36</v>
      </c>
      <c r="B43" s="75" t="s">
        <v>60</v>
      </c>
      <c r="C43" s="537">
        <f>SUM(C44:C46)</f>
        <v>44163471</v>
      </c>
    </row>
    <row r="44" spans="1:3" s="2" customFormat="1">
      <c r="A44" s="127">
        <v>37</v>
      </c>
      <c r="B44" s="65" t="s">
        <v>61</v>
      </c>
      <c r="C44" s="538">
        <v>34022400</v>
      </c>
    </row>
    <row r="45" spans="1:3" s="2" customFormat="1">
      <c r="A45" s="127">
        <v>38</v>
      </c>
      <c r="B45" s="65" t="s">
        <v>62</v>
      </c>
      <c r="C45" s="538"/>
    </row>
    <row r="46" spans="1:3" s="2" customFormat="1">
      <c r="A46" s="127">
        <v>39</v>
      </c>
      <c r="B46" s="65" t="s">
        <v>63</v>
      </c>
      <c r="C46" s="538">
        <v>10141071</v>
      </c>
    </row>
    <row r="47" spans="1:3" s="2" customFormat="1">
      <c r="A47" s="127">
        <v>40</v>
      </c>
      <c r="B47" s="75" t="s">
        <v>64</v>
      </c>
      <c r="C47" s="537">
        <f>SUM(C48:C51)</f>
        <v>0</v>
      </c>
    </row>
    <row r="48" spans="1:3" s="2" customFormat="1">
      <c r="A48" s="127">
        <v>41</v>
      </c>
      <c r="B48" s="66" t="s">
        <v>65</v>
      </c>
      <c r="C48" s="538"/>
    </row>
    <row r="49" spans="1:3" s="2" customFormat="1">
      <c r="A49" s="127">
        <v>42</v>
      </c>
      <c r="B49" s="67" t="s">
        <v>66</v>
      </c>
      <c r="C49" s="538"/>
    </row>
    <row r="50" spans="1:3" s="2" customFormat="1" ht="25.5">
      <c r="A50" s="127">
        <v>43</v>
      </c>
      <c r="B50" s="66" t="s">
        <v>67</v>
      </c>
      <c r="C50" s="538"/>
    </row>
    <row r="51" spans="1:3" s="2" customFormat="1" ht="25.5">
      <c r="A51" s="127">
        <v>44</v>
      </c>
      <c r="B51" s="66" t="s">
        <v>46</v>
      </c>
      <c r="C51" s="538"/>
    </row>
    <row r="52" spans="1:3" s="2" customFormat="1" ht="15.75" thickBot="1">
      <c r="A52" s="128">
        <v>45</v>
      </c>
      <c r="B52" s="129" t="s">
        <v>25</v>
      </c>
      <c r="C52" s="229">
        <f>C43-C47</f>
        <v>44163471</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B2" sqref="B2"/>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688">
        <f>'1. key ratios'!B2</f>
        <v>44834</v>
      </c>
    </row>
    <row r="3" spans="1:4" s="14" customFormat="1" ht="15.75" customHeight="1"/>
    <row r="4" spans="1:4" ht="13.5" thickBot="1">
      <c r="A4" s="1" t="s">
        <v>526</v>
      </c>
      <c r="B4" s="312" t="s">
        <v>527</v>
      </c>
    </row>
    <row r="5" spans="1:4" s="60" customFormat="1">
      <c r="A5" s="713" t="s">
        <v>528</v>
      </c>
      <c r="B5" s="714"/>
      <c r="C5" s="302" t="s">
        <v>529</v>
      </c>
      <c r="D5" s="303" t="s">
        <v>530</v>
      </c>
    </row>
    <row r="6" spans="1:4" s="313" customFormat="1">
      <c r="A6" s="304">
        <v>1</v>
      </c>
      <c r="B6" s="305" t="s">
        <v>531</v>
      </c>
      <c r="C6" s="305"/>
      <c r="D6" s="306"/>
    </row>
    <row r="7" spans="1:4" s="313" customFormat="1">
      <c r="A7" s="307" t="s">
        <v>532</v>
      </c>
      <c r="B7" s="308" t="s">
        <v>533</v>
      </c>
      <c r="C7" s="540">
        <v>4.4999999999999998E-2</v>
      </c>
      <c r="D7" s="541">
        <f>C7*'5. RWA'!$C$13</f>
        <v>61743290.503374778</v>
      </c>
    </row>
    <row r="8" spans="1:4" s="313" customFormat="1">
      <c r="A8" s="307" t="s">
        <v>534</v>
      </c>
      <c r="B8" s="308" t="s">
        <v>535</v>
      </c>
      <c r="C8" s="542">
        <v>0.06</v>
      </c>
      <c r="D8" s="541">
        <f>C8*'5. RWA'!$C$13</f>
        <v>82324387.337833032</v>
      </c>
    </row>
    <row r="9" spans="1:4" s="313" customFormat="1">
      <c r="A9" s="307" t="s">
        <v>536</v>
      </c>
      <c r="B9" s="308" t="s">
        <v>537</v>
      </c>
      <c r="C9" s="542">
        <v>0.08</v>
      </c>
      <c r="D9" s="541">
        <f>C9*'5. RWA'!$C$13</f>
        <v>109765849.78377739</v>
      </c>
    </row>
    <row r="10" spans="1:4" s="313" customFormat="1">
      <c r="A10" s="304" t="s">
        <v>538</v>
      </c>
      <c r="B10" s="305" t="s">
        <v>539</v>
      </c>
      <c r="C10" s="356"/>
      <c r="D10" s="543"/>
    </row>
    <row r="11" spans="1:4" s="314" customFormat="1">
      <c r="A11" s="309" t="s">
        <v>540</v>
      </c>
      <c r="B11" s="310" t="s">
        <v>602</v>
      </c>
      <c r="C11" s="544">
        <v>2.5000000000000001E-2</v>
      </c>
      <c r="D11" s="545">
        <f>C11*'5. RWA'!$C$13</f>
        <v>34301828.057430439</v>
      </c>
    </row>
    <row r="12" spans="1:4" s="314" customFormat="1">
      <c r="A12" s="309" t="s">
        <v>541</v>
      </c>
      <c r="B12" s="310" t="s">
        <v>542</v>
      </c>
      <c r="C12" s="544">
        <v>0</v>
      </c>
      <c r="D12" s="545">
        <f>C12*'5. RWA'!$C$13</f>
        <v>0</v>
      </c>
    </row>
    <row r="13" spans="1:4" s="314" customFormat="1">
      <c r="A13" s="309" t="s">
        <v>543</v>
      </c>
      <c r="B13" s="310" t="s">
        <v>544</v>
      </c>
      <c r="C13" s="544"/>
      <c r="D13" s="545">
        <f>C13*'5. RWA'!$C$13</f>
        <v>0</v>
      </c>
    </row>
    <row r="14" spans="1:4" s="313" customFormat="1">
      <c r="A14" s="304" t="s">
        <v>545</v>
      </c>
      <c r="B14" s="305" t="s">
        <v>600</v>
      </c>
      <c r="C14" s="546"/>
      <c r="D14" s="543"/>
    </row>
    <row r="15" spans="1:4" s="313" customFormat="1">
      <c r="A15" s="323" t="s">
        <v>548</v>
      </c>
      <c r="B15" s="310" t="s">
        <v>601</v>
      </c>
      <c r="C15" s="544">
        <v>4.3117322982685335E-2</v>
      </c>
      <c r="D15" s="545">
        <f>C15*'5. RWA'!$C$13</f>
        <v>59160119.969950639</v>
      </c>
    </row>
    <row r="16" spans="1:4" s="313" customFormat="1">
      <c r="A16" s="323" t="s">
        <v>549</v>
      </c>
      <c r="B16" s="310" t="s">
        <v>551</v>
      </c>
      <c r="C16" s="544">
        <v>5.7543522591265849E-2</v>
      </c>
      <c r="D16" s="545">
        <f>C16*'5. RWA'!$C$13</f>
        <v>78953920.709778592</v>
      </c>
    </row>
    <row r="17" spans="1:4" s="313" customFormat="1">
      <c r="A17" s="323" t="s">
        <v>550</v>
      </c>
      <c r="B17" s="310" t="s">
        <v>598</v>
      </c>
      <c r="C17" s="544">
        <v>9.1873974909037481E-2</v>
      </c>
      <c r="D17" s="545">
        <f>C17*'5. RWA'!$C$13</f>
        <v>126057811.61129926</v>
      </c>
    </row>
    <row r="18" spans="1:4" s="60" customFormat="1">
      <c r="A18" s="715" t="s">
        <v>599</v>
      </c>
      <c r="B18" s="716"/>
      <c r="C18" s="356" t="s">
        <v>529</v>
      </c>
      <c r="D18" s="547" t="s">
        <v>530</v>
      </c>
    </row>
    <row r="19" spans="1:4" s="313" customFormat="1">
      <c r="A19" s="311">
        <v>4</v>
      </c>
      <c r="B19" s="310" t="s">
        <v>23</v>
      </c>
      <c r="C19" s="544">
        <f>C7+C11+C12+C13+C15</f>
        <v>0.11311732298268534</v>
      </c>
      <c r="D19" s="541">
        <f>C19*'5. RWA'!$C$13</f>
        <v>155205238.53075585</v>
      </c>
    </row>
    <row r="20" spans="1:4" s="313" customFormat="1">
      <c r="A20" s="311">
        <v>5</v>
      </c>
      <c r="B20" s="310" t="s">
        <v>89</v>
      </c>
      <c r="C20" s="544">
        <f>C8+C11+C12+C13+C16</f>
        <v>0.14254352259126585</v>
      </c>
      <c r="D20" s="541">
        <f>C20*'5. RWA'!$C$13</f>
        <v>195580136.10504207</v>
      </c>
    </row>
    <row r="21" spans="1:4" s="313" customFormat="1" ht="13.5" thickBot="1">
      <c r="A21" s="315" t="s">
        <v>546</v>
      </c>
      <c r="B21" s="316" t="s">
        <v>88</v>
      </c>
      <c r="C21" s="548">
        <f>C9+C11+C12+C13+C17</f>
        <v>0.19687397490903749</v>
      </c>
      <c r="D21" s="549">
        <f>C21*'5. RWA'!$C$13</f>
        <v>270125489.45250708</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9" activePane="bottomRight" state="frozen"/>
      <selection activeCell="B2" sqref="B2"/>
      <selection pane="topRight" activeCell="B2" sqref="B2"/>
      <selection pane="bottomLeft" activeCell="B2" sqref="B2"/>
      <selection pane="bottomRight" activeCell="B2" sqref="B2"/>
    </sheetView>
  </sheetViews>
  <sheetFormatPr defaultRowHeight="15.75"/>
  <cols>
    <col min="1" max="1" width="10.7109375" style="61" customWidth="1"/>
    <col min="2" max="2" width="91.7109375" style="61" customWidth="1"/>
    <col min="3" max="3" width="53.28515625" style="61" customWidth="1"/>
    <col min="4" max="4" width="32.2851562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688">
        <f>'1. key ratios'!B2</f>
        <v>44834</v>
      </c>
    </row>
    <row r="3" spans="1:6" s="14" customFormat="1" ht="15.75" customHeight="1">
      <c r="A3" s="21"/>
    </row>
    <row r="4" spans="1:6" s="14" customFormat="1" ht="15.75" customHeight="1" thickBot="1">
      <c r="A4" s="14" t="s">
        <v>414</v>
      </c>
      <c r="B4" s="186" t="s">
        <v>269</v>
      </c>
      <c r="D4" s="188" t="s">
        <v>93</v>
      </c>
    </row>
    <row r="5" spans="1:6" ht="38.25">
      <c r="A5" s="139" t="s">
        <v>26</v>
      </c>
      <c r="B5" s="140" t="s">
        <v>231</v>
      </c>
      <c r="C5" s="141" t="s">
        <v>237</v>
      </c>
      <c r="D5" s="187" t="s">
        <v>270</v>
      </c>
    </row>
    <row r="6" spans="1:6">
      <c r="A6" s="550">
        <v>1</v>
      </c>
      <c r="B6" s="551" t="s">
        <v>154</v>
      </c>
      <c r="C6" s="552">
        <f>'2. RC'!E7</f>
        <v>32172552</v>
      </c>
      <c r="D6" s="553"/>
      <c r="E6" s="5"/>
    </row>
    <row r="7" spans="1:6">
      <c r="A7" s="550">
        <v>2</v>
      </c>
      <c r="B7" s="76" t="s">
        <v>155</v>
      </c>
      <c r="C7" s="230">
        <f>'2. RC'!E8</f>
        <v>287145308</v>
      </c>
      <c r="D7" s="130"/>
      <c r="E7" s="5"/>
    </row>
    <row r="8" spans="1:6">
      <c r="A8" s="550">
        <v>3</v>
      </c>
      <c r="B8" s="76" t="s">
        <v>156</v>
      </c>
      <c r="C8" s="230">
        <f>'2. RC'!E9</f>
        <v>368584536.43000001</v>
      </c>
      <c r="D8" s="130"/>
      <c r="E8" s="5"/>
    </row>
    <row r="9" spans="1:6">
      <c r="A9" s="550">
        <v>4</v>
      </c>
      <c r="B9" s="76" t="s">
        <v>185</v>
      </c>
      <c r="C9" s="230">
        <f>'2. RC'!E10</f>
        <v>0</v>
      </c>
      <c r="D9" s="130"/>
      <c r="E9" s="5"/>
    </row>
    <row r="10" spans="1:6">
      <c r="A10" s="550">
        <v>5</v>
      </c>
      <c r="B10" s="76" t="s">
        <v>157</v>
      </c>
      <c r="C10" s="230">
        <f>'2. RC'!E11-C11</f>
        <v>31011490</v>
      </c>
      <c r="D10" s="130"/>
      <c r="E10" s="5"/>
    </row>
    <row r="11" spans="1:6">
      <c r="A11" s="550">
        <v>5.0999999999999996</v>
      </c>
      <c r="B11" s="554" t="s">
        <v>978</v>
      </c>
      <c r="C11" s="555">
        <v>-60000</v>
      </c>
      <c r="D11" s="212" t="s">
        <v>979</v>
      </c>
      <c r="E11" s="6"/>
    </row>
    <row r="12" spans="1:6">
      <c r="A12" s="550">
        <v>5.2</v>
      </c>
      <c r="B12" s="556" t="s">
        <v>980</v>
      </c>
      <c r="C12" s="555">
        <f>C10+C11</f>
        <v>30951490</v>
      </c>
      <c r="D12" s="131"/>
      <c r="E12" s="6"/>
    </row>
    <row r="13" spans="1:6">
      <c r="A13" s="550">
        <v>6.1</v>
      </c>
      <c r="B13" s="76" t="s">
        <v>158</v>
      </c>
      <c r="C13" s="231">
        <f>'2. RC'!E12</f>
        <v>785513654</v>
      </c>
      <c r="D13" s="131"/>
      <c r="E13" s="6"/>
    </row>
    <row r="14" spans="1:6">
      <c r="A14" s="550">
        <v>6.2</v>
      </c>
      <c r="B14" s="77" t="s">
        <v>159</v>
      </c>
      <c r="C14" s="231">
        <v>-123594480</v>
      </c>
      <c r="D14" s="131"/>
      <c r="E14" s="6"/>
    </row>
    <row r="15" spans="1:6">
      <c r="A15" s="550" t="s">
        <v>487</v>
      </c>
      <c r="B15" s="78" t="s">
        <v>488</v>
      </c>
      <c r="C15" s="231">
        <v>-9558873</v>
      </c>
      <c r="D15" s="212" t="s">
        <v>979</v>
      </c>
      <c r="E15" s="5"/>
    </row>
    <row r="16" spans="1:6">
      <c r="A16" s="550" t="s">
        <v>622</v>
      </c>
      <c r="B16" s="78" t="s">
        <v>611</v>
      </c>
      <c r="C16" s="231">
        <v>0</v>
      </c>
      <c r="D16" s="131"/>
      <c r="E16" s="5"/>
    </row>
    <row r="17" spans="1:5">
      <c r="A17" s="550">
        <v>6</v>
      </c>
      <c r="B17" s="76" t="s">
        <v>160</v>
      </c>
      <c r="C17" s="237">
        <f>C13+C14</f>
        <v>661919174</v>
      </c>
      <c r="D17" s="131"/>
      <c r="E17" s="5"/>
    </row>
    <row r="18" spans="1:5">
      <c r="A18" s="550">
        <v>7</v>
      </c>
      <c r="B18" s="76" t="s">
        <v>161</v>
      </c>
      <c r="C18" s="230">
        <f>'2. RC'!E15</f>
        <v>29521030</v>
      </c>
      <c r="D18" s="130"/>
      <c r="E18" s="5"/>
    </row>
    <row r="19" spans="1:5">
      <c r="A19" s="550">
        <v>8</v>
      </c>
      <c r="B19" s="76" t="s">
        <v>162</v>
      </c>
      <c r="C19" s="230">
        <f>'2. RC'!E16</f>
        <v>22389016</v>
      </c>
      <c r="D19" s="130"/>
      <c r="E19" s="5"/>
    </row>
    <row r="20" spans="1:5">
      <c r="A20" s="550">
        <v>9</v>
      </c>
      <c r="B20" s="76" t="s">
        <v>163</v>
      </c>
      <c r="C20" s="230">
        <f>SUM(C22:C25)</f>
        <v>7793239</v>
      </c>
      <c r="D20" s="130"/>
      <c r="E20" s="5"/>
    </row>
    <row r="21" spans="1:5">
      <c r="A21" s="550">
        <v>9.1</v>
      </c>
      <c r="B21" s="78" t="s">
        <v>246</v>
      </c>
      <c r="C21" s="231"/>
      <c r="D21" s="130"/>
      <c r="E21" s="5"/>
    </row>
    <row r="22" spans="1:5">
      <c r="A22" s="550">
        <v>9.1999999999999993</v>
      </c>
      <c r="B22" s="78" t="s">
        <v>236</v>
      </c>
      <c r="C22" s="231">
        <v>9372300</v>
      </c>
      <c r="D22" s="130"/>
      <c r="E22" s="5"/>
    </row>
    <row r="23" spans="1:5">
      <c r="A23" s="550">
        <v>9.3000000000000007</v>
      </c>
      <c r="B23" s="554" t="s">
        <v>981</v>
      </c>
      <c r="C23" s="557">
        <v>-1634921</v>
      </c>
      <c r="D23" s="130"/>
      <c r="E23" s="5"/>
    </row>
    <row r="24" spans="1:5">
      <c r="A24" s="550">
        <v>9.4</v>
      </c>
      <c r="B24" s="78" t="s">
        <v>235</v>
      </c>
      <c r="C24" s="231">
        <v>57000</v>
      </c>
      <c r="D24" s="130"/>
      <c r="E24" s="5"/>
    </row>
    <row r="25" spans="1:5">
      <c r="A25" s="550">
        <v>9.5</v>
      </c>
      <c r="B25" s="554" t="s">
        <v>982</v>
      </c>
      <c r="C25" s="557">
        <v>-1140</v>
      </c>
      <c r="D25" s="212" t="s">
        <v>979</v>
      </c>
      <c r="E25" s="4"/>
    </row>
    <row r="26" spans="1:5">
      <c r="A26" s="550">
        <v>10</v>
      </c>
      <c r="B26" s="76" t="s">
        <v>164</v>
      </c>
      <c r="C26" s="230">
        <f>'2. RC'!E18</f>
        <v>19652282</v>
      </c>
      <c r="D26" s="130"/>
      <c r="E26" s="5"/>
    </row>
    <row r="27" spans="1:5">
      <c r="A27" s="550">
        <v>10.1</v>
      </c>
      <c r="B27" s="78" t="s">
        <v>234</v>
      </c>
      <c r="C27" s="230">
        <f>'9. Capital'!C15</f>
        <v>3267540</v>
      </c>
      <c r="D27" s="212" t="s">
        <v>440</v>
      </c>
      <c r="E27" s="5"/>
    </row>
    <row r="28" spans="1:5">
      <c r="A28" s="550">
        <v>11</v>
      </c>
      <c r="B28" s="79" t="s">
        <v>165</v>
      </c>
      <c r="C28" s="232">
        <f>'2. RC'!E19-C30-C31</f>
        <v>35421095.57</v>
      </c>
      <c r="D28" s="132"/>
      <c r="E28" s="5"/>
    </row>
    <row r="29" spans="1:5">
      <c r="A29" s="550">
        <v>11.1</v>
      </c>
      <c r="B29" s="558" t="s">
        <v>983</v>
      </c>
      <c r="C29" s="559">
        <f>'9. Capital'!C20</f>
        <v>0</v>
      </c>
      <c r="D29" s="212" t="s">
        <v>984</v>
      </c>
      <c r="E29" s="5"/>
    </row>
    <row r="30" spans="1:5">
      <c r="A30" s="550">
        <v>11.2</v>
      </c>
      <c r="B30" s="554" t="s">
        <v>985</v>
      </c>
      <c r="C30" s="557">
        <v>0</v>
      </c>
      <c r="D30" s="212" t="s">
        <v>979</v>
      </c>
      <c r="E30" s="5"/>
    </row>
    <row r="31" spans="1:5">
      <c r="A31" s="550">
        <v>11.3</v>
      </c>
      <c r="B31" s="554" t="s">
        <v>986</v>
      </c>
      <c r="C31" s="557">
        <v>-1038821</v>
      </c>
      <c r="D31" s="130"/>
      <c r="E31" s="5"/>
    </row>
    <row r="32" spans="1:5">
      <c r="A32" s="550"/>
      <c r="B32" s="79" t="s">
        <v>987</v>
      </c>
      <c r="C32" s="560">
        <f>SUM(C28,C30:C31)</f>
        <v>34382274.57</v>
      </c>
      <c r="D32" s="135"/>
      <c r="E32" s="5"/>
    </row>
    <row r="33" spans="1:5">
      <c r="A33" s="550">
        <v>12</v>
      </c>
      <c r="B33" s="81" t="s">
        <v>166</v>
      </c>
      <c r="C33" s="233">
        <f>SUM(C6:C9,C12,C17:C20,C26,C32)</f>
        <v>1494510902</v>
      </c>
      <c r="D33" s="133"/>
      <c r="E33" s="5"/>
    </row>
    <row r="34" spans="1:5">
      <c r="A34" s="550">
        <v>13</v>
      </c>
      <c r="B34" s="76" t="s">
        <v>167</v>
      </c>
      <c r="C34" s="234">
        <f>'2. RC'!E22</f>
        <v>5638289</v>
      </c>
      <c r="D34" s="134"/>
      <c r="E34" s="5"/>
    </row>
    <row r="35" spans="1:5">
      <c r="A35" s="550">
        <v>14</v>
      </c>
      <c r="B35" s="76" t="s">
        <v>168</v>
      </c>
      <c r="C35" s="230">
        <f>'2. RC'!E23</f>
        <v>668265773</v>
      </c>
      <c r="D35" s="130"/>
      <c r="E35" s="5"/>
    </row>
    <row r="36" spans="1:5">
      <c r="A36" s="550">
        <v>15</v>
      </c>
      <c r="B36" s="76" t="s">
        <v>169</v>
      </c>
      <c r="C36" s="230">
        <f>'2. RC'!E24</f>
        <v>60438185</v>
      </c>
      <c r="D36" s="130"/>
      <c r="E36" s="5"/>
    </row>
    <row r="37" spans="1:5">
      <c r="A37" s="550">
        <v>16</v>
      </c>
      <c r="B37" s="76" t="s">
        <v>170</v>
      </c>
      <c r="C37" s="230">
        <f>'2. RC'!E25</f>
        <v>403840950</v>
      </c>
      <c r="D37" s="130"/>
      <c r="E37" s="4"/>
    </row>
    <row r="38" spans="1:5">
      <c r="A38" s="550">
        <v>17</v>
      </c>
      <c r="B38" s="76" t="s">
        <v>171</v>
      </c>
      <c r="C38" s="230">
        <f>'2. RC'!E26</f>
        <v>0</v>
      </c>
      <c r="D38" s="130"/>
      <c r="E38" s="5"/>
    </row>
    <row r="39" spans="1:5">
      <c r="A39" s="550">
        <v>18</v>
      </c>
      <c r="B39" s="76" t="s">
        <v>172</v>
      </c>
      <c r="C39" s="230">
        <f>'2. RC'!E27</f>
        <v>0</v>
      </c>
      <c r="D39" s="130"/>
      <c r="E39" s="5"/>
    </row>
    <row r="40" spans="1:5">
      <c r="A40" s="550">
        <v>19</v>
      </c>
      <c r="B40" s="76" t="s">
        <v>173</v>
      </c>
      <c r="C40" s="230">
        <f>'2. RC'!E28</f>
        <v>13511268</v>
      </c>
      <c r="D40" s="130"/>
      <c r="E40" s="5"/>
    </row>
    <row r="41" spans="1:5">
      <c r="A41" s="550">
        <v>20</v>
      </c>
      <c r="B41" s="76" t="s">
        <v>95</v>
      </c>
      <c r="C41" s="230">
        <f>'2. RC'!E29</f>
        <v>17610267</v>
      </c>
      <c r="D41" s="130"/>
      <c r="E41" s="5"/>
    </row>
    <row r="42" spans="1:5">
      <c r="A42" s="550">
        <v>20.100000000000001</v>
      </c>
      <c r="B42" s="80" t="s">
        <v>486</v>
      </c>
      <c r="C42" s="232">
        <v>521058</v>
      </c>
      <c r="D42" s="212" t="s">
        <v>979</v>
      </c>
      <c r="E42" s="5"/>
    </row>
    <row r="43" spans="1:5">
      <c r="A43" s="550">
        <v>21</v>
      </c>
      <c r="B43" s="79" t="s">
        <v>174</v>
      </c>
      <c r="C43" s="232">
        <f>'2. RC'!E30</f>
        <v>110572800</v>
      </c>
      <c r="D43" s="130"/>
      <c r="E43" s="5"/>
    </row>
    <row r="44" spans="1:5">
      <c r="A44" s="550">
        <v>21.1</v>
      </c>
      <c r="B44" s="80" t="s">
        <v>233</v>
      </c>
      <c r="C44" s="235">
        <f>C43-'9. Capital'!C33</f>
        <v>34022400</v>
      </c>
      <c r="D44" s="212" t="s">
        <v>988</v>
      </c>
      <c r="E44" s="5"/>
    </row>
    <row r="45" spans="1:5">
      <c r="A45" s="550">
        <v>22</v>
      </c>
      <c r="B45" s="81" t="s">
        <v>175</v>
      </c>
      <c r="C45" s="233">
        <f>SUM(C34:C41,C43)</f>
        <v>1279877532</v>
      </c>
      <c r="D45" s="133"/>
      <c r="E45" s="4"/>
    </row>
    <row r="46" spans="1:5">
      <c r="A46" s="550">
        <v>23</v>
      </c>
      <c r="B46" s="79" t="s">
        <v>176</v>
      </c>
      <c r="C46" s="230">
        <f>'2. RC'!E33</f>
        <v>114430000</v>
      </c>
      <c r="D46" s="212" t="s">
        <v>989</v>
      </c>
    </row>
    <row r="47" spans="1:5">
      <c r="A47" s="550">
        <v>24</v>
      </c>
      <c r="B47" s="79" t="s">
        <v>177</v>
      </c>
      <c r="C47" s="230">
        <f>'2. RC'!E34</f>
        <v>0</v>
      </c>
      <c r="D47" s="130"/>
    </row>
    <row r="48" spans="1:5">
      <c r="A48" s="550">
        <v>25</v>
      </c>
      <c r="B48" s="79" t="s">
        <v>232</v>
      </c>
      <c r="C48" s="230">
        <f>'2. RC'!E35</f>
        <v>0</v>
      </c>
      <c r="D48" s="130"/>
    </row>
    <row r="49" spans="1:4">
      <c r="A49" s="550">
        <v>26</v>
      </c>
      <c r="B49" s="79" t="s">
        <v>179</v>
      </c>
      <c r="C49" s="230">
        <f>'2. RC'!E36</f>
        <v>0</v>
      </c>
      <c r="D49" s="130"/>
    </row>
    <row r="50" spans="1:4">
      <c r="A50" s="550">
        <v>27</v>
      </c>
      <c r="B50" s="79" t="s">
        <v>180</v>
      </c>
      <c r="C50" s="230">
        <f>'2. RC'!E37</f>
        <v>7438034</v>
      </c>
      <c r="D50" s="130"/>
    </row>
    <row r="51" spans="1:4">
      <c r="A51" s="550">
        <v>27.1</v>
      </c>
      <c r="B51" s="558" t="s">
        <v>990</v>
      </c>
      <c r="C51" s="557">
        <v>6838034</v>
      </c>
      <c r="D51" s="212" t="s">
        <v>991</v>
      </c>
    </row>
    <row r="52" spans="1:4">
      <c r="A52" s="550">
        <v>27.2</v>
      </c>
      <c r="B52" s="558" t="s">
        <v>992</v>
      </c>
      <c r="C52" s="557">
        <v>600000</v>
      </c>
      <c r="D52" s="212" t="s">
        <v>991</v>
      </c>
    </row>
    <row r="53" spans="1:4">
      <c r="A53" s="550">
        <v>28</v>
      </c>
      <c r="B53" s="79" t="s">
        <v>181</v>
      </c>
      <c r="C53" s="230">
        <f>'2. RC'!E38</f>
        <v>92806846</v>
      </c>
      <c r="D53" s="212" t="s">
        <v>993</v>
      </c>
    </row>
    <row r="54" spans="1:4">
      <c r="A54" s="550">
        <v>29</v>
      </c>
      <c r="B54" s="79" t="s">
        <v>35</v>
      </c>
      <c r="C54" s="230">
        <f>'2. RC'!E39</f>
        <v>-41510</v>
      </c>
      <c r="D54" s="212" t="s">
        <v>1049</v>
      </c>
    </row>
    <row r="55" spans="1:4" ht="16.5" thickBot="1">
      <c r="A55" s="136">
        <v>30</v>
      </c>
      <c r="B55" s="137" t="s">
        <v>182</v>
      </c>
      <c r="C55" s="236">
        <f>SUM(C46:C50,C53:C54)</f>
        <v>214633370</v>
      </c>
      <c r="D55" s="1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Normal="100" workbookViewId="0">
      <pane xSplit="2" ySplit="7" topLeftCell="C8"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688">
        <f>'1. key ratios'!B2</f>
        <v>44834</v>
      </c>
    </row>
    <row r="4" spans="1:19" ht="26.25" thickBot="1">
      <c r="A4" s="60" t="s">
        <v>415</v>
      </c>
      <c r="B4" s="255"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50" t="s">
        <v>447</v>
      </c>
      <c r="S5" s="106" t="s">
        <v>448</v>
      </c>
    </row>
    <row r="6" spans="1:19" ht="46.5" customHeight="1">
      <c r="A6" s="142"/>
      <c r="B6" s="721" t="s">
        <v>449</v>
      </c>
      <c r="C6" s="719">
        <v>0</v>
      </c>
      <c r="D6" s="720"/>
      <c r="E6" s="719">
        <v>0.2</v>
      </c>
      <c r="F6" s="720"/>
      <c r="G6" s="719">
        <v>0.35</v>
      </c>
      <c r="H6" s="720"/>
      <c r="I6" s="719">
        <v>0.5</v>
      </c>
      <c r="J6" s="720"/>
      <c r="K6" s="719">
        <v>0.75</v>
      </c>
      <c r="L6" s="720"/>
      <c r="M6" s="719">
        <v>1</v>
      </c>
      <c r="N6" s="720"/>
      <c r="O6" s="719">
        <v>1.5</v>
      </c>
      <c r="P6" s="720"/>
      <c r="Q6" s="719">
        <v>2.5</v>
      </c>
      <c r="R6" s="720"/>
      <c r="S6" s="717" t="s">
        <v>251</v>
      </c>
    </row>
    <row r="7" spans="1:19">
      <c r="A7" s="142"/>
      <c r="B7" s="722"/>
      <c r="C7" s="254" t="s">
        <v>442</v>
      </c>
      <c r="D7" s="254" t="s">
        <v>443</v>
      </c>
      <c r="E7" s="254" t="s">
        <v>442</v>
      </c>
      <c r="F7" s="254" t="s">
        <v>443</v>
      </c>
      <c r="G7" s="254" t="s">
        <v>442</v>
      </c>
      <c r="H7" s="254" t="s">
        <v>443</v>
      </c>
      <c r="I7" s="254" t="s">
        <v>442</v>
      </c>
      <c r="J7" s="254" t="s">
        <v>443</v>
      </c>
      <c r="K7" s="254" t="s">
        <v>442</v>
      </c>
      <c r="L7" s="254" t="s">
        <v>443</v>
      </c>
      <c r="M7" s="254" t="s">
        <v>442</v>
      </c>
      <c r="N7" s="254" t="s">
        <v>443</v>
      </c>
      <c r="O7" s="254" t="s">
        <v>442</v>
      </c>
      <c r="P7" s="254" t="s">
        <v>443</v>
      </c>
      <c r="Q7" s="254" t="s">
        <v>442</v>
      </c>
      <c r="R7" s="254" t="s">
        <v>443</v>
      </c>
      <c r="S7" s="718"/>
    </row>
    <row r="8" spans="1:19">
      <c r="A8" s="109">
        <v>1</v>
      </c>
      <c r="B8" s="163" t="s">
        <v>216</v>
      </c>
      <c r="C8" s="561">
        <v>40282477</v>
      </c>
      <c r="D8" s="561"/>
      <c r="E8" s="561"/>
      <c r="F8" s="562"/>
      <c r="G8" s="561"/>
      <c r="H8" s="561"/>
      <c r="I8" s="561"/>
      <c r="J8" s="561"/>
      <c r="K8" s="561"/>
      <c r="L8" s="561"/>
      <c r="M8" s="561">
        <v>275531232</v>
      </c>
      <c r="N8" s="561"/>
      <c r="O8" s="561"/>
      <c r="P8" s="561"/>
      <c r="Q8" s="561"/>
      <c r="R8" s="562"/>
      <c r="S8" s="563">
        <f>$C$6*SUM(C8:D8)+$E$6*SUM(E8:F8)+$G$6*SUM(G8:H8)+$I$6*SUM(I8:J8)+$K$6*SUM(K8:L8)+$M$6*SUM(M8:N8)+$O$6*SUM(O8:P8)+$Q$6*SUM(Q8:R8)</f>
        <v>275531232</v>
      </c>
    </row>
    <row r="9" spans="1:19">
      <c r="A9" s="109">
        <v>2</v>
      </c>
      <c r="B9" s="163" t="s">
        <v>217</v>
      </c>
      <c r="C9" s="561"/>
      <c r="D9" s="561"/>
      <c r="E9" s="561"/>
      <c r="F9" s="561"/>
      <c r="G9" s="561"/>
      <c r="H9" s="561"/>
      <c r="I9" s="561"/>
      <c r="J9" s="561"/>
      <c r="K9" s="561"/>
      <c r="L9" s="561"/>
      <c r="M9" s="561">
        <v>0</v>
      </c>
      <c r="N9" s="561"/>
      <c r="O9" s="561"/>
      <c r="P9" s="561"/>
      <c r="Q9" s="561"/>
      <c r="R9" s="562"/>
      <c r="S9" s="563">
        <f t="shared" ref="S9:S21" si="0">$C$6*SUM(C9:D9)+$E$6*SUM(E9:F9)+$G$6*SUM(G9:H9)+$I$6*SUM(I9:J9)+$K$6*SUM(K9:L9)+$M$6*SUM(M9:N9)+$O$6*SUM(O9:P9)+$Q$6*SUM(Q9:R9)</f>
        <v>0</v>
      </c>
    </row>
    <row r="10" spans="1:19">
      <c r="A10" s="109">
        <v>3</v>
      </c>
      <c r="B10" s="163" t="s">
        <v>218</v>
      </c>
      <c r="C10" s="561"/>
      <c r="D10" s="561"/>
      <c r="E10" s="561"/>
      <c r="F10" s="561"/>
      <c r="G10" s="561"/>
      <c r="H10" s="561"/>
      <c r="I10" s="561"/>
      <c r="J10" s="561"/>
      <c r="K10" s="561"/>
      <c r="L10" s="561"/>
      <c r="M10" s="561">
        <v>0</v>
      </c>
      <c r="N10" s="561"/>
      <c r="O10" s="561"/>
      <c r="P10" s="561"/>
      <c r="Q10" s="561"/>
      <c r="R10" s="562"/>
      <c r="S10" s="563">
        <f t="shared" si="0"/>
        <v>0</v>
      </c>
    </row>
    <row r="11" spans="1:19">
      <c r="A11" s="109">
        <v>4</v>
      </c>
      <c r="B11" s="163" t="s">
        <v>219</v>
      </c>
      <c r="C11" s="561"/>
      <c r="D11" s="561"/>
      <c r="E11" s="561"/>
      <c r="F11" s="561"/>
      <c r="G11" s="561"/>
      <c r="H11" s="561"/>
      <c r="I11" s="561"/>
      <c r="J11" s="561"/>
      <c r="K11" s="561"/>
      <c r="L11" s="561"/>
      <c r="M11" s="561">
        <v>0</v>
      </c>
      <c r="N11" s="561"/>
      <c r="O11" s="561"/>
      <c r="P11" s="561"/>
      <c r="Q11" s="561"/>
      <c r="R11" s="562"/>
      <c r="S11" s="563">
        <f t="shared" si="0"/>
        <v>0</v>
      </c>
    </row>
    <row r="12" spans="1:19">
      <c r="A12" s="109">
        <v>5</v>
      </c>
      <c r="B12" s="163" t="s">
        <v>220</v>
      </c>
      <c r="C12" s="561"/>
      <c r="D12" s="561"/>
      <c r="E12" s="561"/>
      <c r="F12" s="561"/>
      <c r="G12" s="561"/>
      <c r="H12" s="561"/>
      <c r="I12" s="561"/>
      <c r="J12" s="561"/>
      <c r="K12" s="561"/>
      <c r="L12" s="561"/>
      <c r="M12" s="561">
        <v>0</v>
      </c>
      <c r="N12" s="561"/>
      <c r="O12" s="561"/>
      <c r="P12" s="561"/>
      <c r="Q12" s="561"/>
      <c r="R12" s="562"/>
      <c r="S12" s="563">
        <f t="shared" si="0"/>
        <v>0</v>
      </c>
    </row>
    <row r="13" spans="1:19">
      <c r="A13" s="109">
        <v>6</v>
      </c>
      <c r="B13" s="163" t="s">
        <v>221</v>
      </c>
      <c r="C13" s="561">
        <v>0</v>
      </c>
      <c r="D13" s="561"/>
      <c r="E13" s="561">
        <v>147577764.99000001</v>
      </c>
      <c r="F13" s="561"/>
      <c r="G13" s="561"/>
      <c r="H13" s="561"/>
      <c r="I13" s="561">
        <v>220872584.97</v>
      </c>
      <c r="J13" s="561"/>
      <c r="K13" s="561"/>
      <c r="L13" s="561"/>
      <c r="M13" s="561">
        <v>134186.46999999881</v>
      </c>
      <c r="N13" s="561"/>
      <c r="O13" s="561"/>
      <c r="P13" s="561"/>
      <c r="Q13" s="561"/>
      <c r="R13" s="562"/>
      <c r="S13" s="563">
        <f t="shared" si="0"/>
        <v>140086031.95300001</v>
      </c>
    </row>
    <row r="14" spans="1:19">
      <c r="A14" s="109">
        <v>7</v>
      </c>
      <c r="B14" s="163" t="s">
        <v>73</v>
      </c>
      <c r="C14" s="561"/>
      <c r="D14" s="561"/>
      <c r="E14" s="561"/>
      <c r="F14" s="561"/>
      <c r="G14" s="561"/>
      <c r="H14" s="561"/>
      <c r="I14" s="561"/>
      <c r="J14" s="561"/>
      <c r="K14" s="561"/>
      <c r="L14" s="561"/>
      <c r="M14" s="561">
        <v>594519767.12346435</v>
      </c>
      <c r="N14" s="561">
        <v>34159262.039987952</v>
      </c>
      <c r="O14" s="561">
        <v>0</v>
      </c>
      <c r="P14" s="561"/>
      <c r="Q14" s="561">
        <v>0</v>
      </c>
      <c r="R14" s="562">
        <v>0</v>
      </c>
      <c r="S14" s="563">
        <f t="shared" si="0"/>
        <v>628679029.16345227</v>
      </c>
    </row>
    <row r="15" spans="1:19">
      <c r="A15" s="109">
        <v>8</v>
      </c>
      <c r="B15" s="163" t="s">
        <v>74</v>
      </c>
      <c r="C15" s="561"/>
      <c r="D15" s="561"/>
      <c r="E15" s="561"/>
      <c r="F15" s="561"/>
      <c r="G15" s="561"/>
      <c r="H15" s="561"/>
      <c r="I15" s="561"/>
      <c r="J15" s="561"/>
      <c r="K15" s="561"/>
      <c r="L15" s="561"/>
      <c r="M15" s="561"/>
      <c r="N15" s="561"/>
      <c r="O15" s="561"/>
      <c r="P15" s="561"/>
      <c r="Q15" s="561"/>
      <c r="R15" s="562"/>
      <c r="S15" s="563">
        <f t="shared" si="0"/>
        <v>0</v>
      </c>
    </row>
    <row r="16" spans="1:19">
      <c r="A16" s="109">
        <v>9</v>
      </c>
      <c r="B16" s="163" t="s">
        <v>75</v>
      </c>
      <c r="C16" s="561"/>
      <c r="D16" s="561"/>
      <c r="E16" s="561"/>
      <c r="F16" s="561"/>
      <c r="G16" s="561"/>
      <c r="H16" s="561"/>
      <c r="I16" s="561"/>
      <c r="J16" s="561"/>
      <c r="K16" s="561"/>
      <c r="L16" s="561"/>
      <c r="M16" s="561">
        <v>0</v>
      </c>
      <c r="N16" s="561"/>
      <c r="O16" s="561"/>
      <c r="P16" s="561"/>
      <c r="Q16" s="561"/>
      <c r="R16" s="562"/>
      <c r="S16" s="563">
        <f t="shared" si="0"/>
        <v>0</v>
      </c>
    </row>
    <row r="17" spans="1:19">
      <c r="A17" s="109">
        <v>10</v>
      </c>
      <c r="B17" s="163" t="s">
        <v>69</v>
      </c>
      <c r="C17" s="561"/>
      <c r="D17" s="561"/>
      <c r="E17" s="561"/>
      <c r="F17" s="561"/>
      <c r="G17" s="561"/>
      <c r="H17" s="561"/>
      <c r="I17" s="561"/>
      <c r="J17" s="561"/>
      <c r="K17" s="561"/>
      <c r="L17" s="561"/>
      <c r="M17" s="561">
        <v>89600895.410385981</v>
      </c>
      <c r="N17" s="561">
        <v>165943.21499998868</v>
      </c>
      <c r="O17" s="561">
        <v>0</v>
      </c>
      <c r="P17" s="561"/>
      <c r="Q17" s="561">
        <v>0</v>
      </c>
      <c r="R17" s="562"/>
      <c r="S17" s="563">
        <f t="shared" si="0"/>
        <v>89766838.62538597</v>
      </c>
    </row>
    <row r="18" spans="1:19">
      <c r="A18" s="109">
        <v>11</v>
      </c>
      <c r="B18" s="163" t="s">
        <v>70</v>
      </c>
      <c r="C18" s="561"/>
      <c r="D18" s="561"/>
      <c r="E18" s="561"/>
      <c r="F18" s="561"/>
      <c r="G18" s="561"/>
      <c r="H18" s="561"/>
      <c r="I18" s="561"/>
      <c r="J18" s="561"/>
      <c r="K18" s="561"/>
      <c r="L18" s="561"/>
      <c r="M18" s="561">
        <v>0</v>
      </c>
      <c r="N18" s="561"/>
      <c r="O18" s="561"/>
      <c r="P18" s="561"/>
      <c r="Q18" s="561"/>
      <c r="R18" s="562"/>
      <c r="S18" s="563">
        <f t="shared" si="0"/>
        <v>0</v>
      </c>
    </row>
    <row r="19" spans="1:19">
      <c r="A19" s="109">
        <v>12</v>
      </c>
      <c r="B19" s="163" t="s">
        <v>71</v>
      </c>
      <c r="C19" s="561"/>
      <c r="D19" s="561"/>
      <c r="E19" s="561"/>
      <c r="F19" s="561"/>
      <c r="G19" s="561"/>
      <c r="H19" s="561"/>
      <c r="I19" s="561"/>
      <c r="J19" s="561"/>
      <c r="K19" s="561"/>
      <c r="L19" s="561"/>
      <c r="M19" s="561">
        <v>0</v>
      </c>
      <c r="N19" s="561"/>
      <c r="O19" s="561"/>
      <c r="P19" s="561"/>
      <c r="Q19" s="561"/>
      <c r="R19" s="562"/>
      <c r="S19" s="563">
        <f t="shared" si="0"/>
        <v>0</v>
      </c>
    </row>
    <row r="20" spans="1:19">
      <c r="A20" s="109">
        <v>13</v>
      </c>
      <c r="B20" s="163" t="s">
        <v>72</v>
      </c>
      <c r="C20" s="561"/>
      <c r="D20" s="561"/>
      <c r="E20" s="561"/>
      <c r="F20" s="561"/>
      <c r="G20" s="561"/>
      <c r="H20" s="561"/>
      <c r="I20" s="561"/>
      <c r="J20" s="561"/>
      <c r="K20" s="561"/>
      <c r="L20" s="561"/>
      <c r="M20" s="561">
        <v>0</v>
      </c>
      <c r="N20" s="561"/>
      <c r="O20" s="561"/>
      <c r="P20" s="561"/>
      <c r="Q20" s="561"/>
      <c r="R20" s="562"/>
      <c r="S20" s="563">
        <f t="shared" si="0"/>
        <v>0</v>
      </c>
    </row>
    <row r="21" spans="1:19">
      <c r="A21" s="109">
        <v>14</v>
      </c>
      <c r="B21" s="163" t="s">
        <v>249</v>
      </c>
      <c r="C21" s="561">
        <v>33975714</v>
      </c>
      <c r="D21" s="561"/>
      <c r="E21" s="561">
        <v>0</v>
      </c>
      <c r="F21" s="561"/>
      <c r="G21" s="561"/>
      <c r="H21" s="561">
        <v>0</v>
      </c>
      <c r="I21" s="561">
        <v>0</v>
      </c>
      <c r="J21" s="561"/>
      <c r="K21" s="561"/>
      <c r="L21" s="561"/>
      <c r="M21" s="561">
        <v>85309962.327152997</v>
      </c>
      <c r="N21" s="561">
        <v>1706492.8598999972</v>
      </c>
      <c r="O21" s="561">
        <v>0</v>
      </c>
      <c r="P21" s="561"/>
      <c r="Q21" s="561">
        <v>21373174.109000001</v>
      </c>
      <c r="R21" s="562"/>
      <c r="S21" s="563">
        <f t="shared" si="0"/>
        <v>140449390.459553</v>
      </c>
    </row>
    <row r="22" spans="1:19" ht="13.5" thickBot="1">
      <c r="A22" s="92"/>
      <c r="B22" s="147" t="s">
        <v>68</v>
      </c>
      <c r="C22" s="238">
        <f>SUM(C8:C21)</f>
        <v>74258191</v>
      </c>
      <c r="D22" s="238">
        <f t="shared" ref="D22:S22" si="1">SUM(D8:D21)</f>
        <v>0</v>
      </c>
      <c r="E22" s="238">
        <f t="shared" si="1"/>
        <v>147577764.99000001</v>
      </c>
      <c r="F22" s="238">
        <f t="shared" si="1"/>
        <v>0</v>
      </c>
      <c r="G22" s="238">
        <f t="shared" si="1"/>
        <v>0</v>
      </c>
      <c r="H22" s="238">
        <f t="shared" si="1"/>
        <v>0</v>
      </c>
      <c r="I22" s="238">
        <f t="shared" si="1"/>
        <v>220872584.97</v>
      </c>
      <c r="J22" s="238">
        <f t="shared" si="1"/>
        <v>0</v>
      </c>
      <c r="K22" s="238">
        <f t="shared" si="1"/>
        <v>0</v>
      </c>
      <c r="L22" s="238">
        <f t="shared" si="1"/>
        <v>0</v>
      </c>
      <c r="M22" s="238">
        <f t="shared" si="1"/>
        <v>1045096043.3310033</v>
      </c>
      <c r="N22" s="238">
        <f t="shared" si="1"/>
        <v>36031698.114887938</v>
      </c>
      <c r="O22" s="238">
        <f t="shared" si="1"/>
        <v>0</v>
      </c>
      <c r="P22" s="238">
        <f t="shared" si="1"/>
        <v>0</v>
      </c>
      <c r="Q22" s="238">
        <f t="shared" si="1"/>
        <v>21373174.109000001</v>
      </c>
      <c r="R22" s="238">
        <f t="shared" si="1"/>
        <v>0</v>
      </c>
      <c r="S22" s="564">
        <f t="shared" si="1"/>
        <v>1274512522.2013912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688">
        <f>'1. key ratios'!B2</f>
        <v>44834</v>
      </c>
    </row>
    <row r="4" spans="1:22" ht="27.75" thickBot="1">
      <c r="A4" s="1" t="s">
        <v>416</v>
      </c>
      <c r="B4" s="255" t="s">
        <v>458</v>
      </c>
      <c r="V4" s="188" t="s">
        <v>93</v>
      </c>
    </row>
    <row r="5" spans="1:22">
      <c r="A5" s="90"/>
      <c r="B5" s="91"/>
      <c r="C5" s="723" t="s">
        <v>198</v>
      </c>
      <c r="D5" s="724"/>
      <c r="E5" s="724"/>
      <c r="F5" s="724"/>
      <c r="G5" s="724"/>
      <c r="H5" s="724"/>
      <c r="I5" s="724"/>
      <c r="J5" s="724"/>
      <c r="K5" s="724"/>
      <c r="L5" s="725"/>
      <c r="M5" s="723" t="s">
        <v>199</v>
      </c>
      <c r="N5" s="724"/>
      <c r="O5" s="724"/>
      <c r="P5" s="724"/>
      <c r="Q5" s="724"/>
      <c r="R5" s="724"/>
      <c r="S5" s="725"/>
      <c r="T5" s="728" t="s">
        <v>456</v>
      </c>
      <c r="U5" s="728" t="s">
        <v>455</v>
      </c>
      <c r="V5" s="726" t="s">
        <v>200</v>
      </c>
    </row>
    <row r="6" spans="1:22" s="60" customFormat="1" ht="127.5">
      <c r="A6" s="107"/>
      <c r="B6" s="165"/>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29"/>
      <c r="U6" s="729"/>
      <c r="V6" s="727"/>
    </row>
    <row r="7" spans="1:22">
      <c r="A7" s="146">
        <v>1</v>
      </c>
      <c r="B7" s="145" t="s">
        <v>216</v>
      </c>
      <c r="C7" s="565"/>
      <c r="D7" s="561"/>
      <c r="E7" s="561"/>
      <c r="F7" s="561"/>
      <c r="G7" s="561"/>
      <c r="H7" s="561"/>
      <c r="I7" s="561"/>
      <c r="J7" s="561"/>
      <c r="K7" s="561"/>
      <c r="L7" s="566"/>
      <c r="M7" s="565"/>
      <c r="N7" s="561"/>
      <c r="O7" s="561"/>
      <c r="P7" s="561"/>
      <c r="Q7" s="561"/>
      <c r="R7" s="561"/>
      <c r="S7" s="566"/>
      <c r="T7" s="252"/>
      <c r="U7" s="567"/>
      <c r="V7" s="568">
        <f>SUM(C7:S7)</f>
        <v>0</v>
      </c>
    </row>
    <row r="8" spans="1:22">
      <c r="A8" s="146">
        <v>2</v>
      </c>
      <c r="B8" s="145" t="s">
        <v>217</v>
      </c>
      <c r="C8" s="565"/>
      <c r="D8" s="561"/>
      <c r="E8" s="561"/>
      <c r="F8" s="561"/>
      <c r="G8" s="561"/>
      <c r="H8" s="561"/>
      <c r="I8" s="561"/>
      <c r="J8" s="561"/>
      <c r="K8" s="561"/>
      <c r="L8" s="566"/>
      <c r="M8" s="565"/>
      <c r="N8" s="561"/>
      <c r="O8" s="561"/>
      <c r="P8" s="561"/>
      <c r="Q8" s="561"/>
      <c r="R8" s="561"/>
      <c r="S8" s="566"/>
      <c r="T8" s="567"/>
      <c r="U8" s="567"/>
      <c r="V8" s="568">
        <f t="shared" ref="V8:V20" si="0">SUM(C8:S8)</f>
        <v>0</v>
      </c>
    </row>
    <row r="9" spans="1:22">
      <c r="A9" s="146">
        <v>3</v>
      </c>
      <c r="B9" s="145" t="s">
        <v>218</v>
      </c>
      <c r="C9" s="565"/>
      <c r="D9" s="561"/>
      <c r="E9" s="561"/>
      <c r="F9" s="561"/>
      <c r="G9" s="561"/>
      <c r="H9" s="561"/>
      <c r="I9" s="561"/>
      <c r="J9" s="561"/>
      <c r="K9" s="561"/>
      <c r="L9" s="566"/>
      <c r="M9" s="565"/>
      <c r="N9" s="561"/>
      <c r="O9" s="561"/>
      <c r="P9" s="561"/>
      <c r="Q9" s="561"/>
      <c r="R9" s="561"/>
      <c r="S9" s="566"/>
      <c r="T9" s="567"/>
      <c r="U9" s="567"/>
      <c r="V9" s="568">
        <f>SUM(C9:S9)</f>
        <v>0</v>
      </c>
    </row>
    <row r="10" spans="1:22">
      <c r="A10" s="146">
        <v>4</v>
      </c>
      <c r="B10" s="145" t="s">
        <v>219</v>
      </c>
      <c r="C10" s="565"/>
      <c r="D10" s="561"/>
      <c r="E10" s="561"/>
      <c r="F10" s="561"/>
      <c r="G10" s="561"/>
      <c r="H10" s="561"/>
      <c r="I10" s="561"/>
      <c r="J10" s="561"/>
      <c r="K10" s="561"/>
      <c r="L10" s="566"/>
      <c r="M10" s="565"/>
      <c r="N10" s="561"/>
      <c r="O10" s="561"/>
      <c r="P10" s="561"/>
      <c r="Q10" s="561"/>
      <c r="R10" s="561"/>
      <c r="S10" s="566"/>
      <c r="T10" s="567"/>
      <c r="U10" s="567"/>
      <c r="V10" s="568">
        <f t="shared" si="0"/>
        <v>0</v>
      </c>
    </row>
    <row r="11" spans="1:22">
      <c r="A11" s="146">
        <v>5</v>
      </c>
      <c r="B11" s="145" t="s">
        <v>220</v>
      </c>
      <c r="C11" s="565"/>
      <c r="D11" s="561"/>
      <c r="E11" s="561"/>
      <c r="F11" s="561"/>
      <c r="G11" s="561"/>
      <c r="H11" s="561"/>
      <c r="I11" s="561"/>
      <c r="J11" s="561"/>
      <c r="K11" s="561"/>
      <c r="L11" s="566"/>
      <c r="M11" s="565"/>
      <c r="N11" s="561"/>
      <c r="O11" s="561"/>
      <c r="P11" s="561"/>
      <c r="Q11" s="561"/>
      <c r="R11" s="561"/>
      <c r="S11" s="566"/>
      <c r="T11" s="567"/>
      <c r="U11" s="567"/>
      <c r="V11" s="568">
        <f t="shared" si="0"/>
        <v>0</v>
      </c>
    </row>
    <row r="12" spans="1:22">
      <c r="A12" s="146">
        <v>6</v>
      </c>
      <c r="B12" s="145" t="s">
        <v>221</v>
      </c>
      <c r="C12" s="565"/>
      <c r="D12" s="561"/>
      <c r="E12" s="561"/>
      <c r="F12" s="561"/>
      <c r="G12" s="561"/>
      <c r="H12" s="561"/>
      <c r="I12" s="561"/>
      <c r="J12" s="561"/>
      <c r="K12" s="561"/>
      <c r="L12" s="566"/>
      <c r="M12" s="565"/>
      <c r="N12" s="561"/>
      <c r="O12" s="561"/>
      <c r="P12" s="561"/>
      <c r="Q12" s="561"/>
      <c r="R12" s="561"/>
      <c r="S12" s="566"/>
      <c r="T12" s="567"/>
      <c r="U12" s="567"/>
      <c r="V12" s="568">
        <f t="shared" si="0"/>
        <v>0</v>
      </c>
    </row>
    <row r="13" spans="1:22">
      <c r="A13" s="146">
        <v>7</v>
      </c>
      <c r="B13" s="145" t="s">
        <v>73</v>
      </c>
      <c r="C13" s="565"/>
      <c r="D13" s="561">
        <v>38431573.821330287</v>
      </c>
      <c r="E13" s="561"/>
      <c r="F13" s="561"/>
      <c r="G13" s="561"/>
      <c r="H13" s="561"/>
      <c r="I13" s="561"/>
      <c r="J13" s="561"/>
      <c r="K13" s="561"/>
      <c r="L13" s="566"/>
      <c r="M13" s="565"/>
      <c r="N13" s="561"/>
      <c r="O13" s="561"/>
      <c r="P13" s="561"/>
      <c r="Q13" s="561"/>
      <c r="R13" s="561"/>
      <c r="S13" s="566"/>
      <c r="T13" s="567">
        <v>33127554.754045058</v>
      </c>
      <c r="U13" s="567">
        <v>5304019.0672852267</v>
      </c>
      <c r="V13" s="568">
        <f t="shared" si="0"/>
        <v>38431573.821330287</v>
      </c>
    </row>
    <row r="14" spans="1:22">
      <c r="A14" s="146">
        <v>8</v>
      </c>
      <c r="B14" s="145" t="s">
        <v>74</v>
      </c>
      <c r="C14" s="565"/>
      <c r="D14" s="561"/>
      <c r="E14" s="561"/>
      <c r="F14" s="561"/>
      <c r="G14" s="561"/>
      <c r="H14" s="561"/>
      <c r="I14" s="561"/>
      <c r="J14" s="561"/>
      <c r="K14" s="561"/>
      <c r="L14" s="566"/>
      <c r="M14" s="565"/>
      <c r="N14" s="561"/>
      <c r="O14" s="561"/>
      <c r="P14" s="561"/>
      <c r="Q14" s="561"/>
      <c r="R14" s="561"/>
      <c r="S14" s="566"/>
      <c r="T14" s="567"/>
      <c r="U14" s="567"/>
      <c r="V14" s="568">
        <f t="shared" si="0"/>
        <v>0</v>
      </c>
    </row>
    <row r="15" spans="1:22">
      <c r="A15" s="146">
        <v>9</v>
      </c>
      <c r="B15" s="145" t="s">
        <v>75</v>
      </c>
      <c r="C15" s="565"/>
      <c r="D15" s="561"/>
      <c r="E15" s="561"/>
      <c r="F15" s="561"/>
      <c r="G15" s="561"/>
      <c r="H15" s="561"/>
      <c r="I15" s="561"/>
      <c r="J15" s="561"/>
      <c r="K15" s="561"/>
      <c r="L15" s="566"/>
      <c r="M15" s="565"/>
      <c r="N15" s="561"/>
      <c r="O15" s="561"/>
      <c r="P15" s="561"/>
      <c r="Q15" s="561"/>
      <c r="R15" s="561"/>
      <c r="S15" s="566"/>
      <c r="T15" s="567"/>
      <c r="U15" s="567"/>
      <c r="V15" s="568">
        <f t="shared" si="0"/>
        <v>0</v>
      </c>
    </row>
    <row r="16" spans="1:22">
      <c r="A16" s="146">
        <v>10</v>
      </c>
      <c r="B16" s="145" t="s">
        <v>69</v>
      </c>
      <c r="C16" s="565"/>
      <c r="D16" s="561">
        <v>2500</v>
      </c>
      <c r="E16" s="561"/>
      <c r="F16" s="561"/>
      <c r="G16" s="561"/>
      <c r="H16" s="561"/>
      <c r="I16" s="561"/>
      <c r="J16" s="561"/>
      <c r="K16" s="561"/>
      <c r="L16" s="566"/>
      <c r="M16" s="565"/>
      <c r="N16" s="561"/>
      <c r="O16" s="561"/>
      <c r="P16" s="561"/>
      <c r="Q16" s="561"/>
      <c r="R16" s="561"/>
      <c r="S16" s="566"/>
      <c r="T16" s="567">
        <v>0</v>
      </c>
      <c r="U16" s="567">
        <v>2500</v>
      </c>
      <c r="V16" s="568">
        <f t="shared" si="0"/>
        <v>2500</v>
      </c>
    </row>
    <row r="17" spans="1:22">
      <c r="A17" s="146">
        <v>11</v>
      </c>
      <c r="B17" s="145" t="s">
        <v>70</v>
      </c>
      <c r="C17" s="565"/>
      <c r="D17" s="561"/>
      <c r="E17" s="561"/>
      <c r="F17" s="561"/>
      <c r="G17" s="561"/>
      <c r="H17" s="561"/>
      <c r="I17" s="561"/>
      <c r="J17" s="561"/>
      <c r="K17" s="561"/>
      <c r="L17" s="566"/>
      <c r="M17" s="565"/>
      <c r="N17" s="561"/>
      <c r="O17" s="561"/>
      <c r="P17" s="561"/>
      <c r="Q17" s="561"/>
      <c r="R17" s="561"/>
      <c r="S17" s="566"/>
      <c r="T17" s="567"/>
      <c r="U17" s="567"/>
      <c r="V17" s="568">
        <f t="shared" si="0"/>
        <v>0</v>
      </c>
    </row>
    <row r="18" spans="1:22">
      <c r="A18" s="146">
        <v>12</v>
      </c>
      <c r="B18" s="145" t="s">
        <v>71</v>
      </c>
      <c r="C18" s="565"/>
      <c r="D18" s="561"/>
      <c r="E18" s="561"/>
      <c r="F18" s="561"/>
      <c r="G18" s="561"/>
      <c r="H18" s="561"/>
      <c r="I18" s="561"/>
      <c r="J18" s="561"/>
      <c r="K18" s="561"/>
      <c r="L18" s="566"/>
      <c r="M18" s="565"/>
      <c r="N18" s="561"/>
      <c r="O18" s="561"/>
      <c r="P18" s="561"/>
      <c r="Q18" s="561"/>
      <c r="R18" s="561"/>
      <c r="S18" s="566"/>
      <c r="T18" s="567"/>
      <c r="U18" s="567"/>
      <c r="V18" s="568">
        <f t="shared" si="0"/>
        <v>0</v>
      </c>
    </row>
    <row r="19" spans="1:22">
      <c r="A19" s="146">
        <v>13</v>
      </c>
      <c r="B19" s="145" t="s">
        <v>72</v>
      </c>
      <c r="C19" s="565"/>
      <c r="D19" s="561"/>
      <c r="E19" s="561"/>
      <c r="F19" s="561"/>
      <c r="G19" s="561"/>
      <c r="H19" s="561"/>
      <c r="I19" s="561"/>
      <c r="J19" s="561"/>
      <c r="K19" s="561"/>
      <c r="L19" s="566"/>
      <c r="M19" s="565"/>
      <c r="N19" s="561"/>
      <c r="O19" s="561"/>
      <c r="P19" s="561"/>
      <c r="Q19" s="561"/>
      <c r="R19" s="561"/>
      <c r="S19" s="566"/>
      <c r="T19" s="567"/>
      <c r="U19" s="567"/>
      <c r="V19" s="568">
        <f t="shared" si="0"/>
        <v>0</v>
      </c>
    </row>
    <row r="20" spans="1:22">
      <c r="A20" s="146">
        <v>14</v>
      </c>
      <c r="B20" s="145" t="s">
        <v>249</v>
      </c>
      <c r="C20" s="565"/>
      <c r="D20" s="561">
        <v>558462.71652480005</v>
      </c>
      <c r="E20" s="561"/>
      <c r="F20" s="561"/>
      <c r="G20" s="561"/>
      <c r="H20" s="561"/>
      <c r="I20" s="561"/>
      <c r="J20" s="561"/>
      <c r="K20" s="561"/>
      <c r="L20" s="566"/>
      <c r="M20" s="565"/>
      <c r="N20" s="561"/>
      <c r="O20" s="561"/>
      <c r="P20" s="561"/>
      <c r="Q20" s="561"/>
      <c r="R20" s="561"/>
      <c r="S20" s="566"/>
      <c r="T20" s="567">
        <v>544462.71652480005</v>
      </c>
      <c r="U20" s="567">
        <v>14000</v>
      </c>
      <c r="V20" s="568">
        <f t="shared" si="0"/>
        <v>558462.71652480005</v>
      </c>
    </row>
    <row r="21" spans="1:22" ht="13.5" thickBot="1">
      <c r="A21" s="92"/>
      <c r="B21" s="93" t="s">
        <v>68</v>
      </c>
      <c r="C21" s="239">
        <f>SUM(C7:C20)</f>
        <v>0</v>
      </c>
      <c r="D21" s="238">
        <f t="shared" ref="D21:V21" si="1">SUM(D7:D20)</f>
        <v>38992536.537855089</v>
      </c>
      <c r="E21" s="238">
        <f t="shared" si="1"/>
        <v>0</v>
      </c>
      <c r="F21" s="238">
        <f t="shared" si="1"/>
        <v>0</v>
      </c>
      <c r="G21" s="238">
        <f t="shared" si="1"/>
        <v>0</v>
      </c>
      <c r="H21" s="238">
        <f t="shared" si="1"/>
        <v>0</v>
      </c>
      <c r="I21" s="238">
        <f t="shared" si="1"/>
        <v>0</v>
      </c>
      <c r="J21" s="238">
        <f t="shared" si="1"/>
        <v>0</v>
      </c>
      <c r="K21" s="238">
        <f t="shared" si="1"/>
        <v>0</v>
      </c>
      <c r="L21" s="240">
        <f t="shared" si="1"/>
        <v>0</v>
      </c>
      <c r="M21" s="239">
        <f t="shared" si="1"/>
        <v>0</v>
      </c>
      <c r="N21" s="238">
        <f t="shared" si="1"/>
        <v>0</v>
      </c>
      <c r="O21" s="238">
        <f t="shared" si="1"/>
        <v>0</v>
      </c>
      <c r="P21" s="238">
        <f t="shared" si="1"/>
        <v>0</v>
      </c>
      <c r="Q21" s="238">
        <f t="shared" si="1"/>
        <v>0</v>
      </c>
      <c r="R21" s="238">
        <f t="shared" si="1"/>
        <v>0</v>
      </c>
      <c r="S21" s="240">
        <f t="shared" si="1"/>
        <v>0</v>
      </c>
      <c r="T21" s="240">
        <f>SUM(T7:T20)</f>
        <v>33672017.470569856</v>
      </c>
      <c r="U21" s="240">
        <f t="shared" si="1"/>
        <v>5320519.0672852267</v>
      </c>
      <c r="V21" s="241">
        <f t="shared" si="1"/>
        <v>38992536.537855089</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688">
        <f>'1. key ratios'!B2</f>
        <v>44834</v>
      </c>
    </row>
    <row r="4" spans="1:9" ht="13.5" thickBot="1">
      <c r="A4" s="1" t="s">
        <v>417</v>
      </c>
      <c r="B4" s="52" t="s">
        <v>459</v>
      </c>
    </row>
    <row r="5" spans="1:9">
      <c r="A5" s="90"/>
      <c r="B5" s="143"/>
      <c r="C5" s="148" t="s">
        <v>0</v>
      </c>
      <c r="D5" s="148" t="s">
        <v>1</v>
      </c>
      <c r="E5" s="148" t="s">
        <v>2</v>
      </c>
      <c r="F5" s="148" t="s">
        <v>3</v>
      </c>
      <c r="G5" s="251" t="s">
        <v>4</v>
      </c>
      <c r="H5" s="149" t="s">
        <v>5</v>
      </c>
      <c r="I5" s="19"/>
    </row>
    <row r="6" spans="1:9" ht="15" customHeight="1">
      <c r="A6" s="142"/>
      <c r="B6" s="17"/>
      <c r="C6" s="721" t="s">
        <v>451</v>
      </c>
      <c r="D6" s="732" t="s">
        <v>472</v>
      </c>
      <c r="E6" s="733"/>
      <c r="F6" s="721" t="s">
        <v>478</v>
      </c>
      <c r="G6" s="721" t="s">
        <v>479</v>
      </c>
      <c r="H6" s="730" t="s">
        <v>453</v>
      </c>
      <c r="I6" s="19"/>
    </row>
    <row r="7" spans="1:9" ht="63.75">
      <c r="A7" s="142"/>
      <c r="B7" s="17"/>
      <c r="C7" s="722"/>
      <c r="D7" s="253" t="s">
        <v>454</v>
      </c>
      <c r="E7" s="253" t="s">
        <v>452</v>
      </c>
      <c r="F7" s="722"/>
      <c r="G7" s="722"/>
      <c r="H7" s="731"/>
      <c r="I7" s="19"/>
    </row>
    <row r="8" spans="1:9">
      <c r="A8" s="82">
        <v>1</v>
      </c>
      <c r="B8" s="66" t="s">
        <v>216</v>
      </c>
      <c r="C8" s="403">
        <v>315813709</v>
      </c>
      <c r="D8" s="403"/>
      <c r="E8" s="403"/>
      <c r="F8" s="403">
        <v>275531232</v>
      </c>
      <c r="G8" s="689">
        <v>275531232</v>
      </c>
      <c r="H8" s="569">
        <f>IFERROR(G8/(C8+E8),0)</f>
        <v>0.8724486117858804</v>
      </c>
    </row>
    <row r="9" spans="1:9" ht="15" customHeight="1">
      <c r="A9" s="82">
        <v>2</v>
      </c>
      <c r="B9" s="66" t="s">
        <v>217</v>
      </c>
      <c r="C9" s="403">
        <v>0</v>
      </c>
      <c r="D9" s="403"/>
      <c r="E9" s="403"/>
      <c r="F9" s="403">
        <v>0</v>
      </c>
      <c r="G9" s="689">
        <v>0</v>
      </c>
      <c r="H9" s="569">
        <f t="shared" ref="H9:H22" si="0">IFERROR(G9/(C9+E9),0)</f>
        <v>0</v>
      </c>
    </row>
    <row r="10" spans="1:9">
      <c r="A10" s="82">
        <v>3</v>
      </c>
      <c r="B10" s="66" t="s">
        <v>218</v>
      </c>
      <c r="C10" s="403">
        <v>0</v>
      </c>
      <c r="D10" s="403"/>
      <c r="E10" s="403"/>
      <c r="F10" s="403">
        <v>0</v>
      </c>
      <c r="G10" s="689">
        <v>0</v>
      </c>
      <c r="H10" s="569">
        <f t="shared" si="0"/>
        <v>0</v>
      </c>
    </row>
    <row r="11" spans="1:9">
      <c r="A11" s="82">
        <v>4</v>
      </c>
      <c r="B11" s="66" t="s">
        <v>219</v>
      </c>
      <c r="C11" s="403">
        <v>0</v>
      </c>
      <c r="D11" s="403"/>
      <c r="E11" s="403"/>
      <c r="F11" s="403">
        <v>0</v>
      </c>
      <c r="G11" s="689">
        <v>0</v>
      </c>
      <c r="H11" s="569">
        <f t="shared" si="0"/>
        <v>0</v>
      </c>
    </row>
    <row r="12" spans="1:9">
      <c r="A12" s="82">
        <v>5</v>
      </c>
      <c r="B12" s="66" t="s">
        <v>220</v>
      </c>
      <c r="C12" s="403">
        <v>0</v>
      </c>
      <c r="D12" s="403"/>
      <c r="E12" s="403"/>
      <c r="F12" s="403">
        <v>0</v>
      </c>
      <c r="G12" s="689">
        <v>0</v>
      </c>
      <c r="H12" s="569">
        <f t="shared" si="0"/>
        <v>0</v>
      </c>
    </row>
    <row r="13" spans="1:9">
      <c r="A13" s="82">
        <v>6</v>
      </c>
      <c r="B13" s="66" t="s">
        <v>221</v>
      </c>
      <c r="C13" s="403">
        <v>368584536.43000007</v>
      </c>
      <c r="D13" s="403"/>
      <c r="E13" s="403"/>
      <c r="F13" s="403">
        <v>140086031.95300001</v>
      </c>
      <c r="G13" s="689">
        <v>140086031.95300001</v>
      </c>
      <c r="H13" s="569">
        <f t="shared" si="0"/>
        <v>0.38006486465718708</v>
      </c>
    </row>
    <row r="14" spans="1:9">
      <c r="A14" s="82">
        <v>7</v>
      </c>
      <c r="B14" s="66" t="s">
        <v>73</v>
      </c>
      <c r="C14" s="403">
        <v>594519767.12346435</v>
      </c>
      <c r="D14" s="403">
        <v>62285805.094951913</v>
      </c>
      <c r="E14" s="403">
        <v>34159262.039987952</v>
      </c>
      <c r="F14" s="403">
        <v>628679029.16345227</v>
      </c>
      <c r="G14" s="689">
        <v>590247455.34212196</v>
      </c>
      <c r="H14" s="569">
        <f t="shared" si="0"/>
        <v>0.93886932434748294</v>
      </c>
    </row>
    <row r="15" spans="1:9">
      <c r="A15" s="82">
        <v>8</v>
      </c>
      <c r="B15" s="66" t="s">
        <v>74</v>
      </c>
      <c r="C15" s="403">
        <v>0</v>
      </c>
      <c r="D15" s="403"/>
      <c r="E15" s="403">
        <v>0</v>
      </c>
      <c r="F15" s="403">
        <v>0</v>
      </c>
      <c r="G15" s="689">
        <v>0</v>
      </c>
      <c r="H15" s="569">
        <f t="shared" si="0"/>
        <v>0</v>
      </c>
    </row>
    <row r="16" spans="1:9">
      <c r="A16" s="82">
        <v>9</v>
      </c>
      <c r="B16" s="66" t="s">
        <v>75</v>
      </c>
      <c r="C16" s="403">
        <v>0</v>
      </c>
      <c r="D16" s="403"/>
      <c r="E16" s="403">
        <v>0</v>
      </c>
      <c r="F16" s="403">
        <v>0</v>
      </c>
      <c r="G16" s="689">
        <v>0</v>
      </c>
      <c r="H16" s="569">
        <f t="shared" si="0"/>
        <v>0</v>
      </c>
    </row>
    <row r="17" spans="1:8">
      <c r="A17" s="82">
        <v>10</v>
      </c>
      <c r="B17" s="66" t="s">
        <v>69</v>
      </c>
      <c r="C17" s="403">
        <v>89600895.410385981</v>
      </c>
      <c r="D17" s="403">
        <v>331886.42999997735</v>
      </c>
      <c r="E17" s="403">
        <v>165943.21499998868</v>
      </c>
      <c r="F17" s="403">
        <v>89766838.62538597</v>
      </c>
      <c r="G17" s="689">
        <v>89764338.62538597</v>
      </c>
      <c r="H17" s="569">
        <f t="shared" si="0"/>
        <v>0.99997215007191653</v>
      </c>
    </row>
    <row r="18" spans="1:8">
      <c r="A18" s="82">
        <v>11</v>
      </c>
      <c r="B18" s="66" t="s">
        <v>70</v>
      </c>
      <c r="C18" s="403">
        <v>0</v>
      </c>
      <c r="D18" s="403"/>
      <c r="E18" s="403">
        <v>0</v>
      </c>
      <c r="F18" s="403">
        <v>0</v>
      </c>
      <c r="G18" s="689">
        <v>0</v>
      </c>
      <c r="H18" s="569">
        <f t="shared" si="0"/>
        <v>0</v>
      </c>
    </row>
    <row r="19" spans="1:8">
      <c r="A19" s="82">
        <v>12</v>
      </c>
      <c r="B19" s="66" t="s">
        <v>71</v>
      </c>
      <c r="C19" s="403">
        <v>0</v>
      </c>
      <c r="D19" s="403"/>
      <c r="E19" s="403">
        <v>0</v>
      </c>
      <c r="F19" s="403">
        <v>0</v>
      </c>
      <c r="G19" s="689">
        <v>0</v>
      </c>
      <c r="H19" s="569">
        <f t="shared" si="0"/>
        <v>0</v>
      </c>
    </row>
    <row r="20" spans="1:8">
      <c r="A20" s="82">
        <v>13</v>
      </c>
      <c r="B20" s="66" t="s">
        <v>72</v>
      </c>
      <c r="C20" s="403">
        <v>0</v>
      </c>
      <c r="D20" s="403"/>
      <c r="E20" s="403">
        <v>0</v>
      </c>
      <c r="F20" s="403">
        <v>0</v>
      </c>
      <c r="G20" s="689">
        <v>0</v>
      </c>
      <c r="H20" s="569">
        <f t="shared" si="0"/>
        <v>0</v>
      </c>
    </row>
    <row r="21" spans="1:8">
      <c r="A21" s="82">
        <v>14</v>
      </c>
      <c r="B21" s="66" t="s">
        <v>249</v>
      </c>
      <c r="C21" s="403">
        <v>140658850.43615299</v>
      </c>
      <c r="D21" s="403">
        <v>3412985.7197999945</v>
      </c>
      <c r="E21" s="403">
        <v>1706492.8598999972</v>
      </c>
      <c r="F21" s="403">
        <v>140449390.459553</v>
      </c>
      <c r="G21" s="689">
        <v>139890927.74302819</v>
      </c>
      <c r="H21" s="569">
        <f t="shared" si="0"/>
        <v>0.9826192562337368</v>
      </c>
    </row>
    <row r="22" spans="1:8" ht="13.5" thickBot="1">
      <c r="A22" s="144"/>
      <c r="B22" s="150" t="s">
        <v>68</v>
      </c>
      <c r="C22" s="690">
        <f>SUM(C8:C21)</f>
        <v>1509177758.4000034</v>
      </c>
      <c r="D22" s="690">
        <f>SUM(D8:D21)</f>
        <v>66030677.244751886</v>
      </c>
      <c r="E22" s="690">
        <f>SUM(E8:E21)</f>
        <v>36031698.114887938</v>
      </c>
      <c r="F22" s="690">
        <f>SUM(F8:F21)</f>
        <v>1274512522.2013912</v>
      </c>
      <c r="G22" s="690">
        <f>SUM(G8:G21)</f>
        <v>1235519985.6635361</v>
      </c>
      <c r="H22" s="256">
        <f t="shared" si="0"/>
        <v>0.79958091147731025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688">
        <f>'1. key ratios'!B2</f>
        <v>44834</v>
      </c>
    </row>
    <row r="4" spans="1:11" ht="13.5" thickBot="1">
      <c r="A4" s="1" t="s">
        <v>521</v>
      </c>
      <c r="B4" s="52" t="s">
        <v>520</v>
      </c>
    </row>
    <row r="5" spans="1:11" ht="30" customHeight="1">
      <c r="A5" s="737"/>
      <c r="B5" s="738"/>
      <c r="C5" s="735" t="s">
        <v>553</v>
      </c>
      <c r="D5" s="735"/>
      <c r="E5" s="735"/>
      <c r="F5" s="735" t="s">
        <v>554</v>
      </c>
      <c r="G5" s="735"/>
      <c r="H5" s="735"/>
      <c r="I5" s="735" t="s">
        <v>555</v>
      </c>
      <c r="J5" s="735"/>
      <c r="K5" s="736"/>
    </row>
    <row r="6" spans="1:11">
      <c r="A6" s="277"/>
      <c r="B6" s="278"/>
      <c r="C6" s="279" t="s">
        <v>27</v>
      </c>
      <c r="D6" s="279" t="s">
        <v>96</v>
      </c>
      <c r="E6" s="279" t="s">
        <v>68</v>
      </c>
      <c r="F6" s="279" t="s">
        <v>27</v>
      </c>
      <c r="G6" s="279" t="s">
        <v>96</v>
      </c>
      <c r="H6" s="279" t="s">
        <v>68</v>
      </c>
      <c r="I6" s="279" t="s">
        <v>27</v>
      </c>
      <c r="J6" s="279" t="s">
        <v>96</v>
      </c>
      <c r="K6" s="280" t="s">
        <v>68</v>
      </c>
    </row>
    <row r="7" spans="1:11">
      <c r="A7" s="281" t="s">
        <v>491</v>
      </c>
      <c r="B7" s="276"/>
      <c r="C7" s="276"/>
      <c r="D7" s="276"/>
      <c r="E7" s="276"/>
      <c r="F7" s="276"/>
      <c r="G7" s="276"/>
      <c r="H7" s="276"/>
      <c r="I7" s="276"/>
      <c r="J7" s="276"/>
      <c r="K7" s="282"/>
    </row>
    <row r="8" spans="1:11">
      <c r="A8" s="275">
        <v>1</v>
      </c>
      <c r="B8" s="261" t="s">
        <v>491</v>
      </c>
      <c r="C8" s="494"/>
      <c r="D8" s="494"/>
      <c r="E8" s="494"/>
      <c r="F8" s="416">
        <v>75032391.863043442</v>
      </c>
      <c r="G8" s="570">
        <v>564181179.97942126</v>
      </c>
      <c r="H8" s="570">
        <v>639213571.84246445</v>
      </c>
      <c r="I8" s="570">
        <v>46015918.47402174</v>
      </c>
      <c r="J8" s="570">
        <v>250497968.25692114</v>
      </c>
      <c r="K8" s="571">
        <v>296513886.73094267</v>
      </c>
    </row>
    <row r="9" spans="1:11">
      <c r="A9" s="281" t="s">
        <v>492</v>
      </c>
      <c r="B9" s="276"/>
      <c r="C9" s="276"/>
      <c r="D9" s="276"/>
      <c r="E9" s="276"/>
      <c r="F9" s="276"/>
      <c r="G9" s="276"/>
      <c r="H9" s="276"/>
      <c r="I9" s="276"/>
      <c r="J9" s="276"/>
      <c r="K9" s="282"/>
    </row>
    <row r="10" spans="1:11">
      <c r="A10" s="283">
        <v>2</v>
      </c>
      <c r="B10" s="262" t="s">
        <v>493</v>
      </c>
      <c r="C10" s="416">
        <v>17043257.439322956</v>
      </c>
      <c r="D10" s="570">
        <v>313720348.20162827</v>
      </c>
      <c r="E10" s="570">
        <v>330763605.64095134</v>
      </c>
      <c r="F10" s="416">
        <v>2869199.5215140488</v>
      </c>
      <c r="G10" s="570">
        <v>45210707.056526087</v>
      </c>
      <c r="H10" s="570">
        <v>48079906.578040123</v>
      </c>
      <c r="I10" s="416">
        <v>627569.27043788682</v>
      </c>
      <c r="J10" s="570">
        <v>5625428.0716580767</v>
      </c>
      <c r="K10" s="571">
        <v>6252997.3420959655</v>
      </c>
    </row>
    <row r="11" spans="1:11">
      <c r="A11" s="283">
        <v>3</v>
      </c>
      <c r="B11" s="262" t="s">
        <v>494</v>
      </c>
      <c r="C11" s="416">
        <v>139132854.1752609</v>
      </c>
      <c r="D11" s="570">
        <v>706562852.16313601</v>
      </c>
      <c r="E11" s="570">
        <v>845695706.33839667</v>
      </c>
      <c r="F11" s="416">
        <v>30613367.913983699</v>
      </c>
      <c r="G11" s="570">
        <v>301964337.18954182</v>
      </c>
      <c r="H11" s="570">
        <v>332577705.10352558</v>
      </c>
      <c r="I11" s="416">
        <v>22973931.835418485</v>
      </c>
      <c r="J11" s="570">
        <v>135257173.48059237</v>
      </c>
      <c r="K11" s="571">
        <v>158231105.31601092</v>
      </c>
    </row>
    <row r="12" spans="1:11">
      <c r="A12" s="283">
        <v>4</v>
      </c>
      <c r="B12" s="262" t="s">
        <v>495</v>
      </c>
      <c r="C12" s="416">
        <v>0</v>
      </c>
      <c r="D12" s="570">
        <v>0</v>
      </c>
      <c r="E12" s="570">
        <v>0</v>
      </c>
      <c r="F12" s="416">
        <v>0</v>
      </c>
      <c r="G12" s="570">
        <v>0</v>
      </c>
      <c r="H12" s="570">
        <v>0</v>
      </c>
      <c r="I12" s="416">
        <v>0</v>
      </c>
      <c r="J12" s="570">
        <v>0</v>
      </c>
      <c r="K12" s="571">
        <v>0</v>
      </c>
    </row>
    <row r="13" spans="1:11">
      <c r="A13" s="283">
        <v>5</v>
      </c>
      <c r="B13" s="262" t="s">
        <v>496</v>
      </c>
      <c r="C13" s="416">
        <v>38201904.703398176</v>
      </c>
      <c r="D13" s="570">
        <v>27296970.792505357</v>
      </c>
      <c r="E13" s="570">
        <v>65498875.495903537</v>
      </c>
      <c r="F13" s="416">
        <v>10610620.570060955</v>
      </c>
      <c r="G13" s="570">
        <v>6784442.2522356817</v>
      </c>
      <c r="H13" s="570">
        <v>17395062.822296634</v>
      </c>
      <c r="I13" s="416">
        <v>4156333.8666659049</v>
      </c>
      <c r="J13" s="570">
        <v>2068223.9747420417</v>
      </c>
      <c r="K13" s="571">
        <v>6224557.8414079444</v>
      </c>
    </row>
    <row r="14" spans="1:11">
      <c r="A14" s="283">
        <v>6</v>
      </c>
      <c r="B14" s="262" t="s">
        <v>511</v>
      </c>
      <c r="C14" s="416"/>
      <c r="D14" s="570"/>
      <c r="E14" s="570"/>
      <c r="F14" s="416"/>
      <c r="G14" s="570"/>
      <c r="H14" s="570"/>
      <c r="I14" s="416"/>
      <c r="J14" s="570"/>
      <c r="K14" s="571"/>
    </row>
    <row r="15" spans="1:11">
      <c r="A15" s="283">
        <v>7</v>
      </c>
      <c r="B15" s="262" t="s">
        <v>498</v>
      </c>
      <c r="C15" s="416">
        <v>17457444.822717398</v>
      </c>
      <c r="D15" s="570">
        <v>24464994.159891296</v>
      </c>
      <c r="E15" s="570">
        <v>41922438.982608691</v>
      </c>
      <c r="F15" s="416">
        <v>2191344.075538673</v>
      </c>
      <c r="G15" s="570">
        <v>17293101.917787053</v>
      </c>
      <c r="H15" s="570">
        <v>19484445.993325733</v>
      </c>
      <c r="I15" s="416">
        <v>2191344.075538673</v>
      </c>
      <c r="J15" s="570">
        <v>17293101.917787053</v>
      </c>
      <c r="K15" s="571">
        <v>19484445.993325733</v>
      </c>
    </row>
    <row r="16" spans="1:11">
      <c r="A16" s="283">
        <v>8</v>
      </c>
      <c r="B16" s="263" t="s">
        <v>499</v>
      </c>
      <c r="C16" s="572">
        <f>SUM(C10:C15)</f>
        <v>211835461.14069942</v>
      </c>
      <c r="D16" s="572">
        <f t="shared" ref="D16:K16" si="0">SUM(D10:D15)</f>
        <v>1072045165.3171608</v>
      </c>
      <c r="E16" s="572">
        <f t="shared" si="0"/>
        <v>1283880626.4578602</v>
      </c>
      <c r="F16" s="572">
        <f t="shared" si="0"/>
        <v>46284532.081097372</v>
      </c>
      <c r="G16" s="572">
        <f t="shared" si="0"/>
        <v>371252588.41609067</v>
      </c>
      <c r="H16" s="572">
        <f t="shared" si="0"/>
        <v>417537120.49718803</v>
      </c>
      <c r="I16" s="572">
        <f t="shared" si="0"/>
        <v>29949179.048060946</v>
      </c>
      <c r="J16" s="572">
        <f t="shared" si="0"/>
        <v>160243927.44477955</v>
      </c>
      <c r="K16" s="573">
        <f t="shared" si="0"/>
        <v>190193106.49284059</v>
      </c>
    </row>
    <row r="17" spans="1:11">
      <c r="A17" s="281" t="s">
        <v>500</v>
      </c>
      <c r="B17" s="276"/>
      <c r="C17" s="416"/>
      <c r="D17" s="570"/>
      <c r="E17" s="570"/>
      <c r="F17" s="416"/>
      <c r="G17" s="570"/>
      <c r="H17" s="570"/>
      <c r="I17" s="416"/>
      <c r="J17" s="570"/>
      <c r="K17" s="571"/>
    </row>
    <row r="18" spans="1:11">
      <c r="A18" s="283">
        <v>9</v>
      </c>
      <c r="B18" s="262" t="s">
        <v>501</v>
      </c>
      <c r="C18" s="416">
        <v>0</v>
      </c>
      <c r="D18" s="570">
        <v>0</v>
      </c>
      <c r="E18" s="570">
        <v>0</v>
      </c>
      <c r="F18" s="416">
        <v>0</v>
      </c>
      <c r="G18" s="570">
        <v>0</v>
      </c>
      <c r="H18" s="570">
        <v>0</v>
      </c>
      <c r="I18" s="416">
        <v>0</v>
      </c>
      <c r="J18" s="570">
        <v>0</v>
      </c>
      <c r="K18" s="571">
        <v>0</v>
      </c>
    </row>
    <row r="19" spans="1:11">
      <c r="A19" s="283">
        <v>10</v>
      </c>
      <c r="B19" s="262" t="s">
        <v>502</v>
      </c>
      <c r="C19" s="416">
        <v>263493848.16007823</v>
      </c>
      <c r="D19" s="570">
        <v>630484863.52205479</v>
      </c>
      <c r="E19" s="570">
        <v>893978711.68213284</v>
      </c>
      <c r="F19" s="416">
        <v>6984741.4109905353</v>
      </c>
      <c r="G19" s="570">
        <v>5740763.2308670972</v>
      </c>
      <c r="H19" s="570">
        <v>12725504.641857624</v>
      </c>
      <c r="I19" s="416">
        <v>36001398.920012265</v>
      </c>
      <c r="J19" s="570">
        <v>340796483.53912801</v>
      </c>
      <c r="K19" s="571">
        <v>376797882.45914018</v>
      </c>
    </row>
    <row r="20" spans="1:11">
      <c r="A20" s="283">
        <v>11</v>
      </c>
      <c r="B20" s="262" t="s">
        <v>503</v>
      </c>
      <c r="C20" s="416">
        <v>21227945.425434779</v>
      </c>
      <c r="D20" s="570">
        <v>993103.248369565</v>
      </c>
      <c r="E20" s="570">
        <v>22221048.673804346</v>
      </c>
      <c r="F20" s="416">
        <v>123202.91304347826</v>
      </c>
      <c r="G20" s="570">
        <v>0</v>
      </c>
      <c r="H20" s="570">
        <v>123202.91304347826</v>
      </c>
      <c r="I20" s="416">
        <v>123202.91304347826</v>
      </c>
      <c r="J20" s="570">
        <v>0</v>
      </c>
      <c r="K20" s="571">
        <v>123202.91304347826</v>
      </c>
    </row>
    <row r="21" spans="1:11" ht="13.5" thickBot="1">
      <c r="A21" s="205">
        <v>12</v>
      </c>
      <c r="B21" s="284" t="s">
        <v>504</v>
      </c>
      <c r="C21" s="574">
        <f>SUM(C18:C20)</f>
        <v>284721793.585513</v>
      </c>
      <c r="D21" s="574">
        <f t="shared" ref="D21:K21" si="1">SUM(D18:D20)</f>
        <v>631477966.77042437</v>
      </c>
      <c r="E21" s="574">
        <f t="shared" si="1"/>
        <v>916199760.35593724</v>
      </c>
      <c r="F21" s="574">
        <f t="shared" si="1"/>
        <v>7107944.3240340138</v>
      </c>
      <c r="G21" s="574">
        <f t="shared" si="1"/>
        <v>5740763.2308670972</v>
      </c>
      <c r="H21" s="574">
        <f t="shared" si="1"/>
        <v>12848707.554901103</v>
      </c>
      <c r="I21" s="574">
        <f t="shared" si="1"/>
        <v>36124601.833055742</v>
      </c>
      <c r="J21" s="574">
        <f t="shared" si="1"/>
        <v>340796483.53912801</v>
      </c>
      <c r="K21" s="575">
        <f t="shared" si="1"/>
        <v>376921085.37218368</v>
      </c>
    </row>
    <row r="22" spans="1:11" ht="38.25" customHeight="1" thickBot="1">
      <c r="A22" s="273"/>
      <c r="B22" s="274"/>
      <c r="C22" s="274"/>
      <c r="D22" s="274"/>
      <c r="E22" s="274"/>
      <c r="F22" s="734" t="s">
        <v>505</v>
      </c>
      <c r="G22" s="735"/>
      <c r="H22" s="735"/>
      <c r="I22" s="734" t="s">
        <v>506</v>
      </c>
      <c r="J22" s="735"/>
      <c r="K22" s="736"/>
    </row>
    <row r="23" spans="1:11">
      <c r="A23" s="267">
        <v>13</v>
      </c>
      <c r="B23" s="264" t="s">
        <v>491</v>
      </c>
      <c r="C23" s="272"/>
      <c r="D23" s="272"/>
      <c r="E23" s="272"/>
      <c r="F23" s="576">
        <f>F8</f>
        <v>75032391.863043442</v>
      </c>
      <c r="G23" s="576">
        <f t="shared" ref="G23:K23" si="2">G8</f>
        <v>564181179.97942126</v>
      </c>
      <c r="H23" s="576">
        <f t="shared" si="2"/>
        <v>639213571.84246445</v>
      </c>
      <c r="I23" s="576">
        <f t="shared" si="2"/>
        <v>46015918.47402174</v>
      </c>
      <c r="J23" s="576">
        <f t="shared" si="2"/>
        <v>250497968.25692114</v>
      </c>
      <c r="K23" s="577">
        <f t="shared" si="2"/>
        <v>296513886.73094267</v>
      </c>
    </row>
    <row r="24" spans="1:11" ht="13.5" thickBot="1">
      <c r="A24" s="268">
        <v>14</v>
      </c>
      <c r="B24" s="265" t="s">
        <v>507</v>
      </c>
      <c r="C24" s="285"/>
      <c r="D24" s="271"/>
      <c r="E24" s="422"/>
      <c r="F24" s="578">
        <f>MAX(F16-F21,F16*0.25)</f>
        <v>39176587.757063359</v>
      </c>
      <c r="G24" s="578">
        <f t="shared" ref="G24:K24" si="3">MAX(G16-G21,G16*0.25)</f>
        <v>365511825.18522358</v>
      </c>
      <c r="H24" s="578">
        <f t="shared" si="3"/>
        <v>404688412.94228691</v>
      </c>
      <c r="I24" s="578">
        <f t="shared" si="3"/>
        <v>7487294.7620152365</v>
      </c>
      <c r="J24" s="578">
        <f t="shared" si="3"/>
        <v>40060981.861194886</v>
      </c>
      <c r="K24" s="579">
        <f t="shared" si="3"/>
        <v>47548276.623210147</v>
      </c>
    </row>
    <row r="25" spans="1:11" ht="13.5" thickBot="1">
      <c r="A25" s="269">
        <v>15</v>
      </c>
      <c r="B25" s="266" t="s">
        <v>508</v>
      </c>
      <c r="C25" s="270"/>
      <c r="D25" s="270"/>
      <c r="E25" s="270"/>
      <c r="F25" s="580">
        <f>F23/F24</f>
        <v>1.9152355056628292</v>
      </c>
      <c r="G25" s="580">
        <f t="shared" ref="G25:K25" si="4">G23/G24</f>
        <v>1.5435374209672197</v>
      </c>
      <c r="H25" s="580">
        <f t="shared" si="4"/>
        <v>1.5795203208193249</v>
      </c>
      <c r="I25" s="580">
        <f t="shared" si="4"/>
        <v>6.1458670904037396</v>
      </c>
      <c r="J25" s="580">
        <f t="shared" si="4"/>
        <v>6.252916344508427</v>
      </c>
      <c r="K25" s="581">
        <f t="shared" si="4"/>
        <v>6.2360595964523942</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688">
        <f>'1. key ratios'!B2</f>
        <v>44834</v>
      </c>
    </row>
    <row r="3" spans="1:14" ht="14.25" customHeight="1"/>
    <row r="4" spans="1:14" ht="15.75" thickBot="1">
      <c r="A4" s="1" t="s">
        <v>418</v>
      </c>
      <c r="B4" s="84"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1"/>
      <c r="B6" s="94"/>
      <c r="C6" s="95" t="s">
        <v>87</v>
      </c>
      <c r="D6" s="96" t="s">
        <v>76</v>
      </c>
      <c r="E6" s="97" t="s">
        <v>86</v>
      </c>
      <c r="F6" s="98">
        <v>0</v>
      </c>
      <c r="G6" s="98">
        <v>0.2</v>
      </c>
      <c r="H6" s="98">
        <v>0.35</v>
      </c>
      <c r="I6" s="98">
        <v>0.5</v>
      </c>
      <c r="J6" s="98">
        <v>0.75</v>
      </c>
      <c r="K6" s="98">
        <v>1</v>
      </c>
      <c r="L6" s="98">
        <v>1.5</v>
      </c>
      <c r="M6" s="98">
        <v>2.5</v>
      </c>
      <c r="N6" s="152" t="s">
        <v>77</v>
      </c>
    </row>
    <row r="7" spans="1:14">
      <c r="A7" s="153">
        <v>1</v>
      </c>
      <c r="B7" s="99" t="s">
        <v>78</v>
      </c>
      <c r="C7" s="242">
        <f>SUM(C8:C13)</f>
        <v>0</v>
      </c>
      <c r="D7" s="94"/>
      <c r="E7" s="245">
        <f t="shared" ref="E7:M7" si="0">SUM(E8:E13)</f>
        <v>0</v>
      </c>
      <c r="F7" s="242">
        <f>SUM(F8:F13)</f>
        <v>0</v>
      </c>
      <c r="G7" s="242">
        <f t="shared" si="0"/>
        <v>0</v>
      </c>
      <c r="H7" s="242">
        <f t="shared" si="0"/>
        <v>0</v>
      </c>
      <c r="I7" s="242">
        <f t="shared" si="0"/>
        <v>0</v>
      </c>
      <c r="J7" s="242">
        <f t="shared" si="0"/>
        <v>0</v>
      </c>
      <c r="K7" s="242">
        <f t="shared" si="0"/>
        <v>0</v>
      </c>
      <c r="L7" s="242">
        <f t="shared" si="0"/>
        <v>0</v>
      </c>
      <c r="M7" s="242">
        <f t="shared" si="0"/>
        <v>0</v>
      </c>
      <c r="N7" s="154">
        <f>SUM(N8:N13)</f>
        <v>0</v>
      </c>
    </row>
    <row r="8" spans="1:14">
      <c r="A8" s="153">
        <v>1.1000000000000001</v>
      </c>
      <c r="B8" s="100" t="s">
        <v>79</v>
      </c>
      <c r="C8" s="582">
        <v>0</v>
      </c>
      <c r="D8" s="101">
        <v>0.02</v>
      </c>
      <c r="E8" s="245">
        <f>C8*D8</f>
        <v>0</v>
      </c>
      <c r="F8" s="243"/>
      <c r="G8" s="243"/>
      <c r="H8" s="243"/>
      <c r="I8" s="243"/>
      <c r="J8" s="243"/>
      <c r="K8" s="582">
        <v>0</v>
      </c>
      <c r="L8" s="243"/>
      <c r="M8" s="243"/>
      <c r="N8" s="154">
        <f>SUMPRODUCT($F$6:$M$6,F8:M8)</f>
        <v>0</v>
      </c>
    </row>
    <row r="9" spans="1:14">
      <c r="A9" s="153">
        <v>1.2</v>
      </c>
      <c r="B9" s="100" t="s">
        <v>80</v>
      </c>
      <c r="C9" s="243">
        <v>0</v>
      </c>
      <c r="D9" s="101">
        <v>0.05</v>
      </c>
      <c r="E9" s="245">
        <f>C9*D9</f>
        <v>0</v>
      </c>
      <c r="F9" s="243"/>
      <c r="G9" s="243"/>
      <c r="H9" s="243"/>
      <c r="I9" s="243"/>
      <c r="J9" s="243"/>
      <c r="K9" s="243"/>
      <c r="L9" s="243"/>
      <c r="M9" s="243"/>
      <c r="N9" s="154">
        <f t="shared" ref="N9:N12" si="1">SUMPRODUCT($F$6:$M$6,F9:M9)</f>
        <v>0</v>
      </c>
    </row>
    <row r="10" spans="1:14">
      <c r="A10" s="153">
        <v>1.3</v>
      </c>
      <c r="B10" s="100" t="s">
        <v>81</v>
      </c>
      <c r="C10" s="243">
        <v>0</v>
      </c>
      <c r="D10" s="101">
        <v>0.08</v>
      </c>
      <c r="E10" s="245">
        <f>C10*D10</f>
        <v>0</v>
      </c>
      <c r="F10" s="243"/>
      <c r="G10" s="243"/>
      <c r="H10" s="243"/>
      <c r="I10" s="243"/>
      <c r="J10" s="243"/>
      <c r="K10" s="243"/>
      <c r="L10" s="243"/>
      <c r="M10" s="243"/>
      <c r="N10" s="154">
        <f>SUMPRODUCT($F$6:$M$6,F10:M10)</f>
        <v>0</v>
      </c>
    </row>
    <row r="11" spans="1:14">
      <c r="A11" s="153">
        <v>1.4</v>
      </c>
      <c r="B11" s="100" t="s">
        <v>82</v>
      </c>
      <c r="C11" s="243">
        <v>0</v>
      </c>
      <c r="D11" s="101">
        <v>0.11</v>
      </c>
      <c r="E11" s="245">
        <f>C11*D11</f>
        <v>0</v>
      </c>
      <c r="F11" s="243"/>
      <c r="G11" s="243"/>
      <c r="H11" s="243"/>
      <c r="I11" s="243"/>
      <c r="J11" s="243"/>
      <c r="K11" s="243"/>
      <c r="L11" s="243"/>
      <c r="M11" s="243"/>
      <c r="N11" s="154">
        <f t="shared" si="1"/>
        <v>0</v>
      </c>
    </row>
    <row r="12" spans="1:14">
      <c r="A12" s="153">
        <v>1.5</v>
      </c>
      <c r="B12" s="100" t="s">
        <v>83</v>
      </c>
      <c r="C12" s="243">
        <v>0</v>
      </c>
      <c r="D12" s="101">
        <v>0.14000000000000001</v>
      </c>
      <c r="E12" s="245">
        <f>C12*D12</f>
        <v>0</v>
      </c>
      <c r="F12" s="243"/>
      <c r="G12" s="243"/>
      <c r="H12" s="243"/>
      <c r="I12" s="243"/>
      <c r="J12" s="243"/>
      <c r="K12" s="243"/>
      <c r="L12" s="243"/>
      <c r="M12" s="243"/>
      <c r="N12" s="154">
        <f t="shared" si="1"/>
        <v>0</v>
      </c>
    </row>
    <row r="13" spans="1:14">
      <c r="A13" s="153">
        <v>1.6</v>
      </c>
      <c r="B13" s="102" t="s">
        <v>84</v>
      </c>
      <c r="C13" s="243">
        <v>0</v>
      </c>
      <c r="D13" s="103"/>
      <c r="E13" s="243"/>
      <c r="F13" s="243"/>
      <c r="G13" s="243"/>
      <c r="H13" s="243"/>
      <c r="I13" s="243"/>
      <c r="J13" s="243"/>
      <c r="K13" s="243"/>
      <c r="L13" s="243"/>
      <c r="M13" s="243"/>
      <c r="N13" s="154">
        <f>SUMPRODUCT($F$6:$M$6,F13:M13)</f>
        <v>0</v>
      </c>
    </row>
    <row r="14" spans="1:14">
      <c r="A14" s="153">
        <v>2</v>
      </c>
      <c r="B14" s="104" t="s">
        <v>85</v>
      </c>
      <c r="C14" s="242">
        <f>SUM(C15:C20)</f>
        <v>0</v>
      </c>
      <c r="D14" s="94"/>
      <c r="E14" s="245">
        <f t="shared" ref="E14:M14" si="2">SUM(E15:E20)</f>
        <v>0</v>
      </c>
      <c r="F14" s="243">
        <f t="shared" si="2"/>
        <v>0</v>
      </c>
      <c r="G14" s="243">
        <f t="shared" si="2"/>
        <v>0</v>
      </c>
      <c r="H14" s="243">
        <f t="shared" si="2"/>
        <v>0</v>
      </c>
      <c r="I14" s="243">
        <f t="shared" si="2"/>
        <v>0</v>
      </c>
      <c r="J14" s="243">
        <f t="shared" si="2"/>
        <v>0</v>
      </c>
      <c r="K14" s="243">
        <f t="shared" si="2"/>
        <v>0</v>
      </c>
      <c r="L14" s="243">
        <f t="shared" si="2"/>
        <v>0</v>
      </c>
      <c r="M14" s="243">
        <f t="shared" si="2"/>
        <v>0</v>
      </c>
      <c r="N14" s="154">
        <f>SUM(N15:N20)</f>
        <v>0</v>
      </c>
    </row>
    <row r="15" spans="1:14">
      <c r="A15" s="153">
        <v>2.1</v>
      </c>
      <c r="B15" s="102" t="s">
        <v>79</v>
      </c>
      <c r="C15" s="243"/>
      <c r="D15" s="101">
        <v>5.0000000000000001E-3</v>
      </c>
      <c r="E15" s="245">
        <f>C15*D15</f>
        <v>0</v>
      </c>
      <c r="F15" s="243"/>
      <c r="G15" s="243"/>
      <c r="H15" s="243"/>
      <c r="I15" s="243"/>
      <c r="J15" s="243"/>
      <c r="K15" s="243"/>
      <c r="L15" s="243"/>
      <c r="M15" s="243"/>
      <c r="N15" s="154">
        <f>SUMPRODUCT($F$6:$M$6,F15:M15)</f>
        <v>0</v>
      </c>
    </row>
    <row r="16" spans="1:14">
      <c r="A16" s="153">
        <v>2.2000000000000002</v>
      </c>
      <c r="B16" s="102" t="s">
        <v>80</v>
      </c>
      <c r="C16" s="243"/>
      <c r="D16" s="101">
        <v>0.01</v>
      </c>
      <c r="E16" s="245">
        <f>C16*D16</f>
        <v>0</v>
      </c>
      <c r="F16" s="243"/>
      <c r="G16" s="243"/>
      <c r="H16" s="243"/>
      <c r="I16" s="243"/>
      <c r="J16" s="243"/>
      <c r="K16" s="243"/>
      <c r="L16" s="243"/>
      <c r="M16" s="243"/>
      <c r="N16" s="154">
        <f t="shared" ref="N16:N20" si="3">SUMPRODUCT($F$6:$M$6,F16:M16)</f>
        <v>0</v>
      </c>
    </row>
    <row r="17" spans="1:14">
      <c r="A17" s="153">
        <v>2.2999999999999998</v>
      </c>
      <c r="B17" s="102" t="s">
        <v>81</v>
      </c>
      <c r="C17" s="243"/>
      <c r="D17" s="101">
        <v>0.02</v>
      </c>
      <c r="E17" s="245">
        <f>C17*D17</f>
        <v>0</v>
      </c>
      <c r="F17" s="243"/>
      <c r="G17" s="243"/>
      <c r="H17" s="243"/>
      <c r="I17" s="243"/>
      <c r="J17" s="243"/>
      <c r="K17" s="243"/>
      <c r="L17" s="243"/>
      <c r="M17" s="243"/>
      <c r="N17" s="154">
        <f t="shared" si="3"/>
        <v>0</v>
      </c>
    </row>
    <row r="18" spans="1:14">
      <c r="A18" s="153">
        <v>2.4</v>
      </c>
      <c r="B18" s="102" t="s">
        <v>82</v>
      </c>
      <c r="C18" s="243"/>
      <c r="D18" s="101">
        <v>0.03</v>
      </c>
      <c r="E18" s="245">
        <f>C18*D18</f>
        <v>0</v>
      </c>
      <c r="F18" s="243"/>
      <c r="G18" s="243"/>
      <c r="H18" s="243"/>
      <c r="I18" s="243"/>
      <c r="J18" s="243"/>
      <c r="K18" s="243"/>
      <c r="L18" s="243"/>
      <c r="M18" s="243"/>
      <c r="N18" s="154">
        <f t="shared" si="3"/>
        <v>0</v>
      </c>
    </row>
    <row r="19" spans="1:14">
      <c r="A19" s="153">
        <v>2.5</v>
      </c>
      <c r="B19" s="102" t="s">
        <v>83</v>
      </c>
      <c r="C19" s="243"/>
      <c r="D19" s="101">
        <v>0.04</v>
      </c>
      <c r="E19" s="245">
        <f>C19*D19</f>
        <v>0</v>
      </c>
      <c r="F19" s="243"/>
      <c r="G19" s="243"/>
      <c r="H19" s="243"/>
      <c r="I19" s="243"/>
      <c r="J19" s="243"/>
      <c r="K19" s="243"/>
      <c r="L19" s="243"/>
      <c r="M19" s="243"/>
      <c r="N19" s="154">
        <f t="shared" si="3"/>
        <v>0</v>
      </c>
    </row>
    <row r="20" spans="1:14">
      <c r="A20" s="153">
        <v>2.6</v>
      </c>
      <c r="B20" s="102" t="s">
        <v>84</v>
      </c>
      <c r="C20" s="243"/>
      <c r="D20" s="103"/>
      <c r="E20" s="246"/>
      <c r="F20" s="243"/>
      <c r="G20" s="243"/>
      <c r="H20" s="243"/>
      <c r="I20" s="243"/>
      <c r="J20" s="243"/>
      <c r="K20" s="243"/>
      <c r="L20" s="243"/>
      <c r="M20" s="243"/>
      <c r="N20" s="154">
        <f t="shared" si="3"/>
        <v>0</v>
      </c>
    </row>
    <row r="21" spans="1:14" ht="15.75" thickBot="1">
      <c r="A21" s="155">
        <v>3</v>
      </c>
      <c r="B21" s="156" t="s">
        <v>68</v>
      </c>
      <c r="C21" s="244">
        <f>C14+C7</f>
        <v>0</v>
      </c>
      <c r="D21" s="157"/>
      <c r="E21" s="247">
        <f>E14+E7</f>
        <v>0</v>
      </c>
      <c r="F21" s="248">
        <f>F7+F14</f>
        <v>0</v>
      </c>
      <c r="G21" s="248">
        <f t="shared" ref="G21:L21" si="4">G7+G14</f>
        <v>0</v>
      </c>
      <c r="H21" s="248">
        <f t="shared" si="4"/>
        <v>0</v>
      </c>
      <c r="I21" s="248">
        <f t="shared" si="4"/>
        <v>0</v>
      </c>
      <c r="J21" s="248">
        <f t="shared" si="4"/>
        <v>0</v>
      </c>
      <c r="K21" s="248">
        <f t="shared" si="4"/>
        <v>0</v>
      </c>
      <c r="L21" s="248">
        <f t="shared" si="4"/>
        <v>0</v>
      </c>
      <c r="M21" s="248">
        <f>M7+M14</f>
        <v>0</v>
      </c>
      <c r="N21" s="158">
        <f>N14+N7</f>
        <v>0</v>
      </c>
    </row>
    <row r="22" spans="1:14">
      <c r="E22" s="249"/>
      <c r="F22" s="249"/>
      <c r="G22" s="249"/>
      <c r="H22" s="249"/>
      <c r="I22" s="249"/>
      <c r="J22" s="249"/>
      <c r="K22" s="249"/>
      <c r="L22" s="249"/>
      <c r="M22" s="24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B2" sqref="B2"/>
    </sheetView>
  </sheetViews>
  <sheetFormatPr defaultRowHeight="15"/>
  <cols>
    <col min="1" max="1" width="11.42578125" customWidth="1"/>
    <col min="2" max="2" width="76.7109375" style="2" customWidth="1"/>
    <col min="3" max="3" width="22.7109375" customWidth="1"/>
  </cols>
  <sheetData>
    <row r="1" spans="1:3">
      <c r="A1" s="1" t="s">
        <v>188</v>
      </c>
      <c r="B1" t="str">
        <f>Info!C2</f>
        <v>სს "ბანკი ქართუ"</v>
      </c>
    </row>
    <row r="2" spans="1:3">
      <c r="A2" s="1" t="s">
        <v>189</v>
      </c>
      <c r="B2" s="688">
        <f>'1. key ratios'!B2</f>
        <v>44834</v>
      </c>
    </row>
    <row r="3" spans="1:3">
      <c r="A3" s="1"/>
      <c r="B3"/>
    </row>
    <row r="4" spans="1:3">
      <c r="A4" s="1" t="s">
        <v>597</v>
      </c>
      <c r="B4" t="s">
        <v>556</v>
      </c>
    </row>
    <row r="5" spans="1:3">
      <c r="A5" s="331"/>
      <c r="B5" s="331" t="s">
        <v>557</v>
      </c>
      <c r="C5" s="343"/>
    </row>
    <row r="6" spans="1:3">
      <c r="A6" s="332">
        <v>1</v>
      </c>
      <c r="B6" s="344" t="s">
        <v>609</v>
      </c>
      <c r="C6" s="345">
        <v>1512403788.4000037</v>
      </c>
    </row>
    <row r="7" spans="1:3">
      <c r="A7" s="332">
        <v>2</v>
      </c>
      <c r="B7" s="344" t="s">
        <v>558</v>
      </c>
      <c r="C7" s="345">
        <v>-3309050</v>
      </c>
    </row>
    <row r="8" spans="1:3">
      <c r="A8" s="333">
        <v>3</v>
      </c>
      <c r="B8" s="346" t="s">
        <v>559</v>
      </c>
      <c r="C8" s="347">
        <v>1509094738.4000037</v>
      </c>
    </row>
    <row r="9" spans="1:3">
      <c r="A9" s="334"/>
      <c r="B9" s="334" t="s">
        <v>560</v>
      </c>
      <c r="C9" s="348"/>
    </row>
    <row r="10" spans="1:3">
      <c r="A10" s="335">
        <v>4</v>
      </c>
      <c r="B10" s="349" t="s">
        <v>561</v>
      </c>
      <c r="C10" s="345"/>
    </row>
    <row r="11" spans="1:3">
      <c r="A11" s="335">
        <v>5</v>
      </c>
      <c r="B11" s="350" t="s">
        <v>562</v>
      </c>
      <c r="C11" s="345"/>
    </row>
    <row r="12" spans="1:3">
      <c r="A12" s="335" t="s">
        <v>563</v>
      </c>
      <c r="B12" s="344" t="s">
        <v>564</v>
      </c>
      <c r="C12" s="347">
        <f>'15. CCR'!E21</f>
        <v>0</v>
      </c>
    </row>
    <row r="13" spans="1:3">
      <c r="A13" s="336">
        <v>6</v>
      </c>
      <c r="B13" s="351" t="s">
        <v>565</v>
      </c>
      <c r="C13" s="345"/>
    </row>
    <row r="14" spans="1:3">
      <c r="A14" s="336">
        <v>7</v>
      </c>
      <c r="B14" s="352" t="s">
        <v>566</v>
      </c>
      <c r="C14" s="345"/>
    </row>
    <row r="15" spans="1:3">
      <c r="A15" s="337">
        <v>8</v>
      </c>
      <c r="B15" s="344" t="s">
        <v>567</v>
      </c>
      <c r="C15" s="345"/>
    </row>
    <row r="16" spans="1:3" ht="24">
      <c r="A16" s="336">
        <v>9</v>
      </c>
      <c r="B16" s="352" t="s">
        <v>568</v>
      </c>
      <c r="C16" s="345"/>
    </row>
    <row r="17" spans="1:3">
      <c r="A17" s="336">
        <v>10</v>
      </c>
      <c r="B17" s="352" t="s">
        <v>569</v>
      </c>
      <c r="C17" s="345"/>
    </row>
    <row r="18" spans="1:3">
      <c r="A18" s="338">
        <v>11</v>
      </c>
      <c r="B18" s="353" t="s">
        <v>570</v>
      </c>
      <c r="C18" s="347">
        <f>SUM(C10:C17)</f>
        <v>0</v>
      </c>
    </row>
    <row r="19" spans="1:3">
      <c r="A19" s="334"/>
      <c r="B19" s="334" t="s">
        <v>571</v>
      </c>
      <c r="C19" s="354"/>
    </row>
    <row r="20" spans="1:3">
      <c r="A20" s="336">
        <v>12</v>
      </c>
      <c r="B20" s="349" t="s">
        <v>572</v>
      </c>
      <c r="C20" s="345"/>
    </row>
    <row r="21" spans="1:3">
      <c r="A21" s="336">
        <v>13</v>
      </c>
      <c r="B21" s="349" t="s">
        <v>573</v>
      </c>
      <c r="C21" s="345"/>
    </row>
    <row r="22" spans="1:3">
      <c r="A22" s="336">
        <v>14</v>
      </c>
      <c r="B22" s="349" t="s">
        <v>574</v>
      </c>
      <c r="C22" s="345"/>
    </row>
    <row r="23" spans="1:3" ht="24">
      <c r="A23" s="336" t="s">
        <v>575</v>
      </c>
      <c r="B23" s="349" t="s">
        <v>576</v>
      </c>
      <c r="C23" s="345"/>
    </row>
    <row r="24" spans="1:3">
      <c r="A24" s="336">
        <v>15</v>
      </c>
      <c r="B24" s="349" t="s">
        <v>577</v>
      </c>
      <c r="C24" s="345"/>
    </row>
    <row r="25" spans="1:3">
      <c r="A25" s="336" t="s">
        <v>578</v>
      </c>
      <c r="B25" s="344" t="s">
        <v>579</v>
      </c>
      <c r="C25" s="345"/>
    </row>
    <row r="26" spans="1:3">
      <c r="A26" s="338">
        <v>16</v>
      </c>
      <c r="B26" s="353" t="s">
        <v>580</v>
      </c>
      <c r="C26" s="347">
        <f>SUM(C20:C25)</f>
        <v>0</v>
      </c>
    </row>
    <row r="27" spans="1:3">
      <c r="A27" s="334"/>
      <c r="B27" s="334" t="s">
        <v>581</v>
      </c>
      <c r="C27" s="348"/>
    </row>
    <row r="28" spans="1:3">
      <c r="A28" s="335">
        <v>17</v>
      </c>
      <c r="B28" s="344" t="s">
        <v>582</v>
      </c>
      <c r="C28" s="345">
        <v>66030677.244751938</v>
      </c>
    </row>
    <row r="29" spans="1:3">
      <c r="A29" s="335">
        <v>18</v>
      </c>
      <c r="B29" s="344" t="s">
        <v>583</v>
      </c>
      <c r="C29" s="345">
        <v>-29998979.129863977</v>
      </c>
    </row>
    <row r="30" spans="1:3">
      <c r="A30" s="338">
        <v>19</v>
      </c>
      <c r="B30" s="353" t="s">
        <v>584</v>
      </c>
      <c r="C30" s="347">
        <f>C28+C29</f>
        <v>36031698.11488796</v>
      </c>
    </row>
    <row r="31" spans="1:3">
      <c r="A31" s="339"/>
      <c r="B31" s="334" t="s">
        <v>585</v>
      </c>
      <c r="C31" s="348"/>
    </row>
    <row r="32" spans="1:3">
      <c r="A32" s="335" t="s">
        <v>586</v>
      </c>
      <c r="B32" s="349" t="s">
        <v>587</v>
      </c>
      <c r="C32" s="355"/>
    </row>
    <row r="33" spans="1:3">
      <c r="A33" s="335" t="s">
        <v>588</v>
      </c>
      <c r="B33" s="350" t="s">
        <v>589</v>
      </c>
      <c r="C33" s="355"/>
    </row>
    <row r="34" spans="1:3">
      <c r="A34" s="334"/>
      <c r="B34" s="334" t="s">
        <v>590</v>
      </c>
      <c r="C34" s="348"/>
    </row>
    <row r="35" spans="1:3">
      <c r="A35" s="338">
        <v>20</v>
      </c>
      <c r="B35" s="353" t="s">
        <v>89</v>
      </c>
      <c r="C35" s="347">
        <f>'1. key ratios'!C9</f>
        <v>287916230</v>
      </c>
    </row>
    <row r="36" spans="1:3">
      <c r="A36" s="338">
        <v>21</v>
      </c>
      <c r="B36" s="353" t="s">
        <v>591</v>
      </c>
      <c r="C36" s="347">
        <f>C8+C18+C26+C30</f>
        <v>1545126436.5148916</v>
      </c>
    </row>
    <row r="37" spans="1:3">
      <c r="A37" s="340"/>
      <c r="B37" s="340" t="s">
        <v>556</v>
      </c>
      <c r="C37" s="348"/>
    </row>
    <row r="38" spans="1:3">
      <c r="A38" s="338">
        <v>22</v>
      </c>
      <c r="B38" s="353" t="s">
        <v>556</v>
      </c>
      <c r="C38" s="583">
        <f>IFERROR(C35/C36,0)</f>
        <v>0.18633829775730792</v>
      </c>
    </row>
    <row r="39" spans="1:3">
      <c r="A39" s="340"/>
      <c r="B39" s="340" t="s">
        <v>592</v>
      </c>
      <c r="C39" s="348"/>
    </row>
    <row r="40" spans="1:3">
      <c r="A40" s="341" t="s">
        <v>593</v>
      </c>
      <c r="B40" s="349" t="s">
        <v>594</v>
      </c>
      <c r="C40" s="355"/>
    </row>
    <row r="41" spans="1:3">
      <c r="A41" s="342" t="s">
        <v>595</v>
      </c>
      <c r="B41" s="350" t="s">
        <v>596</v>
      </c>
      <c r="C41" s="355"/>
    </row>
    <row r="43" spans="1:3">
      <c r="B43" s="35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M42"/>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85546875" style="1" bestFit="1" customWidth="1"/>
    <col min="2" max="2" width="82.7109375" style="18" customWidth="1"/>
    <col min="3" max="7" width="17.5703125" style="1" customWidth="1"/>
    <col min="9" max="11" width="13.42578125" bestFit="1" customWidth="1"/>
    <col min="12" max="12" width="15" bestFit="1" customWidth="1"/>
    <col min="13" max="13" width="12.28515625" bestFit="1" customWidth="1"/>
  </cols>
  <sheetData>
    <row r="1" spans="1:13">
      <c r="A1" s="1" t="s">
        <v>188</v>
      </c>
      <c r="B1" s="1" t="str">
        <f>Info!C2</f>
        <v>სს "ბანკი ქართუ"</v>
      </c>
    </row>
    <row r="2" spans="1:13">
      <c r="A2" s="1" t="s">
        <v>189</v>
      </c>
      <c r="B2" s="688">
        <f>'1. key ratios'!B2</f>
        <v>44834</v>
      </c>
    </row>
    <row r="3" spans="1:13">
      <c r="B3" s="389"/>
    </row>
    <row r="4" spans="1:13" ht="15.75" thickBot="1">
      <c r="A4" s="1" t="s">
        <v>659</v>
      </c>
      <c r="B4" s="255" t="s">
        <v>624</v>
      </c>
    </row>
    <row r="5" spans="1:13">
      <c r="A5" s="392"/>
      <c r="B5" s="393"/>
      <c r="C5" s="739" t="s">
        <v>625</v>
      </c>
      <c r="D5" s="739"/>
      <c r="E5" s="739"/>
      <c r="F5" s="739"/>
      <c r="G5" s="740" t="s">
        <v>626</v>
      </c>
    </row>
    <row r="6" spans="1:13">
      <c r="A6" s="394"/>
      <c r="B6" s="395"/>
      <c r="C6" s="396" t="s">
        <v>627</v>
      </c>
      <c r="D6" s="396" t="s">
        <v>628</v>
      </c>
      <c r="E6" s="396" t="s">
        <v>629</v>
      </c>
      <c r="F6" s="396" t="s">
        <v>630</v>
      </c>
      <c r="G6" s="741"/>
    </row>
    <row r="7" spans="1:13">
      <c r="A7" s="397"/>
      <c r="B7" s="398" t="s">
        <v>631</v>
      </c>
      <c r="C7" s="399"/>
      <c r="D7" s="399"/>
      <c r="E7" s="399"/>
      <c r="F7" s="399"/>
      <c r="G7" s="400"/>
    </row>
    <row r="8" spans="1:13">
      <c r="A8" s="401">
        <v>1</v>
      </c>
      <c r="B8" s="402" t="s">
        <v>632</v>
      </c>
      <c r="C8" s="403">
        <f>SUM(C9:C10)</f>
        <v>96935830</v>
      </c>
      <c r="D8" s="403">
        <f>SUM(D9:D10)</f>
        <v>0</v>
      </c>
      <c r="E8" s="403">
        <f>SUM(E9:E10)</f>
        <v>0</v>
      </c>
      <c r="F8" s="403">
        <f>SUM(F9:F10)</f>
        <v>314270907.18949997</v>
      </c>
      <c r="G8" s="404">
        <f>SUM(G9:G10)</f>
        <v>411206737.18949997</v>
      </c>
      <c r="I8" s="692"/>
      <c r="J8" s="692"/>
      <c r="K8" s="692"/>
      <c r="L8" s="692"/>
      <c r="M8" s="692"/>
    </row>
    <row r="9" spans="1:13">
      <c r="A9" s="401">
        <v>2</v>
      </c>
      <c r="B9" s="405" t="s">
        <v>88</v>
      </c>
      <c r="C9" s="403">
        <v>96935830</v>
      </c>
      <c r="D9" s="403"/>
      <c r="E9" s="403"/>
      <c r="F9" s="403">
        <v>225002800</v>
      </c>
      <c r="G9" s="404">
        <v>321938630</v>
      </c>
      <c r="I9" s="692"/>
      <c r="J9" s="692"/>
      <c r="K9" s="692"/>
      <c r="L9" s="692"/>
      <c r="M9" s="692"/>
    </row>
    <row r="10" spans="1:13">
      <c r="A10" s="401">
        <v>3</v>
      </c>
      <c r="B10" s="405" t="s">
        <v>633</v>
      </c>
      <c r="C10" s="406"/>
      <c r="D10" s="406"/>
      <c r="E10" s="406"/>
      <c r="F10" s="403">
        <v>89268107.189499989</v>
      </c>
      <c r="G10" s="404">
        <v>89268107.189499989</v>
      </c>
      <c r="I10" s="692"/>
      <c r="J10" s="692"/>
      <c r="K10" s="692"/>
      <c r="L10" s="692"/>
      <c r="M10" s="692"/>
    </row>
    <row r="11" spans="1:13" ht="26.25">
      <c r="A11" s="401">
        <v>4</v>
      </c>
      <c r="B11" s="402" t="s">
        <v>634</v>
      </c>
      <c r="C11" s="403">
        <f t="shared" ref="C11:F11" si="0">SUM(C12:C13)</f>
        <v>205348449.8342011</v>
      </c>
      <c r="D11" s="403">
        <f t="shared" si="0"/>
        <v>109557331.16700001</v>
      </c>
      <c r="E11" s="403">
        <f t="shared" si="0"/>
        <v>78056954.941799983</v>
      </c>
      <c r="F11" s="403">
        <f t="shared" si="0"/>
        <v>0</v>
      </c>
      <c r="G11" s="404">
        <f>SUM(G12:G13)</f>
        <v>363180694.517546</v>
      </c>
      <c r="I11" s="692"/>
      <c r="J11" s="692"/>
      <c r="K11" s="692"/>
      <c r="L11" s="692"/>
      <c r="M11" s="692"/>
    </row>
    <row r="12" spans="1:13">
      <c r="A12" s="401">
        <v>5</v>
      </c>
      <c r="B12" s="405" t="s">
        <v>635</v>
      </c>
      <c r="C12" s="403">
        <v>187635832.96360108</v>
      </c>
      <c r="D12" s="407">
        <v>105855887.9747</v>
      </c>
      <c r="E12" s="403">
        <v>76951226.941799983</v>
      </c>
      <c r="F12" s="403"/>
      <c r="G12" s="404">
        <v>351920800.48609602</v>
      </c>
      <c r="I12" s="692"/>
      <c r="J12" s="692"/>
      <c r="K12" s="692"/>
      <c r="L12" s="692"/>
      <c r="M12" s="692"/>
    </row>
    <row r="13" spans="1:13">
      <c r="A13" s="401">
        <v>6</v>
      </c>
      <c r="B13" s="405" t="s">
        <v>636</v>
      </c>
      <c r="C13" s="403">
        <v>17712616.8706</v>
      </c>
      <c r="D13" s="407">
        <v>3701443.1923000002</v>
      </c>
      <c r="E13" s="403">
        <v>1105728</v>
      </c>
      <c r="F13" s="403"/>
      <c r="G13" s="404">
        <v>11259894.03145</v>
      </c>
      <c r="I13" s="692"/>
      <c r="J13" s="692"/>
      <c r="K13" s="692"/>
      <c r="L13" s="692"/>
      <c r="M13" s="692"/>
    </row>
    <row r="14" spans="1:13">
      <c r="A14" s="401">
        <v>7</v>
      </c>
      <c r="B14" s="402" t="s">
        <v>637</v>
      </c>
      <c r="C14" s="403">
        <f t="shared" ref="C14:F14" si="1">SUM(C15:C16)</f>
        <v>329205004.86989999</v>
      </c>
      <c r="D14" s="403">
        <f t="shared" si="1"/>
        <v>287896826.2474001</v>
      </c>
      <c r="E14" s="403">
        <f t="shared" si="1"/>
        <v>38850522.810199998</v>
      </c>
      <c r="F14" s="403">
        <f t="shared" si="1"/>
        <v>0</v>
      </c>
      <c r="G14" s="404">
        <f>SUM(G15:G16)</f>
        <v>308855492.12710005</v>
      </c>
      <c r="I14" s="692"/>
      <c r="J14" s="692"/>
      <c r="K14" s="692"/>
      <c r="L14" s="692"/>
      <c r="M14" s="692"/>
    </row>
    <row r="15" spans="1:13" ht="51.75">
      <c r="A15" s="401">
        <v>8</v>
      </c>
      <c r="B15" s="405" t="s">
        <v>638</v>
      </c>
      <c r="C15" s="403">
        <v>326500068.85659999</v>
      </c>
      <c r="D15" s="403">
        <v>252360392.58740008</v>
      </c>
      <c r="E15" s="403">
        <v>35359772.240199998</v>
      </c>
      <c r="F15" s="403"/>
      <c r="G15" s="404">
        <v>307110116.84210002</v>
      </c>
      <c r="I15" s="692"/>
      <c r="J15" s="692"/>
      <c r="K15" s="692"/>
      <c r="L15" s="692"/>
      <c r="M15" s="692"/>
    </row>
    <row r="16" spans="1:13" ht="26.25">
      <c r="A16" s="401">
        <v>9</v>
      </c>
      <c r="B16" s="405" t="s">
        <v>639</v>
      </c>
      <c r="C16" s="403">
        <v>2704936.0132999998</v>
      </c>
      <c r="D16" s="407">
        <v>35536433.660000004</v>
      </c>
      <c r="E16" s="403">
        <v>3490750.57</v>
      </c>
      <c r="F16" s="403"/>
      <c r="G16" s="404">
        <v>1745375.2849999999</v>
      </c>
      <c r="I16" s="692"/>
      <c r="J16" s="692"/>
      <c r="K16" s="692"/>
      <c r="L16" s="692"/>
      <c r="M16" s="692"/>
    </row>
    <row r="17" spans="1:13">
      <c r="A17" s="401">
        <v>10</v>
      </c>
      <c r="B17" s="402" t="s">
        <v>640</v>
      </c>
      <c r="C17" s="403"/>
      <c r="D17" s="407"/>
      <c r="E17" s="403"/>
      <c r="F17" s="403"/>
      <c r="G17" s="404"/>
      <c r="I17" s="692"/>
      <c r="J17" s="692"/>
      <c r="K17" s="692"/>
      <c r="L17" s="692"/>
      <c r="M17" s="692"/>
    </row>
    <row r="18" spans="1:13">
      <c r="A18" s="401">
        <v>11</v>
      </c>
      <c r="B18" s="402" t="s">
        <v>95</v>
      </c>
      <c r="C18" s="403">
        <f>SUM(C19:C20)</f>
        <v>0</v>
      </c>
      <c r="D18" s="407">
        <f t="shared" ref="D18:G18" si="2">SUM(D19:D20)</f>
        <v>24769940.224298716</v>
      </c>
      <c r="E18" s="403">
        <f t="shared" si="2"/>
        <v>2316438.9052000269</v>
      </c>
      <c r="F18" s="403">
        <f t="shared" si="2"/>
        <v>4035151.8105000108</v>
      </c>
      <c r="G18" s="404">
        <f t="shared" si="2"/>
        <v>0</v>
      </c>
      <c r="I18" s="692"/>
      <c r="J18" s="692"/>
      <c r="K18" s="692"/>
      <c r="L18" s="692"/>
      <c r="M18" s="692"/>
    </row>
    <row r="19" spans="1:13">
      <c r="A19" s="401">
        <v>12</v>
      </c>
      <c r="B19" s="405" t="s">
        <v>641</v>
      </c>
      <c r="C19" s="406"/>
      <c r="D19" s="407">
        <v>0</v>
      </c>
      <c r="E19" s="403">
        <v>0</v>
      </c>
      <c r="F19" s="403"/>
      <c r="G19" s="404">
        <v>0</v>
      </c>
      <c r="I19" s="692"/>
      <c r="J19" s="692"/>
      <c r="K19" s="692"/>
      <c r="L19" s="692"/>
      <c r="M19" s="692"/>
    </row>
    <row r="20" spans="1:13" ht="26.25">
      <c r="A20" s="401">
        <v>13</v>
      </c>
      <c r="B20" s="405" t="s">
        <v>642</v>
      </c>
      <c r="C20" s="403">
        <v>0</v>
      </c>
      <c r="D20" s="403">
        <v>24769940.224298716</v>
      </c>
      <c r="E20" s="403">
        <v>2316438.9052000269</v>
      </c>
      <c r="F20" s="403">
        <v>4035151.8105000108</v>
      </c>
      <c r="G20" s="404">
        <v>0</v>
      </c>
      <c r="I20" s="692"/>
      <c r="J20" s="692"/>
      <c r="K20" s="692"/>
      <c r="L20" s="692"/>
      <c r="M20" s="692"/>
    </row>
    <row r="21" spans="1:13">
      <c r="A21" s="408">
        <v>14</v>
      </c>
      <c r="B21" s="409" t="s">
        <v>643</v>
      </c>
      <c r="C21" s="406"/>
      <c r="D21" s="406"/>
      <c r="E21" s="406"/>
      <c r="F21" s="406"/>
      <c r="G21" s="410">
        <f>SUM(G8,G11,G14,G17,G18)</f>
        <v>1083242923.834146</v>
      </c>
      <c r="H21" s="693"/>
      <c r="I21" s="692"/>
      <c r="J21" s="692"/>
      <c r="K21" s="692"/>
      <c r="L21" s="692"/>
      <c r="M21" s="692"/>
    </row>
    <row r="22" spans="1:13">
      <c r="A22" s="411"/>
      <c r="B22" s="427" t="s">
        <v>644</v>
      </c>
      <c r="C22" s="412"/>
      <c r="D22" s="413"/>
      <c r="E22" s="412"/>
      <c r="F22" s="412"/>
      <c r="G22" s="414"/>
      <c r="I22" s="692"/>
      <c r="J22" s="692"/>
      <c r="K22" s="692"/>
      <c r="L22" s="692"/>
      <c r="M22" s="692"/>
    </row>
    <row r="23" spans="1:13">
      <c r="A23" s="401">
        <v>15</v>
      </c>
      <c r="B23" s="402" t="s">
        <v>491</v>
      </c>
      <c r="C23" s="415">
        <v>680519018.77999997</v>
      </c>
      <c r="D23" s="416">
        <v>0</v>
      </c>
      <c r="E23" s="415">
        <v>0</v>
      </c>
      <c r="F23" s="415">
        <v>28011490</v>
      </c>
      <c r="G23" s="404">
        <v>19460632.439000003</v>
      </c>
      <c r="I23" s="692"/>
      <c r="J23" s="692"/>
      <c r="K23" s="692"/>
      <c r="L23" s="692"/>
      <c r="M23" s="692"/>
    </row>
    <row r="24" spans="1:13">
      <c r="A24" s="401">
        <v>16</v>
      </c>
      <c r="B24" s="402" t="s">
        <v>645</v>
      </c>
      <c r="C24" s="403">
        <f>SUM(C25:C27,C29,C31)</f>
        <v>4137805.650000032</v>
      </c>
      <c r="D24" s="407">
        <f t="shared" ref="D24:G24" si="3">SUM(D25:D27,D29,D31)</f>
        <v>200722459.44437951</v>
      </c>
      <c r="E24" s="403">
        <f t="shared" si="3"/>
        <v>70467065.998213828</v>
      </c>
      <c r="F24" s="403">
        <f t="shared" si="3"/>
        <v>236918603.46945745</v>
      </c>
      <c r="G24" s="404">
        <f t="shared" si="3"/>
        <v>337596246.5178355</v>
      </c>
      <c r="I24" s="692"/>
      <c r="J24" s="692"/>
      <c r="K24" s="692"/>
      <c r="L24" s="692"/>
      <c r="M24" s="692"/>
    </row>
    <row r="25" spans="1:13" ht="26.25">
      <c r="A25" s="401">
        <v>17</v>
      </c>
      <c r="B25" s="405" t="s">
        <v>646</v>
      </c>
      <c r="C25" s="403"/>
      <c r="D25" s="407">
        <v>0</v>
      </c>
      <c r="E25" s="403"/>
      <c r="F25" s="403"/>
      <c r="G25" s="404"/>
      <c r="I25" s="692"/>
      <c r="J25" s="692"/>
      <c r="K25" s="692"/>
      <c r="L25" s="692"/>
      <c r="M25" s="692"/>
    </row>
    <row r="26" spans="1:13" ht="26.25">
      <c r="A26" s="401">
        <v>18</v>
      </c>
      <c r="B26" s="405" t="s">
        <v>647</v>
      </c>
      <c r="C26" s="403">
        <v>4137805.650000032</v>
      </c>
      <c r="D26" s="407">
        <v>0</v>
      </c>
      <c r="E26" s="403">
        <v>0</v>
      </c>
      <c r="F26" s="403">
        <v>0</v>
      </c>
      <c r="G26" s="404">
        <v>620670.84750000481</v>
      </c>
      <c r="I26" s="692"/>
      <c r="J26" s="692"/>
      <c r="K26" s="692"/>
      <c r="L26" s="692"/>
      <c r="M26" s="692"/>
    </row>
    <row r="27" spans="1:13">
      <c r="A27" s="401">
        <v>19</v>
      </c>
      <c r="B27" s="405" t="s">
        <v>648</v>
      </c>
      <c r="C27" s="403"/>
      <c r="D27" s="407">
        <v>185865650.4332535</v>
      </c>
      <c r="E27" s="403">
        <v>67198269.432972938</v>
      </c>
      <c r="F27" s="403">
        <v>214099864.96222091</v>
      </c>
      <c r="G27" s="404">
        <v>308516845.15100098</v>
      </c>
      <c r="I27" s="692"/>
      <c r="J27" s="692"/>
      <c r="K27" s="692"/>
      <c r="L27" s="692"/>
      <c r="M27" s="692"/>
    </row>
    <row r="28" spans="1:13">
      <c r="A28" s="401">
        <v>20</v>
      </c>
      <c r="B28" s="417" t="s">
        <v>649</v>
      </c>
      <c r="C28" s="403"/>
      <c r="D28" s="407"/>
      <c r="E28" s="403"/>
      <c r="F28" s="403"/>
      <c r="G28" s="404"/>
      <c r="I28" s="692"/>
      <c r="J28" s="692"/>
      <c r="K28" s="692"/>
      <c r="L28" s="692"/>
      <c r="M28" s="692"/>
    </row>
    <row r="29" spans="1:13">
      <c r="A29" s="401">
        <v>21</v>
      </c>
      <c r="B29" s="405" t="s">
        <v>650</v>
      </c>
      <c r="C29" s="403"/>
      <c r="D29" s="407">
        <v>13710736.831125997</v>
      </c>
      <c r="E29" s="403">
        <v>3268796.5652408837</v>
      </c>
      <c r="F29" s="403">
        <v>21416088.507236537</v>
      </c>
      <c r="G29" s="404">
        <v>26693441.929334495</v>
      </c>
      <c r="I29" s="692"/>
      <c r="J29" s="692"/>
      <c r="K29" s="692"/>
      <c r="L29" s="692"/>
      <c r="M29" s="692"/>
    </row>
    <row r="30" spans="1:13">
      <c r="A30" s="401">
        <v>22</v>
      </c>
      <c r="B30" s="417" t="s">
        <v>649</v>
      </c>
      <c r="C30" s="403"/>
      <c r="D30" s="407"/>
      <c r="E30" s="403"/>
      <c r="F30" s="403"/>
      <c r="G30" s="404"/>
      <c r="I30" s="692"/>
      <c r="J30" s="692"/>
      <c r="K30" s="692"/>
      <c r="L30" s="692"/>
      <c r="M30" s="692"/>
    </row>
    <row r="31" spans="1:13" ht="26.25">
      <c r="A31" s="401">
        <v>23</v>
      </c>
      <c r="B31" s="405" t="s">
        <v>651</v>
      </c>
      <c r="C31" s="403"/>
      <c r="D31" s="407">
        <v>1146072.1800000002</v>
      </c>
      <c r="E31" s="403">
        <v>0</v>
      </c>
      <c r="F31" s="403">
        <v>1402650</v>
      </c>
      <c r="G31" s="404">
        <v>1765288.59</v>
      </c>
      <c r="I31" s="692"/>
      <c r="J31" s="692"/>
      <c r="K31" s="692"/>
      <c r="L31" s="692"/>
      <c r="M31" s="692"/>
    </row>
    <row r="32" spans="1:13">
      <c r="A32" s="401">
        <v>24</v>
      </c>
      <c r="B32" s="402" t="s">
        <v>652</v>
      </c>
      <c r="C32" s="403"/>
      <c r="D32" s="407"/>
      <c r="E32" s="403"/>
      <c r="F32" s="403"/>
      <c r="G32" s="404"/>
      <c r="I32" s="692"/>
      <c r="J32" s="692"/>
      <c r="K32" s="692"/>
      <c r="L32" s="692"/>
      <c r="M32" s="692"/>
    </row>
    <row r="33" spans="1:13">
      <c r="A33" s="401">
        <v>25</v>
      </c>
      <c r="B33" s="402" t="s">
        <v>165</v>
      </c>
      <c r="C33" s="403">
        <f>SUM(C34:C35)</f>
        <v>0</v>
      </c>
      <c r="D33" s="403">
        <f>SUM(D34:D35)</f>
        <v>27305888.865620494</v>
      </c>
      <c r="E33" s="403">
        <f>SUM(E34:E35)</f>
        <v>30427761.001786172</v>
      </c>
      <c r="F33" s="403">
        <f>SUM(F34:F35)</f>
        <v>212774774.79054257</v>
      </c>
      <c r="G33" s="404">
        <f>SUM(G34:G35)</f>
        <v>245344583.45385626</v>
      </c>
      <c r="I33" s="692"/>
      <c r="J33" s="692"/>
      <c r="K33" s="692"/>
      <c r="L33" s="692"/>
      <c r="M33" s="692"/>
    </row>
    <row r="34" spans="1:13">
      <c r="A34" s="401">
        <v>26</v>
      </c>
      <c r="B34" s="405" t="s">
        <v>653</v>
      </c>
      <c r="C34" s="406"/>
      <c r="D34" s="407">
        <v>0</v>
      </c>
      <c r="E34" s="403"/>
      <c r="F34" s="403"/>
      <c r="G34" s="404">
        <v>0</v>
      </c>
      <c r="I34" s="692"/>
      <c r="J34" s="692"/>
      <c r="K34" s="692"/>
      <c r="L34" s="692"/>
      <c r="M34" s="692"/>
    </row>
    <row r="35" spans="1:13">
      <c r="A35" s="401">
        <v>27</v>
      </c>
      <c r="B35" s="405" t="s">
        <v>654</v>
      </c>
      <c r="C35" s="403"/>
      <c r="D35" s="407">
        <v>27305888.865620494</v>
      </c>
      <c r="E35" s="403">
        <v>30427761.001786172</v>
      </c>
      <c r="F35" s="403">
        <v>212774774.79054257</v>
      </c>
      <c r="G35" s="404">
        <v>245344583.45385626</v>
      </c>
      <c r="I35" s="692"/>
      <c r="J35" s="692"/>
      <c r="K35" s="692"/>
      <c r="L35" s="692"/>
      <c r="M35" s="692"/>
    </row>
    <row r="36" spans="1:13">
      <c r="A36" s="401">
        <v>28</v>
      </c>
      <c r="B36" s="402" t="s">
        <v>655</v>
      </c>
      <c r="C36" s="403"/>
      <c r="D36" s="407">
        <v>55903890.5858</v>
      </c>
      <c r="E36" s="403">
        <v>1871735.6484000001</v>
      </c>
      <c r="F36" s="403">
        <v>7733993.3731382396</v>
      </c>
      <c r="G36" s="404">
        <v>5486255.1239427365</v>
      </c>
      <c r="I36" s="692"/>
      <c r="J36" s="692"/>
      <c r="K36" s="692"/>
      <c r="L36" s="692"/>
      <c r="M36" s="692"/>
    </row>
    <row r="37" spans="1:13">
      <c r="A37" s="408">
        <v>29</v>
      </c>
      <c r="B37" s="409" t="s">
        <v>656</v>
      </c>
      <c r="C37" s="406"/>
      <c r="D37" s="406"/>
      <c r="E37" s="406"/>
      <c r="F37" s="406"/>
      <c r="G37" s="410">
        <f>SUM(G23:G24,G32:G33,G36)</f>
        <v>607887717.53463447</v>
      </c>
      <c r="H37" s="693"/>
      <c r="I37" s="692"/>
      <c r="J37" s="692"/>
      <c r="K37" s="692"/>
      <c r="L37" s="692"/>
      <c r="M37" s="692"/>
    </row>
    <row r="38" spans="1:13">
      <c r="A38" s="397"/>
      <c r="B38" s="418"/>
      <c r="C38" s="584"/>
      <c r="D38" s="584"/>
      <c r="E38" s="584"/>
      <c r="F38" s="584"/>
      <c r="G38" s="419"/>
      <c r="I38" s="692"/>
      <c r="J38" s="692"/>
      <c r="K38" s="692"/>
      <c r="L38" s="692"/>
      <c r="M38" s="692"/>
    </row>
    <row r="39" spans="1:13" ht="15.75" thickBot="1">
      <c r="A39" s="420">
        <v>30</v>
      </c>
      <c r="B39" s="421" t="s">
        <v>624</v>
      </c>
      <c r="C39" s="285"/>
      <c r="D39" s="271"/>
      <c r="E39" s="271"/>
      <c r="F39" s="422"/>
      <c r="G39" s="423">
        <f>IFERROR(G21/G37,0)</f>
        <v>1.7819786328754506</v>
      </c>
      <c r="I39" s="692"/>
      <c r="J39" s="692"/>
      <c r="K39" s="692"/>
      <c r="L39" s="692"/>
      <c r="M39" s="692"/>
    </row>
    <row r="42" spans="1:13"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M51"/>
  <sheetViews>
    <sheetView zoomScaleNormal="100" workbookViewId="0">
      <pane xSplit="1" ySplit="5" topLeftCell="B6" activePane="bottomRight" state="frozen"/>
      <selection pane="topRight"/>
      <selection pane="bottomLeft"/>
      <selection pane="bottomRight" activeCell="B2" sqref="B2"/>
    </sheetView>
  </sheetViews>
  <sheetFormatPr defaultRowHeight="15.75"/>
  <cols>
    <col min="1" max="1" width="9.5703125" style="15" bestFit="1" customWidth="1"/>
    <col min="2" max="2" width="92.42578125" style="13" customWidth="1"/>
    <col min="3" max="3" width="12.7109375" style="13" customWidth="1"/>
    <col min="4" max="7" width="12.7109375" style="1" customWidth="1"/>
    <col min="8" max="13" width="6.7109375" customWidth="1"/>
  </cols>
  <sheetData>
    <row r="1" spans="1:13">
      <c r="A1" s="14" t="s">
        <v>188</v>
      </c>
      <c r="B1" s="357" t="str">
        <f>Info!C2</f>
        <v>სს "ბანკი ქართუ"</v>
      </c>
    </row>
    <row r="2" spans="1:13">
      <c r="A2" s="14" t="s">
        <v>189</v>
      </c>
      <c r="B2" s="691">
        <v>44834</v>
      </c>
    </row>
    <row r="3" spans="1:13">
      <c r="A3" s="14"/>
    </row>
    <row r="4" spans="1:13" ht="16.5" thickBot="1">
      <c r="A4" s="62" t="s">
        <v>405</v>
      </c>
      <c r="B4" s="191" t="s">
        <v>223</v>
      </c>
      <c r="C4" s="192"/>
      <c r="D4" s="193"/>
      <c r="E4" s="193"/>
      <c r="F4" s="193"/>
      <c r="G4" s="193"/>
    </row>
    <row r="5" spans="1:13" ht="15">
      <c r="A5" s="258" t="s">
        <v>26</v>
      </c>
      <c r="B5" s="259"/>
      <c r="C5" s="378" t="str">
        <f>INT((MONTH($B$2))/3)&amp;"Q"&amp;"-"&amp;YEAR($B$2)</f>
        <v>3Q-2022</v>
      </c>
      <c r="D5" s="378" t="str">
        <f>IF(INT(MONTH($B$2))=3, "4"&amp;"Q"&amp;"-"&amp;YEAR($B$2)-1, IF(INT(MONTH($B$2))=6, "1"&amp;"Q"&amp;"-"&amp;YEAR($B$2), IF(INT(MONTH($B$2))=9, "2"&amp;"Q"&amp;"-"&amp;YEAR($B$2),IF(INT(MONTH($B$2))=12, "3"&amp;"Q"&amp;"-"&amp;YEAR($B$2), 0))))</f>
        <v>2Q-2022</v>
      </c>
      <c r="E5" s="378" t="str">
        <f>IF(INT(MONTH($B$2))=3, "3"&amp;"Q"&amp;"-"&amp;YEAR($B$2)-1, IF(INT(MONTH($B$2))=6, "4"&amp;"Q"&amp;"-"&amp;YEAR($B$2)-1, IF(INT(MONTH($B$2))=9, "1"&amp;"Q"&amp;"-"&amp;YEAR($B$2),IF(INT(MONTH($B$2))=12, "2"&amp;"Q"&amp;"-"&amp;YEAR($B$2), 0))))</f>
        <v>1Q-2022</v>
      </c>
      <c r="F5" s="378" t="str">
        <f>IF(INT(MONTH($B$2))=3, "2"&amp;"Q"&amp;"-"&amp;YEAR($B$2)-1, IF(INT(MONTH($B$2))=6, "3"&amp;"Q"&amp;"-"&amp;YEAR($B$2)-1, IF(INT(MONTH($B$2))=9, "4"&amp;"Q"&amp;"-"&amp;YEAR($B$2)-1,IF(INT(MONTH($B$2))=12, "1"&amp;"Q"&amp;"-"&amp;YEAR($B$2), 0))))</f>
        <v>4Q-2021</v>
      </c>
      <c r="G5" s="493" t="str">
        <f>IF(INT(MONTH($B$2))=3, "1"&amp;"Q"&amp;"-"&amp;YEAR($B$2)-1, IF(INT(MONTH($B$2))=6, "2"&amp;"Q"&amp;"-"&amp;YEAR($B$2)-1, IF(INT(MONTH($B$2))=9, "3"&amp;"Q"&amp;"-"&amp;YEAR($B$2)-1,IF(INT(MONTH($B$2))=12, "4"&amp;"Q"&amp;"-"&amp;YEAR($B$2)-1, 0))))</f>
        <v>3Q-2021</v>
      </c>
    </row>
    <row r="6" spans="1:13" ht="15">
      <c r="A6" s="379"/>
      <c r="B6" s="380" t="s">
        <v>186</v>
      </c>
      <c r="C6" s="494"/>
      <c r="D6" s="494"/>
      <c r="E6" s="494"/>
      <c r="F6" s="494"/>
      <c r="G6" s="260"/>
    </row>
    <row r="7" spans="1:13" ht="15">
      <c r="A7" s="379"/>
      <c r="B7" s="381" t="s">
        <v>190</v>
      </c>
      <c r="C7" s="494"/>
      <c r="D7" s="494"/>
      <c r="E7" s="494"/>
      <c r="F7" s="494"/>
      <c r="G7" s="260"/>
    </row>
    <row r="8" spans="1:13" ht="15">
      <c r="A8" s="361">
        <v>1</v>
      </c>
      <c r="B8" s="362" t="s">
        <v>23</v>
      </c>
      <c r="C8" s="495">
        <v>211365830</v>
      </c>
      <c r="D8" s="495">
        <v>204029629</v>
      </c>
      <c r="E8" s="495">
        <v>191863393</v>
      </c>
      <c r="F8" s="495">
        <v>189239889</v>
      </c>
      <c r="G8" s="496">
        <v>175613617.65000001</v>
      </c>
      <c r="I8" s="672"/>
      <c r="J8" s="672"/>
      <c r="K8" s="672"/>
      <c r="L8" s="672"/>
      <c r="M8" s="672"/>
    </row>
    <row r="9" spans="1:13" ht="15">
      <c r="A9" s="361">
        <v>2</v>
      </c>
      <c r="B9" s="362" t="s">
        <v>89</v>
      </c>
      <c r="C9" s="495">
        <v>287916230</v>
      </c>
      <c r="D9" s="495">
        <v>283109929</v>
      </c>
      <c r="E9" s="495">
        <v>275598493</v>
      </c>
      <c r="F9" s="495">
        <v>272875089</v>
      </c>
      <c r="G9" s="496">
        <v>259929217.65000001</v>
      </c>
      <c r="I9" s="672"/>
      <c r="J9" s="672"/>
      <c r="K9" s="672"/>
      <c r="L9" s="672"/>
      <c r="M9" s="672"/>
    </row>
    <row r="10" spans="1:13" ht="15">
      <c r="A10" s="361">
        <v>3</v>
      </c>
      <c r="B10" s="362" t="s">
        <v>88</v>
      </c>
      <c r="C10" s="495">
        <v>332079701</v>
      </c>
      <c r="D10" s="495">
        <v>328430263</v>
      </c>
      <c r="E10" s="495">
        <v>324944902</v>
      </c>
      <c r="F10" s="495">
        <v>322397605</v>
      </c>
      <c r="G10" s="496">
        <v>309904913.64999998</v>
      </c>
      <c r="I10" s="672"/>
      <c r="J10" s="672"/>
      <c r="K10" s="672"/>
      <c r="L10" s="672"/>
      <c r="M10" s="672"/>
    </row>
    <row r="11" spans="1:13" ht="15">
      <c r="A11" s="361">
        <v>4</v>
      </c>
      <c r="B11" s="362" t="s">
        <v>615</v>
      </c>
      <c r="C11" s="495">
        <v>155205238.53075585</v>
      </c>
      <c r="D11" s="495">
        <v>151883464.59065759</v>
      </c>
      <c r="E11" s="495">
        <v>156772134.65544373</v>
      </c>
      <c r="F11" s="495">
        <v>136577495.8508997</v>
      </c>
      <c r="G11" s="496">
        <v>138365879.42782193</v>
      </c>
      <c r="I11" s="672"/>
      <c r="J11" s="672"/>
      <c r="K11" s="672"/>
      <c r="L11" s="672"/>
      <c r="M11" s="672"/>
    </row>
    <row r="12" spans="1:13" ht="15">
      <c r="A12" s="361">
        <v>5</v>
      </c>
      <c r="B12" s="362" t="s">
        <v>616</v>
      </c>
      <c r="C12" s="495">
        <v>195580136.10504207</v>
      </c>
      <c r="D12" s="495">
        <v>191304963.68665263</v>
      </c>
      <c r="E12" s="495">
        <v>197780823.05211535</v>
      </c>
      <c r="F12" s="495">
        <v>171373251.16610357</v>
      </c>
      <c r="G12" s="496">
        <v>173604853.06885102</v>
      </c>
      <c r="I12" s="672"/>
      <c r="J12" s="672"/>
      <c r="K12" s="672"/>
      <c r="L12" s="672"/>
      <c r="M12" s="672"/>
    </row>
    <row r="13" spans="1:13" ht="15">
      <c r="A13" s="361">
        <v>6</v>
      </c>
      <c r="B13" s="362" t="s">
        <v>617</v>
      </c>
      <c r="C13" s="495">
        <v>270125489.45250708</v>
      </c>
      <c r="D13" s="495">
        <v>263335691.15359637</v>
      </c>
      <c r="E13" s="495">
        <v>272657637.15705895</v>
      </c>
      <c r="F13" s="495">
        <v>263543735.53833356</v>
      </c>
      <c r="G13" s="496">
        <v>265118839.3574006</v>
      </c>
      <c r="I13" s="672"/>
      <c r="J13" s="672"/>
      <c r="K13" s="672"/>
      <c r="L13" s="672"/>
      <c r="M13" s="672"/>
    </row>
    <row r="14" spans="1:13" ht="15">
      <c r="A14" s="379"/>
      <c r="B14" s="380" t="s">
        <v>619</v>
      </c>
      <c r="C14" s="494"/>
      <c r="D14" s="494"/>
      <c r="E14" s="494"/>
      <c r="F14" s="494"/>
      <c r="G14" s="260"/>
      <c r="I14" s="672"/>
      <c r="J14" s="672"/>
      <c r="K14" s="672"/>
      <c r="L14" s="672"/>
      <c r="M14" s="672"/>
    </row>
    <row r="15" spans="1:13" ht="15" customHeight="1">
      <c r="A15" s="361">
        <v>7</v>
      </c>
      <c r="B15" s="362" t="s">
        <v>618</v>
      </c>
      <c r="C15" s="495">
        <v>1372073122.2972174</v>
      </c>
      <c r="D15" s="495">
        <v>1354126092.0266535</v>
      </c>
      <c r="E15" s="495">
        <v>1361151845.6909597</v>
      </c>
      <c r="F15" s="495">
        <v>1299143576.9453716</v>
      </c>
      <c r="G15" s="496">
        <v>1318377848.5747347</v>
      </c>
      <c r="I15" s="672"/>
      <c r="J15" s="672"/>
      <c r="K15" s="672"/>
      <c r="L15" s="672"/>
      <c r="M15" s="672"/>
    </row>
    <row r="16" spans="1:13" ht="15">
      <c r="A16" s="379"/>
      <c r="B16" s="380" t="s">
        <v>623</v>
      </c>
      <c r="C16" s="494"/>
      <c r="D16" s="494"/>
      <c r="E16" s="494"/>
      <c r="F16" s="494"/>
      <c r="G16" s="260"/>
      <c r="I16" s="672"/>
      <c r="J16" s="672"/>
      <c r="K16" s="672"/>
      <c r="L16" s="672"/>
      <c r="M16" s="672"/>
    </row>
    <row r="17" spans="1:13" ht="15">
      <c r="A17" s="361"/>
      <c r="B17" s="381" t="s">
        <v>604</v>
      </c>
      <c r="C17" s="494"/>
      <c r="D17" s="494"/>
      <c r="E17" s="494"/>
      <c r="F17" s="494"/>
      <c r="G17" s="260"/>
      <c r="I17" s="672"/>
      <c r="J17" s="672"/>
      <c r="K17" s="672"/>
      <c r="L17" s="672"/>
      <c r="M17" s="672"/>
    </row>
    <row r="18" spans="1:13" ht="15">
      <c r="A18" s="361">
        <v>8</v>
      </c>
      <c r="B18" s="362" t="s">
        <v>613</v>
      </c>
      <c r="C18" s="390">
        <v>0.15404851721467808</v>
      </c>
      <c r="D18" s="390">
        <v>0.15067254829617746</v>
      </c>
      <c r="E18" s="390">
        <v>0.14095664169092365</v>
      </c>
      <c r="F18" s="390">
        <v>0.14566510765881072</v>
      </c>
      <c r="G18" s="391">
        <v>0.13320431455963214</v>
      </c>
      <c r="I18" s="672"/>
      <c r="J18" s="672"/>
      <c r="K18" s="672"/>
      <c r="L18" s="672"/>
      <c r="M18" s="672"/>
    </row>
    <row r="19" spans="1:13" ht="15" customHeight="1">
      <c r="A19" s="361">
        <v>9</v>
      </c>
      <c r="B19" s="362" t="s">
        <v>612</v>
      </c>
      <c r="C19" s="390">
        <v>0.20984029591509762</v>
      </c>
      <c r="D19" s="390">
        <v>0.20907205810965757</v>
      </c>
      <c r="E19" s="390">
        <v>0.20247446592565749</v>
      </c>
      <c r="F19" s="390">
        <v>0.21004228773666506</v>
      </c>
      <c r="G19" s="391">
        <v>0.19715836240043247</v>
      </c>
      <c r="I19" s="672"/>
      <c r="J19" s="672"/>
      <c r="K19" s="672"/>
      <c r="L19" s="672"/>
      <c r="M19" s="672"/>
    </row>
    <row r="20" spans="1:13" ht="15">
      <c r="A20" s="361">
        <v>10</v>
      </c>
      <c r="B20" s="362" t="s">
        <v>614</v>
      </c>
      <c r="C20" s="390">
        <v>0.24202769925556866</v>
      </c>
      <c r="D20" s="390">
        <v>0.24254038448402887</v>
      </c>
      <c r="E20" s="390">
        <v>0.23872788552481347</v>
      </c>
      <c r="F20" s="390">
        <v>0.24816164334818297</v>
      </c>
      <c r="G20" s="391">
        <v>0.23506532211917125</v>
      </c>
      <c r="I20" s="672"/>
      <c r="J20" s="672"/>
      <c r="K20" s="672"/>
      <c r="L20" s="672"/>
      <c r="M20" s="672"/>
    </row>
    <row r="21" spans="1:13" ht="15">
      <c r="A21" s="361">
        <v>11</v>
      </c>
      <c r="B21" s="362" t="s">
        <v>615</v>
      </c>
      <c r="C21" s="497">
        <v>0.11311732298268533</v>
      </c>
      <c r="D21" s="497">
        <v>0.11216345766097832</v>
      </c>
      <c r="E21" s="497">
        <v>0.11517608057597843</v>
      </c>
      <c r="F21" s="497">
        <v>0.1051288697220282</v>
      </c>
      <c r="G21" s="498">
        <v>0.10495161123755668</v>
      </c>
      <c r="I21" s="672"/>
      <c r="J21" s="672"/>
      <c r="K21" s="672"/>
      <c r="L21" s="672"/>
      <c r="M21" s="672"/>
    </row>
    <row r="22" spans="1:13" ht="15">
      <c r="A22" s="361">
        <v>12</v>
      </c>
      <c r="B22" s="362" t="s">
        <v>616</v>
      </c>
      <c r="C22" s="497">
        <v>0.14254352259126585</v>
      </c>
      <c r="D22" s="497">
        <v>0.14127559081321295</v>
      </c>
      <c r="E22" s="497">
        <v>0.1453040112153807</v>
      </c>
      <c r="F22" s="497">
        <v>0.1319124800424655</v>
      </c>
      <c r="G22" s="498">
        <v>0.13168065077589924</v>
      </c>
      <c r="I22" s="672"/>
      <c r="J22" s="672"/>
      <c r="K22" s="672"/>
      <c r="L22" s="672"/>
      <c r="M22" s="672"/>
    </row>
    <row r="23" spans="1:13" ht="15">
      <c r="A23" s="361">
        <v>13</v>
      </c>
      <c r="B23" s="362" t="s">
        <v>617</v>
      </c>
      <c r="C23" s="497">
        <v>0.19687397490903746</v>
      </c>
      <c r="D23" s="497">
        <v>0.19446910646221643</v>
      </c>
      <c r="E23" s="497">
        <v>0.20031390180325556</v>
      </c>
      <c r="F23" s="497">
        <v>0.20285959166883943</v>
      </c>
      <c r="G23" s="498">
        <v>0.20109473141103967</v>
      </c>
      <c r="I23" s="672"/>
      <c r="J23" s="672"/>
      <c r="K23" s="672"/>
      <c r="L23" s="672"/>
      <c r="M23" s="672"/>
    </row>
    <row r="24" spans="1:13" ht="15">
      <c r="A24" s="379"/>
      <c r="B24" s="380" t="s">
        <v>6</v>
      </c>
      <c r="C24" s="494"/>
      <c r="D24" s="494"/>
      <c r="E24" s="494"/>
      <c r="F24" s="494"/>
      <c r="G24" s="260"/>
      <c r="I24" s="672"/>
      <c r="J24" s="672"/>
      <c r="K24" s="672"/>
      <c r="L24" s="672"/>
      <c r="M24" s="672"/>
    </row>
    <row r="25" spans="1:13" ht="15" customHeight="1">
      <c r="A25" s="382">
        <v>14</v>
      </c>
      <c r="B25" s="383" t="s">
        <v>7</v>
      </c>
      <c r="C25" s="390">
        <v>6.4918111171587661E-2</v>
      </c>
      <c r="D25" s="390">
        <v>5.4130876345677141E-2</v>
      </c>
      <c r="E25" s="390">
        <v>5.5217963470513227E-2</v>
      </c>
      <c r="F25" s="390">
        <v>6.2673778124179097E-2</v>
      </c>
      <c r="G25" s="499">
        <v>5.8734843791540745E-2</v>
      </c>
      <c r="I25" s="672"/>
      <c r="J25" s="672"/>
      <c r="K25" s="672"/>
      <c r="L25" s="672"/>
      <c r="M25" s="672"/>
    </row>
    <row r="26" spans="1:13" ht="15">
      <c r="A26" s="382">
        <v>15</v>
      </c>
      <c r="B26" s="383" t="s">
        <v>8</v>
      </c>
      <c r="C26" s="390">
        <v>2.0861073414529214E-2</v>
      </c>
      <c r="D26" s="390">
        <v>2.1765817945438849E-2</v>
      </c>
      <c r="E26" s="390">
        <v>2.3750955387297712E-2</v>
      </c>
      <c r="F26" s="390">
        <v>2.6338428477537989E-2</v>
      </c>
      <c r="G26" s="499">
        <v>2.6580411114409629E-2</v>
      </c>
      <c r="I26" s="672"/>
      <c r="J26" s="672"/>
      <c r="K26" s="672"/>
      <c r="L26" s="672"/>
      <c r="M26" s="672"/>
    </row>
    <row r="27" spans="1:13" ht="15">
      <c r="A27" s="382">
        <v>16</v>
      </c>
      <c r="B27" s="383" t="s">
        <v>9</v>
      </c>
      <c r="C27" s="390">
        <v>3.1068451808200979E-2</v>
      </c>
      <c r="D27" s="390">
        <v>1.8001206168453712E-2</v>
      </c>
      <c r="E27" s="390">
        <v>1.3518240122090078E-2</v>
      </c>
      <c r="F27" s="390">
        <v>2.3620151247014328E-2</v>
      </c>
      <c r="G27" s="499">
        <v>2.4212417832762862E-2</v>
      </c>
      <c r="I27" s="672"/>
      <c r="J27" s="672"/>
      <c r="K27" s="672"/>
      <c r="L27" s="672"/>
      <c r="M27" s="672"/>
    </row>
    <row r="28" spans="1:13" ht="15">
      <c r="A28" s="382">
        <v>17</v>
      </c>
      <c r="B28" s="383" t="s">
        <v>224</v>
      </c>
      <c r="C28" s="390">
        <v>4.4057037757058444E-2</v>
      </c>
      <c r="D28" s="390">
        <v>3.2365058400238296E-2</v>
      </c>
      <c r="E28" s="390">
        <v>3.1467008083215516E-2</v>
      </c>
      <c r="F28" s="390">
        <v>3.6335349646641105E-2</v>
      </c>
      <c r="G28" s="499">
        <v>3.2154432677131126E-2</v>
      </c>
      <c r="I28" s="672"/>
      <c r="J28" s="672"/>
      <c r="K28" s="672"/>
      <c r="L28" s="672"/>
      <c r="M28" s="672"/>
    </row>
    <row r="29" spans="1:13" ht="15">
      <c r="A29" s="382">
        <v>18</v>
      </c>
      <c r="B29" s="383" t="s">
        <v>10</v>
      </c>
      <c r="C29" s="390">
        <v>2.01761673614121E-2</v>
      </c>
      <c r="D29" s="390">
        <v>2.1041192230812078E-2</v>
      </c>
      <c r="E29" s="390">
        <v>7.971422259524916E-3</v>
      </c>
      <c r="F29" s="390">
        <v>2.524722168252869E-2</v>
      </c>
      <c r="G29" s="499">
        <v>2.2211413514672047E-2</v>
      </c>
      <c r="I29" s="672"/>
      <c r="J29" s="672"/>
      <c r="K29" s="672"/>
      <c r="L29" s="672"/>
      <c r="M29" s="672"/>
    </row>
    <row r="30" spans="1:13" ht="15">
      <c r="A30" s="382">
        <v>19</v>
      </c>
      <c r="B30" s="383" t="s">
        <v>11</v>
      </c>
      <c r="C30" s="390">
        <v>0.14146436938566304</v>
      </c>
      <c r="D30" s="390">
        <v>0.14662297148583683</v>
      </c>
      <c r="E30" s="390">
        <v>5.2637786581932862E-2</v>
      </c>
      <c r="F30" s="390">
        <v>0.1854104744367665</v>
      </c>
      <c r="G30" s="499">
        <v>0.16787117394092582</v>
      </c>
      <c r="I30" s="672"/>
      <c r="J30" s="672"/>
      <c r="K30" s="672"/>
      <c r="L30" s="672"/>
      <c r="M30" s="672"/>
    </row>
    <row r="31" spans="1:13" ht="15">
      <c r="A31" s="379"/>
      <c r="B31" s="380" t="s">
        <v>12</v>
      </c>
      <c r="C31" s="494"/>
      <c r="D31" s="494"/>
      <c r="E31" s="494"/>
      <c r="F31" s="494"/>
      <c r="G31" s="260"/>
      <c r="I31" s="672"/>
      <c r="J31" s="672"/>
      <c r="K31" s="672"/>
      <c r="L31" s="672"/>
      <c r="M31" s="672"/>
    </row>
    <row r="32" spans="1:13" ht="15">
      <c r="A32" s="382">
        <v>20</v>
      </c>
      <c r="B32" s="383" t="s">
        <v>13</v>
      </c>
      <c r="C32" s="390">
        <v>0.28027183471466433</v>
      </c>
      <c r="D32" s="390">
        <v>0.30309246452686134</v>
      </c>
      <c r="E32" s="390">
        <v>0.33475227028271398</v>
      </c>
      <c r="F32" s="390">
        <v>0.33812745576393999</v>
      </c>
      <c r="G32" s="499">
        <v>0.35630392196599409</v>
      </c>
      <c r="I32" s="672"/>
      <c r="J32" s="672"/>
      <c r="K32" s="672"/>
      <c r="L32" s="672"/>
      <c r="M32" s="672"/>
    </row>
    <row r="33" spans="1:13" ht="15" customHeight="1">
      <c r="A33" s="382">
        <v>21</v>
      </c>
      <c r="B33" s="383" t="s">
        <v>14</v>
      </c>
      <c r="C33" s="390">
        <v>0.15734224271039851</v>
      </c>
      <c r="D33" s="390">
        <v>0.16382420903175393</v>
      </c>
      <c r="E33" s="390">
        <v>0.1678699433937868</v>
      </c>
      <c r="F33" s="390">
        <v>0.16490978842264903</v>
      </c>
      <c r="G33" s="499">
        <v>0.16969773024225895</v>
      </c>
      <c r="I33" s="672"/>
      <c r="J33" s="672"/>
      <c r="K33" s="672"/>
      <c r="L33" s="672"/>
      <c r="M33" s="672"/>
    </row>
    <row r="34" spans="1:13" ht="15">
      <c r="A34" s="382">
        <v>22</v>
      </c>
      <c r="B34" s="383" t="s">
        <v>15</v>
      </c>
      <c r="C34" s="390">
        <v>0.6154047107117504</v>
      </c>
      <c r="D34" s="390">
        <v>0.61064724275037874</v>
      </c>
      <c r="E34" s="390">
        <v>0.64561336562421345</v>
      </c>
      <c r="F34" s="390">
        <v>0.6444377856671768</v>
      </c>
      <c r="G34" s="499">
        <v>0.67609118361544418</v>
      </c>
      <c r="I34" s="672"/>
      <c r="J34" s="672"/>
      <c r="K34" s="672"/>
      <c r="L34" s="672"/>
      <c r="M34" s="672"/>
    </row>
    <row r="35" spans="1:13" ht="15" customHeight="1">
      <c r="A35" s="382">
        <v>23</v>
      </c>
      <c r="B35" s="383" t="s">
        <v>16</v>
      </c>
      <c r="C35" s="390">
        <v>0.7027753056832502</v>
      </c>
      <c r="D35" s="390">
        <v>0.70108379089626094</v>
      </c>
      <c r="E35" s="390">
        <v>0.70853086473567184</v>
      </c>
      <c r="F35" s="390">
        <v>0.65562891198801532</v>
      </c>
      <c r="G35" s="499">
        <v>0.67865249363567326</v>
      </c>
      <c r="I35" s="672"/>
      <c r="J35" s="672"/>
      <c r="K35" s="672"/>
      <c r="L35" s="672"/>
      <c r="M35" s="672"/>
    </row>
    <row r="36" spans="1:13" ht="15">
      <c r="A36" s="382">
        <v>24</v>
      </c>
      <c r="B36" s="383" t="s">
        <v>17</v>
      </c>
      <c r="C36" s="390">
        <v>-0.18613862403146308</v>
      </c>
      <c r="D36" s="390">
        <v>-0.13984400348300918</v>
      </c>
      <c r="E36" s="390">
        <v>-1.8561518919768538E-5</v>
      </c>
      <c r="F36" s="390">
        <v>-0.11443914848653591</v>
      </c>
      <c r="G36" s="499">
        <v>-9.9150915080462032E-2</v>
      </c>
      <c r="I36" s="672"/>
      <c r="J36" s="672"/>
      <c r="K36" s="672"/>
      <c r="L36" s="672"/>
      <c r="M36" s="672"/>
    </row>
    <row r="37" spans="1:13" ht="15" customHeight="1">
      <c r="A37" s="379"/>
      <c r="B37" s="380" t="s">
        <v>18</v>
      </c>
      <c r="C37" s="494"/>
      <c r="D37" s="494"/>
      <c r="E37" s="494"/>
      <c r="F37" s="494"/>
      <c r="G37" s="260"/>
      <c r="I37" s="672"/>
      <c r="J37" s="672"/>
      <c r="K37" s="672"/>
      <c r="L37" s="672"/>
      <c r="M37" s="672"/>
    </row>
    <row r="38" spans="1:13" ht="15" customHeight="1">
      <c r="A38" s="382">
        <v>25</v>
      </c>
      <c r="B38" s="383" t="s">
        <v>19</v>
      </c>
      <c r="C38" s="390">
        <v>0.47317434155458571</v>
      </c>
      <c r="D38" s="390">
        <v>0.44605749662012129</v>
      </c>
      <c r="E38" s="390">
        <v>0.32548879086164673</v>
      </c>
      <c r="F38" s="390">
        <v>0.25449985241213907</v>
      </c>
      <c r="G38" s="499">
        <v>0.29753365588698838</v>
      </c>
      <c r="I38" s="672"/>
      <c r="J38" s="672"/>
      <c r="K38" s="672"/>
      <c r="L38" s="672"/>
      <c r="M38" s="672"/>
    </row>
    <row r="39" spans="1:13" ht="15" customHeight="1">
      <c r="A39" s="382">
        <v>26</v>
      </c>
      <c r="B39" s="383" t="s">
        <v>20</v>
      </c>
      <c r="C39" s="390">
        <v>0.8554901024702104</v>
      </c>
      <c r="D39" s="390">
        <v>0.84703413513355286</v>
      </c>
      <c r="E39" s="390">
        <v>0.87279238032237949</v>
      </c>
      <c r="F39" s="390">
        <v>0.84522257781254639</v>
      </c>
      <c r="G39" s="499">
        <v>0.85097565903823214</v>
      </c>
      <c r="I39" s="672"/>
      <c r="J39" s="672"/>
      <c r="K39" s="672"/>
      <c r="L39" s="672"/>
      <c r="M39" s="672"/>
    </row>
    <row r="40" spans="1:13" ht="15" customHeight="1">
      <c r="A40" s="382">
        <v>27</v>
      </c>
      <c r="B40" s="384" t="s">
        <v>21</v>
      </c>
      <c r="C40" s="390">
        <v>0.48758691356806172</v>
      </c>
      <c r="D40" s="390">
        <v>0.40295698430299592</v>
      </c>
      <c r="E40" s="390">
        <v>0.38758967558553742</v>
      </c>
      <c r="F40" s="390">
        <v>0.30735457621809875</v>
      </c>
      <c r="G40" s="499">
        <v>0.35146013112548596</v>
      </c>
      <c r="I40" s="672"/>
      <c r="J40" s="672"/>
      <c r="K40" s="672"/>
      <c r="L40" s="672"/>
      <c r="M40" s="672"/>
    </row>
    <row r="41" spans="1:13" ht="15" customHeight="1">
      <c r="A41" s="388"/>
      <c r="B41" s="380" t="s">
        <v>525</v>
      </c>
      <c r="C41" s="494"/>
      <c r="D41" s="494"/>
      <c r="E41" s="494"/>
      <c r="F41" s="494"/>
      <c r="G41" s="260"/>
      <c r="I41" s="672"/>
      <c r="J41" s="672"/>
      <c r="K41" s="672"/>
      <c r="L41" s="672"/>
      <c r="M41" s="672"/>
    </row>
    <row r="42" spans="1:13" ht="15" customHeight="1">
      <c r="A42" s="382">
        <v>28</v>
      </c>
      <c r="B42" s="426" t="s">
        <v>509</v>
      </c>
      <c r="C42" s="384">
        <v>639213571.84246445</v>
      </c>
      <c r="D42" s="384">
        <v>631144334.8084414</v>
      </c>
      <c r="E42" s="384">
        <v>373335681.19728094</v>
      </c>
      <c r="F42" s="384">
        <v>341714471.76642001</v>
      </c>
      <c r="G42" s="387">
        <v>366706723.50065273</v>
      </c>
      <c r="I42" s="672"/>
      <c r="J42" s="672"/>
      <c r="K42" s="672"/>
      <c r="L42" s="672"/>
      <c r="M42" s="672"/>
    </row>
    <row r="43" spans="1:13" ht="15">
      <c r="A43" s="382">
        <v>29</v>
      </c>
      <c r="B43" s="383" t="s">
        <v>510</v>
      </c>
      <c r="C43" s="385">
        <v>404688412.94228691</v>
      </c>
      <c r="D43" s="385">
        <v>356160850.5765754</v>
      </c>
      <c r="E43" s="385">
        <v>211298854.08155167</v>
      </c>
      <c r="F43" s="385">
        <v>186391521.88685745</v>
      </c>
      <c r="G43" s="386">
        <v>183443529.42646217</v>
      </c>
      <c r="I43" s="672"/>
      <c r="J43" s="672"/>
      <c r="K43" s="672"/>
      <c r="L43" s="672"/>
      <c r="M43" s="672"/>
    </row>
    <row r="44" spans="1:13" thickBot="1">
      <c r="A44" s="424">
        <v>30</v>
      </c>
      <c r="B44" s="425" t="s">
        <v>508</v>
      </c>
      <c r="C44" s="500">
        <v>1.5795203208193249</v>
      </c>
      <c r="D44" s="500">
        <v>1.7720766720618102</v>
      </c>
      <c r="E44" s="500">
        <v>1.7668608891423068</v>
      </c>
      <c r="F44" s="500">
        <v>1.8333155301658302</v>
      </c>
      <c r="G44" s="501">
        <v>1.9990169435093434</v>
      </c>
      <c r="I44" s="672"/>
      <c r="J44" s="672"/>
      <c r="K44" s="672"/>
      <c r="L44" s="672"/>
      <c r="M44" s="672"/>
    </row>
    <row r="45" spans="1:13" ht="15">
      <c r="A45" s="424"/>
      <c r="B45" s="380" t="s">
        <v>624</v>
      </c>
      <c r="C45" s="494"/>
      <c r="D45" s="494"/>
      <c r="E45" s="494"/>
      <c r="F45" s="494"/>
      <c r="G45" s="260"/>
      <c r="I45" s="672"/>
      <c r="J45" s="672"/>
      <c r="K45" s="672"/>
      <c r="L45" s="672"/>
      <c r="M45" s="672"/>
    </row>
    <row r="46" spans="1:13" ht="15">
      <c r="A46" s="424">
        <v>31</v>
      </c>
      <c r="B46" s="425" t="s">
        <v>631</v>
      </c>
      <c r="C46" s="502">
        <v>1083242923.834146</v>
      </c>
      <c r="D46" s="502">
        <v>985451919.75065398</v>
      </c>
      <c r="E46" s="502">
        <v>995046414.02548432</v>
      </c>
      <c r="F46" s="502">
        <v>899894024.43556547</v>
      </c>
      <c r="G46" s="503">
        <v>932795846.52724504</v>
      </c>
      <c r="I46" s="672"/>
      <c r="J46" s="672"/>
      <c r="K46" s="672"/>
      <c r="L46" s="672"/>
      <c r="M46" s="672"/>
    </row>
    <row r="47" spans="1:13" ht="15">
      <c r="A47" s="424">
        <v>32</v>
      </c>
      <c r="B47" s="425" t="s">
        <v>644</v>
      </c>
      <c r="C47" s="504">
        <v>607887717.53463447</v>
      </c>
      <c r="D47" s="504">
        <v>625376566.17079306</v>
      </c>
      <c r="E47" s="504">
        <v>744830716.93965733</v>
      </c>
      <c r="F47" s="504">
        <v>727034249.07264376</v>
      </c>
      <c r="G47" s="505">
        <v>738361347.59228504</v>
      </c>
      <c r="I47" s="672"/>
      <c r="J47" s="672"/>
      <c r="K47" s="672"/>
      <c r="L47" s="672"/>
      <c r="M47" s="672"/>
    </row>
    <row r="48" spans="1:13" thickBot="1">
      <c r="A48" s="110">
        <v>33</v>
      </c>
      <c r="B48" s="213" t="s">
        <v>658</v>
      </c>
      <c r="C48" s="506">
        <v>1.7819786328754506</v>
      </c>
      <c r="D48" s="506">
        <v>1.575773658716727</v>
      </c>
      <c r="E48" s="506">
        <v>1.3359363294171154</v>
      </c>
      <c r="F48" s="506">
        <v>1.2377601544678398</v>
      </c>
      <c r="G48" s="507">
        <v>1.2633324449728978</v>
      </c>
      <c r="I48" s="672"/>
      <c r="J48" s="672"/>
      <c r="K48" s="672"/>
      <c r="L48" s="672"/>
      <c r="M48" s="672"/>
    </row>
    <row r="49" spans="1:2">
      <c r="A49" s="16"/>
    </row>
    <row r="50" spans="1:2" ht="39.75">
      <c r="B50" s="18" t="s">
        <v>603</v>
      </c>
    </row>
    <row r="51" spans="1:2" ht="65.25">
      <c r="B51" s="301"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2" sqref="B2"/>
    </sheetView>
  </sheetViews>
  <sheetFormatPr defaultColWidth="9.28515625" defaultRowHeight="12.75"/>
  <cols>
    <col min="1" max="1" width="11.7109375" style="429" bestFit="1" customWidth="1"/>
    <col min="2" max="2" width="105.28515625" style="429" bestFit="1" customWidth="1"/>
    <col min="3" max="4" width="17.28515625" style="429" bestFit="1" customWidth="1"/>
    <col min="5" max="5" width="17.42578125" style="429" bestFit="1" customWidth="1"/>
    <col min="6" max="6" width="17.28515625" style="429" bestFit="1" customWidth="1"/>
    <col min="7" max="7" width="30.42578125" style="429" customWidth="1"/>
    <col min="8" max="8" width="18.7109375" style="429" bestFit="1" customWidth="1"/>
    <col min="9" max="16384" width="9.28515625" style="429"/>
  </cols>
  <sheetData>
    <row r="1" spans="1:8">
      <c r="A1" s="428" t="s">
        <v>188</v>
      </c>
      <c r="B1" s="587" t="str">
        <f>'1. key ratios'!B1</f>
        <v>სს "ბანკი ქართუ"</v>
      </c>
    </row>
    <row r="2" spans="1:8" ht="13.5">
      <c r="A2" s="428" t="s">
        <v>189</v>
      </c>
      <c r="B2" s="688">
        <f>'1. key ratios'!B2</f>
        <v>44834</v>
      </c>
    </row>
    <row r="3" spans="1:8">
      <c r="A3" s="430" t="s">
        <v>664</v>
      </c>
      <c r="B3" s="431"/>
    </row>
    <row r="5" spans="1:8">
      <c r="A5" s="742" t="s">
        <v>665</v>
      </c>
      <c r="B5" s="743"/>
      <c r="C5" s="748" t="s">
        <v>666</v>
      </c>
      <c r="D5" s="749"/>
      <c r="E5" s="749"/>
      <c r="F5" s="749"/>
      <c r="G5" s="749"/>
      <c r="H5" s="750"/>
    </row>
    <row r="6" spans="1:8">
      <c r="A6" s="744"/>
      <c r="B6" s="745"/>
      <c r="C6" s="751"/>
      <c r="D6" s="752"/>
      <c r="E6" s="752"/>
      <c r="F6" s="752"/>
      <c r="G6" s="752"/>
      <c r="H6" s="753"/>
    </row>
    <row r="7" spans="1:8" ht="25.5">
      <c r="A7" s="746"/>
      <c r="B7" s="747"/>
      <c r="C7" s="432" t="s">
        <v>667</v>
      </c>
      <c r="D7" s="432" t="s">
        <v>668</v>
      </c>
      <c r="E7" s="432" t="s">
        <v>669</v>
      </c>
      <c r="F7" s="432" t="s">
        <v>670</v>
      </c>
      <c r="G7" s="432" t="s">
        <v>941</v>
      </c>
      <c r="H7" s="432" t="s">
        <v>68</v>
      </c>
    </row>
    <row r="8" spans="1:8">
      <c r="A8" s="433">
        <v>1</v>
      </c>
      <c r="B8" s="434" t="s">
        <v>216</v>
      </c>
      <c r="C8" s="585">
        <v>287145308</v>
      </c>
      <c r="D8" s="585">
        <v>615401.17999999993</v>
      </c>
      <c r="E8" s="585">
        <v>7000000</v>
      </c>
      <c r="F8" s="585">
        <v>21053000</v>
      </c>
      <c r="G8" s="585"/>
      <c r="H8" s="586">
        <f>SUM(C8:G8)</f>
        <v>315813709.18000001</v>
      </c>
    </row>
    <row r="9" spans="1:8">
      <c r="A9" s="433">
        <v>2</v>
      </c>
      <c r="B9" s="434" t="s">
        <v>217</v>
      </c>
      <c r="C9" s="585"/>
      <c r="D9" s="585"/>
      <c r="E9" s="585"/>
      <c r="F9" s="585"/>
      <c r="G9" s="585"/>
      <c r="H9" s="586">
        <f t="shared" ref="H9:H21" si="0">SUM(C9:G9)</f>
        <v>0</v>
      </c>
    </row>
    <row r="10" spans="1:8">
      <c r="A10" s="433">
        <v>3</v>
      </c>
      <c r="B10" s="434" t="s">
        <v>218</v>
      </c>
      <c r="C10" s="585"/>
      <c r="D10" s="585"/>
      <c r="E10" s="585"/>
      <c r="F10" s="585"/>
      <c r="G10" s="585"/>
      <c r="H10" s="586">
        <f t="shared" si="0"/>
        <v>0</v>
      </c>
    </row>
    <row r="11" spans="1:8">
      <c r="A11" s="433">
        <v>4</v>
      </c>
      <c r="B11" s="434" t="s">
        <v>219</v>
      </c>
      <c r="C11" s="585"/>
      <c r="D11" s="585"/>
      <c r="E11" s="585"/>
      <c r="F11" s="585"/>
      <c r="G11" s="585"/>
      <c r="H11" s="586">
        <f t="shared" si="0"/>
        <v>0</v>
      </c>
    </row>
    <row r="12" spans="1:8">
      <c r="A12" s="433">
        <v>5</v>
      </c>
      <c r="B12" s="434" t="s">
        <v>220</v>
      </c>
      <c r="C12" s="585"/>
      <c r="D12" s="585"/>
      <c r="E12" s="585"/>
      <c r="F12" s="585"/>
      <c r="G12" s="585"/>
      <c r="H12" s="586">
        <f t="shared" si="0"/>
        <v>0</v>
      </c>
    </row>
    <row r="13" spans="1:8">
      <c r="A13" s="433">
        <v>6</v>
      </c>
      <c r="B13" s="434" t="s">
        <v>221</v>
      </c>
      <c r="C13" s="585">
        <v>339110669.93000001</v>
      </c>
      <c r="D13" s="585">
        <v>25134186</v>
      </c>
      <c r="E13" s="585">
        <v>0</v>
      </c>
      <c r="F13" s="585">
        <v>4339680.03</v>
      </c>
      <c r="G13" s="585"/>
      <c r="H13" s="586">
        <f t="shared" si="0"/>
        <v>368584535.95999998</v>
      </c>
    </row>
    <row r="14" spans="1:8">
      <c r="A14" s="433">
        <v>7</v>
      </c>
      <c r="B14" s="434" t="s">
        <v>73</v>
      </c>
      <c r="C14" s="585"/>
      <c r="D14" s="585">
        <v>247495844.50452992</v>
      </c>
      <c r="E14" s="585">
        <v>222316200.07044321</v>
      </c>
      <c r="F14" s="585">
        <v>183140853</v>
      </c>
      <c r="G14" s="585">
        <v>30285648</v>
      </c>
      <c r="H14" s="586">
        <f t="shared" si="0"/>
        <v>683238545.57497311</v>
      </c>
    </row>
    <row r="15" spans="1:8">
      <c r="A15" s="433">
        <v>8</v>
      </c>
      <c r="B15" s="436" t="s">
        <v>74</v>
      </c>
      <c r="C15" s="585"/>
      <c r="D15" s="585"/>
      <c r="E15" s="585"/>
      <c r="F15" s="585"/>
      <c r="G15" s="585"/>
      <c r="H15" s="586">
        <f t="shared" si="0"/>
        <v>0</v>
      </c>
    </row>
    <row r="16" spans="1:8">
      <c r="A16" s="433">
        <v>9</v>
      </c>
      <c r="B16" s="434" t="s">
        <v>75</v>
      </c>
      <c r="C16" s="585"/>
      <c r="D16" s="585"/>
      <c r="E16" s="585"/>
      <c r="F16" s="585"/>
      <c r="G16" s="585"/>
      <c r="H16" s="586">
        <f t="shared" si="0"/>
        <v>0</v>
      </c>
    </row>
    <row r="17" spans="1:8">
      <c r="A17" s="433">
        <v>10</v>
      </c>
      <c r="B17" s="492" t="s">
        <v>692</v>
      </c>
      <c r="C17" s="585"/>
      <c r="D17" s="585">
        <v>7129479.6551300008</v>
      </c>
      <c r="E17" s="585">
        <v>29972872.818248991</v>
      </c>
      <c r="F17" s="585">
        <v>22420591.616363015</v>
      </c>
      <c r="G17" s="585">
        <v>30077951.320644017</v>
      </c>
      <c r="H17" s="586">
        <f t="shared" si="0"/>
        <v>89600895.410386026</v>
      </c>
    </row>
    <row r="18" spans="1:8">
      <c r="A18" s="433">
        <v>11</v>
      </c>
      <c r="B18" s="434" t="s">
        <v>70</v>
      </c>
      <c r="C18" s="585"/>
      <c r="D18" s="585"/>
      <c r="E18" s="585"/>
      <c r="F18" s="585"/>
      <c r="G18" s="585"/>
      <c r="H18" s="586">
        <f t="shared" si="0"/>
        <v>0</v>
      </c>
    </row>
    <row r="19" spans="1:8">
      <c r="A19" s="433">
        <v>12</v>
      </c>
      <c r="B19" s="434" t="s">
        <v>71</v>
      </c>
      <c r="C19" s="585"/>
      <c r="D19" s="585"/>
      <c r="E19" s="585"/>
      <c r="F19" s="585"/>
      <c r="G19" s="585"/>
      <c r="H19" s="586">
        <f t="shared" si="0"/>
        <v>0</v>
      </c>
    </row>
    <row r="20" spans="1:8">
      <c r="A20" s="437">
        <v>13</v>
      </c>
      <c r="B20" s="436" t="s">
        <v>72</v>
      </c>
      <c r="C20" s="585"/>
      <c r="D20" s="585"/>
      <c r="E20" s="585"/>
      <c r="F20" s="585"/>
      <c r="G20" s="585"/>
      <c r="H20" s="586">
        <f t="shared" si="0"/>
        <v>0</v>
      </c>
    </row>
    <row r="21" spans="1:8">
      <c r="A21" s="433">
        <v>14</v>
      </c>
      <c r="B21" s="434" t="s">
        <v>671</v>
      </c>
      <c r="C21" s="585">
        <v>32172553</v>
      </c>
      <c r="D21" s="585">
        <v>2960374.8733910006</v>
      </c>
      <c r="E21" s="585">
        <v>3457277.9414090011</v>
      </c>
      <c r="F21" s="585">
        <v>13573082.949339002</v>
      </c>
      <c r="G21" s="585">
        <v>89377687.857293993</v>
      </c>
      <c r="H21" s="586">
        <f t="shared" si="0"/>
        <v>141540976.62143299</v>
      </c>
    </row>
    <row r="22" spans="1:8">
      <c r="A22" s="438">
        <v>15</v>
      </c>
      <c r="B22" s="435" t="s">
        <v>68</v>
      </c>
      <c r="C22" s="586">
        <f>SUM(C18:C21)+SUM(C8:C16)</f>
        <v>658428530.93000007</v>
      </c>
      <c r="D22" s="586">
        <f t="shared" ref="D22:G22" si="1">SUM(D18:D21)+SUM(D8:D16)</f>
        <v>276205806.55792087</v>
      </c>
      <c r="E22" s="586">
        <f t="shared" si="1"/>
        <v>232773478.0118522</v>
      </c>
      <c r="F22" s="586">
        <f t="shared" si="1"/>
        <v>222106615.979339</v>
      </c>
      <c r="G22" s="586">
        <f t="shared" si="1"/>
        <v>119663335.85729399</v>
      </c>
      <c r="H22" s="586">
        <f>SUM(H18:H21)+SUM(H8:H16)</f>
        <v>1509177767.336406</v>
      </c>
    </row>
    <row r="26" spans="1:8" ht="38.25">
      <c r="B26" s="491"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B2" sqref="B2"/>
    </sheetView>
  </sheetViews>
  <sheetFormatPr defaultColWidth="9.28515625" defaultRowHeight="12.75"/>
  <cols>
    <col min="1" max="1" width="11.7109375" style="439" bestFit="1" customWidth="1"/>
    <col min="2" max="2" width="114.7109375" style="429" customWidth="1"/>
    <col min="3" max="3" width="22.42578125" style="429" customWidth="1"/>
    <col min="4" max="4" width="23.5703125" style="429" customWidth="1"/>
    <col min="5" max="8" width="22.28515625" style="429" customWidth="1"/>
    <col min="9" max="9" width="41.42578125" style="429" customWidth="1"/>
    <col min="10" max="16384" width="9.28515625" style="429"/>
  </cols>
  <sheetData>
    <row r="1" spans="1:9">
      <c r="A1" s="428" t="s">
        <v>188</v>
      </c>
      <c r="B1" s="587" t="str">
        <f>'1. key ratios'!B1</f>
        <v>სს "ბანკი ქართუ"</v>
      </c>
    </row>
    <row r="2" spans="1:9" ht="13.5">
      <c r="A2" s="428" t="s">
        <v>189</v>
      </c>
      <c r="B2" s="688">
        <f>'1. key ratios'!B2</f>
        <v>44834</v>
      </c>
    </row>
    <row r="3" spans="1:9">
      <c r="A3" s="430" t="s">
        <v>672</v>
      </c>
      <c r="B3" s="431"/>
    </row>
    <row r="4" spans="1:9">
      <c r="C4" s="440" t="s">
        <v>673</v>
      </c>
      <c r="D4" s="440" t="s">
        <v>674</v>
      </c>
      <c r="E4" s="440" t="s">
        <v>675</v>
      </c>
      <c r="F4" s="440" t="s">
        <v>676</v>
      </c>
      <c r="G4" s="440" t="s">
        <v>677</v>
      </c>
      <c r="H4" s="440" t="s">
        <v>678</v>
      </c>
      <c r="I4" s="440" t="s">
        <v>679</v>
      </c>
    </row>
    <row r="5" spans="1:9" ht="34.15" customHeight="1">
      <c r="A5" s="742" t="s">
        <v>682</v>
      </c>
      <c r="B5" s="743"/>
      <c r="C5" s="756" t="s">
        <v>683</v>
      </c>
      <c r="D5" s="756"/>
      <c r="E5" s="756" t="s">
        <v>684</v>
      </c>
      <c r="F5" s="756" t="s">
        <v>685</v>
      </c>
      <c r="G5" s="754" t="s">
        <v>686</v>
      </c>
      <c r="H5" s="754" t="s">
        <v>687</v>
      </c>
      <c r="I5" s="441" t="s">
        <v>688</v>
      </c>
    </row>
    <row r="6" spans="1:9" ht="38.25">
      <c r="A6" s="746"/>
      <c r="B6" s="747"/>
      <c r="C6" s="475" t="s">
        <v>689</v>
      </c>
      <c r="D6" s="475" t="s">
        <v>690</v>
      </c>
      <c r="E6" s="756"/>
      <c r="F6" s="756"/>
      <c r="G6" s="755"/>
      <c r="H6" s="755"/>
      <c r="I6" s="441" t="s">
        <v>691</v>
      </c>
    </row>
    <row r="7" spans="1:9">
      <c r="A7" s="442">
        <v>1</v>
      </c>
      <c r="B7" s="434" t="s">
        <v>216</v>
      </c>
      <c r="C7" s="585"/>
      <c r="D7" s="585">
        <v>315772199</v>
      </c>
      <c r="E7" s="585"/>
      <c r="F7" s="585"/>
      <c r="G7" s="585"/>
      <c r="H7" s="585">
        <v>0</v>
      </c>
      <c r="I7" s="588">
        <f t="shared" ref="I7:I23" si="0">C7+D7-E7-F7-G7</f>
        <v>315772199</v>
      </c>
    </row>
    <row r="8" spans="1:9">
      <c r="A8" s="442">
        <v>2</v>
      </c>
      <c r="B8" s="434" t="s">
        <v>217</v>
      </c>
      <c r="C8" s="585"/>
      <c r="D8" s="585"/>
      <c r="E8" s="585"/>
      <c r="F8" s="585"/>
      <c r="G8" s="585"/>
      <c r="H8" s="585">
        <v>0</v>
      </c>
      <c r="I8" s="588">
        <f t="shared" si="0"/>
        <v>0</v>
      </c>
    </row>
    <row r="9" spans="1:9">
      <c r="A9" s="442">
        <v>3</v>
      </c>
      <c r="B9" s="434" t="s">
        <v>218</v>
      </c>
      <c r="C9" s="585"/>
      <c r="D9" s="585"/>
      <c r="E9" s="585"/>
      <c r="F9" s="585"/>
      <c r="G9" s="585"/>
      <c r="H9" s="585">
        <v>0</v>
      </c>
      <c r="I9" s="588">
        <f t="shared" si="0"/>
        <v>0</v>
      </c>
    </row>
    <row r="10" spans="1:9">
      <c r="A10" s="442">
        <v>4</v>
      </c>
      <c r="B10" s="434" t="s">
        <v>219</v>
      </c>
      <c r="C10" s="585"/>
      <c r="D10" s="585"/>
      <c r="E10" s="585"/>
      <c r="F10" s="585"/>
      <c r="G10" s="585"/>
      <c r="H10" s="585">
        <v>0</v>
      </c>
      <c r="I10" s="588">
        <f t="shared" si="0"/>
        <v>0</v>
      </c>
    </row>
    <row r="11" spans="1:9">
      <c r="A11" s="442">
        <v>5</v>
      </c>
      <c r="B11" s="434" t="s">
        <v>220</v>
      </c>
      <c r="C11" s="585"/>
      <c r="D11" s="585"/>
      <c r="E11" s="585"/>
      <c r="F11" s="585"/>
      <c r="G11" s="585"/>
      <c r="H11" s="585">
        <v>0</v>
      </c>
      <c r="I11" s="588">
        <f t="shared" si="0"/>
        <v>0</v>
      </c>
    </row>
    <row r="12" spans="1:9">
      <c r="A12" s="442">
        <v>6</v>
      </c>
      <c r="B12" s="434" t="s">
        <v>221</v>
      </c>
      <c r="C12" s="585"/>
      <c r="D12" s="585">
        <v>368584536.43000001</v>
      </c>
      <c r="E12" s="585"/>
      <c r="F12" s="585"/>
      <c r="G12" s="585"/>
      <c r="H12" s="585">
        <v>0</v>
      </c>
      <c r="I12" s="588">
        <f t="shared" si="0"/>
        <v>368584536.43000001</v>
      </c>
    </row>
    <row r="13" spans="1:9">
      <c r="A13" s="442">
        <v>7</v>
      </c>
      <c r="B13" s="434" t="s">
        <v>73</v>
      </c>
      <c r="C13" s="585">
        <v>217381948.58140004</v>
      </c>
      <c r="D13" s="585">
        <v>578709602.90449071</v>
      </c>
      <c r="E13" s="585">
        <v>112853006.231536</v>
      </c>
      <c r="F13" s="585">
        <v>9317453.4381320048</v>
      </c>
      <c r="G13" s="585"/>
      <c r="H13" s="585">
        <v>0</v>
      </c>
      <c r="I13" s="588">
        <f t="shared" si="0"/>
        <v>673921091.81622267</v>
      </c>
    </row>
    <row r="14" spans="1:9">
      <c r="A14" s="442">
        <v>8</v>
      </c>
      <c r="B14" s="436" t="s">
        <v>74</v>
      </c>
      <c r="C14" s="585"/>
      <c r="D14" s="585"/>
      <c r="E14" s="585"/>
      <c r="F14" s="585"/>
      <c r="G14" s="585"/>
      <c r="H14" s="585">
        <v>0</v>
      </c>
      <c r="I14" s="588">
        <f t="shared" si="0"/>
        <v>0</v>
      </c>
    </row>
    <row r="15" spans="1:9">
      <c r="A15" s="442">
        <v>9</v>
      </c>
      <c r="B15" s="434" t="s">
        <v>75</v>
      </c>
      <c r="C15" s="585"/>
      <c r="D15" s="585"/>
      <c r="E15" s="585"/>
      <c r="F15" s="585"/>
      <c r="G15" s="585"/>
      <c r="H15" s="585">
        <v>0</v>
      </c>
      <c r="I15" s="588">
        <f t="shared" si="0"/>
        <v>0</v>
      </c>
    </row>
    <row r="16" spans="1:9">
      <c r="A16" s="442">
        <v>10</v>
      </c>
      <c r="B16" s="492" t="s">
        <v>692</v>
      </c>
      <c r="C16" s="585">
        <v>172652451.11130014</v>
      </c>
      <c r="D16" s="585">
        <v>79219.841299999825</v>
      </c>
      <c r="E16" s="585">
        <v>83130775.542213976</v>
      </c>
      <c r="F16" s="585">
        <v>1584.3968260000017</v>
      </c>
      <c r="G16" s="585"/>
      <c r="H16" s="585">
        <v>0</v>
      </c>
      <c r="I16" s="588">
        <f t="shared" si="0"/>
        <v>89599311.013560176</v>
      </c>
    </row>
    <row r="17" spans="1:9">
      <c r="A17" s="442">
        <v>11</v>
      </c>
      <c r="B17" s="434" t="s">
        <v>70</v>
      </c>
      <c r="C17" s="585"/>
      <c r="D17" s="585"/>
      <c r="E17" s="585"/>
      <c r="F17" s="585"/>
      <c r="G17" s="585"/>
      <c r="H17" s="585">
        <v>0</v>
      </c>
      <c r="I17" s="588">
        <f t="shared" si="0"/>
        <v>0</v>
      </c>
    </row>
    <row r="18" spans="1:9">
      <c r="A18" s="442">
        <v>12</v>
      </c>
      <c r="B18" s="434" t="s">
        <v>71</v>
      </c>
      <c r="C18" s="585"/>
      <c r="D18" s="585"/>
      <c r="E18" s="585"/>
      <c r="F18" s="585"/>
      <c r="G18" s="585"/>
      <c r="H18" s="585">
        <v>0</v>
      </c>
      <c r="I18" s="588">
        <f t="shared" si="0"/>
        <v>0</v>
      </c>
    </row>
    <row r="19" spans="1:9">
      <c r="A19" s="444">
        <v>13</v>
      </c>
      <c r="B19" s="436" t="s">
        <v>72</v>
      </c>
      <c r="C19" s="585"/>
      <c r="D19" s="585"/>
      <c r="E19" s="585"/>
      <c r="F19" s="585"/>
      <c r="G19" s="585"/>
      <c r="H19" s="585">
        <v>0</v>
      </c>
      <c r="I19" s="588">
        <f t="shared" si="0"/>
        <v>0</v>
      </c>
    </row>
    <row r="20" spans="1:9">
      <c r="A20" s="442">
        <v>14</v>
      </c>
      <c r="B20" s="434" t="s">
        <v>671</v>
      </c>
      <c r="C20" s="585">
        <v>67638025.469899997</v>
      </c>
      <c r="D20" s="585">
        <v>112960129.16323397</v>
      </c>
      <c r="E20" s="585">
        <v>35789637.881701</v>
      </c>
      <c r="F20" s="585">
        <v>302559.63916200137</v>
      </c>
      <c r="G20" s="585">
        <v>8272882.8499999996</v>
      </c>
      <c r="H20" s="585">
        <v>297911.61</v>
      </c>
      <c r="I20" s="588">
        <f t="shared" si="0"/>
        <v>136233074.26227096</v>
      </c>
    </row>
    <row r="21" spans="1:9" s="446" customFormat="1">
      <c r="A21" s="445">
        <v>15</v>
      </c>
      <c r="B21" s="435" t="s">
        <v>68</v>
      </c>
      <c r="C21" s="586">
        <f>SUM(C7:C15)+SUM(C17:C20)</f>
        <v>285019974.05130005</v>
      </c>
      <c r="D21" s="586">
        <f t="shared" ref="D21:H21" si="1">SUM(D7:D15)+SUM(D17:D20)</f>
        <v>1376026467.4977248</v>
      </c>
      <c r="E21" s="586">
        <f t="shared" si="1"/>
        <v>148642644.11323699</v>
      </c>
      <c r="F21" s="586">
        <f t="shared" si="1"/>
        <v>9620013.0772940069</v>
      </c>
      <c r="G21" s="586">
        <f t="shared" si="1"/>
        <v>8272882.8499999996</v>
      </c>
      <c r="H21" s="586">
        <f t="shared" si="1"/>
        <v>297911.61</v>
      </c>
      <c r="I21" s="682">
        <f t="shared" si="0"/>
        <v>1494510901.5084939</v>
      </c>
    </row>
    <row r="22" spans="1:9">
      <c r="A22" s="447">
        <v>16</v>
      </c>
      <c r="B22" s="448" t="s">
        <v>693</v>
      </c>
      <c r="C22" s="585">
        <v>220230940.05129996</v>
      </c>
      <c r="D22" s="585">
        <v>594061956.61335671</v>
      </c>
      <c r="E22" s="585">
        <v>114035607.11323704</v>
      </c>
      <c r="F22" s="585">
        <v>9558873.0772939995</v>
      </c>
      <c r="G22" s="585">
        <v>0</v>
      </c>
      <c r="H22" s="585">
        <v>0</v>
      </c>
      <c r="I22" s="588">
        <f t="shared" si="0"/>
        <v>690698416.47412562</v>
      </c>
    </row>
    <row r="23" spans="1:9">
      <c r="A23" s="447">
        <v>17</v>
      </c>
      <c r="B23" s="448" t="s">
        <v>694</v>
      </c>
      <c r="C23" s="585"/>
      <c r="D23" s="585">
        <v>31716562.149999999</v>
      </c>
      <c r="E23" s="585">
        <v>0</v>
      </c>
      <c r="F23" s="585">
        <v>60000</v>
      </c>
      <c r="G23" s="585">
        <v>0</v>
      </c>
      <c r="H23" s="585">
        <v>0</v>
      </c>
      <c r="I23" s="588">
        <f t="shared" si="0"/>
        <v>31656562.149999999</v>
      </c>
    </row>
    <row r="26" spans="1:9" ht="42.4" customHeight="1">
      <c r="B26" s="491"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3"/>
  <sheetViews>
    <sheetView showGridLines="0" zoomScaleNormal="100" workbookViewId="0">
      <selection activeCell="B2" sqref="B2"/>
    </sheetView>
  </sheetViews>
  <sheetFormatPr defaultColWidth="9.28515625" defaultRowHeight="12.75"/>
  <cols>
    <col min="1" max="1" width="11" style="429" bestFit="1" customWidth="1"/>
    <col min="2" max="2" width="93.42578125" style="429" customWidth="1"/>
    <col min="3" max="8" width="22" style="429" customWidth="1"/>
    <col min="9" max="9" width="42.28515625" style="429" bestFit="1" customWidth="1"/>
    <col min="10" max="16384" width="9.28515625" style="429"/>
  </cols>
  <sheetData>
    <row r="1" spans="1:9">
      <c r="A1" s="428" t="s">
        <v>188</v>
      </c>
      <c r="B1" s="587" t="str">
        <f>'1. key ratios'!B1</f>
        <v>სს "ბანკი ქართუ"</v>
      </c>
    </row>
    <row r="2" spans="1:9">
      <c r="A2" s="428" t="s">
        <v>189</v>
      </c>
      <c r="B2" s="686">
        <f>'1. key ratios'!B2</f>
        <v>44834</v>
      </c>
    </row>
    <row r="3" spans="1:9">
      <c r="A3" s="430" t="s">
        <v>695</v>
      </c>
      <c r="B3" s="431"/>
    </row>
    <row r="4" spans="1:9">
      <c r="C4" s="440" t="s">
        <v>673</v>
      </c>
      <c r="D4" s="440" t="s">
        <v>674</v>
      </c>
      <c r="E4" s="440" t="s">
        <v>675</v>
      </c>
      <c r="F4" s="440" t="s">
        <v>676</v>
      </c>
      <c r="G4" s="440" t="s">
        <v>677</v>
      </c>
      <c r="H4" s="440" t="s">
        <v>678</v>
      </c>
      <c r="I4" s="440" t="s">
        <v>679</v>
      </c>
    </row>
    <row r="5" spans="1:9" ht="41.65" customHeight="1">
      <c r="A5" s="742" t="s">
        <v>951</v>
      </c>
      <c r="B5" s="743"/>
      <c r="C5" s="756" t="s">
        <v>683</v>
      </c>
      <c r="D5" s="756"/>
      <c r="E5" s="756" t="s">
        <v>684</v>
      </c>
      <c r="F5" s="756" t="s">
        <v>685</v>
      </c>
      <c r="G5" s="754" t="s">
        <v>686</v>
      </c>
      <c r="H5" s="754" t="s">
        <v>687</v>
      </c>
      <c r="I5" s="441" t="s">
        <v>688</v>
      </c>
    </row>
    <row r="6" spans="1:9" ht="41.65" customHeight="1">
      <c r="A6" s="746"/>
      <c r="B6" s="747"/>
      <c r="C6" s="475" t="s">
        <v>689</v>
      </c>
      <c r="D6" s="475" t="s">
        <v>690</v>
      </c>
      <c r="E6" s="756"/>
      <c r="F6" s="756"/>
      <c r="G6" s="755"/>
      <c r="H6" s="755"/>
      <c r="I6" s="441" t="s">
        <v>691</v>
      </c>
    </row>
    <row r="7" spans="1:9">
      <c r="A7" s="443">
        <v>1</v>
      </c>
      <c r="B7" s="449" t="s">
        <v>696</v>
      </c>
      <c r="C7" s="585">
        <v>309263.37</v>
      </c>
      <c r="D7" s="585">
        <v>324568966.65115201</v>
      </c>
      <c r="E7" s="585">
        <v>81718.849447999994</v>
      </c>
      <c r="F7" s="585">
        <v>175034.34346999993</v>
      </c>
      <c r="G7" s="585">
        <v>0</v>
      </c>
      <c r="H7" s="585">
        <v>0</v>
      </c>
      <c r="I7" s="588">
        <f t="shared" ref="I7:I34" si="0">C7+D7-E7-F7-G7</f>
        <v>324621476.82823402</v>
      </c>
    </row>
    <row r="8" spans="1:9">
      <c r="A8" s="443">
        <v>2</v>
      </c>
      <c r="B8" s="449" t="s">
        <v>697</v>
      </c>
      <c r="C8" s="585">
        <v>313546.59999999998</v>
      </c>
      <c r="D8" s="585">
        <v>371772478.02886999</v>
      </c>
      <c r="E8" s="585">
        <v>105221.38579000001</v>
      </c>
      <c r="F8" s="585">
        <v>61025.186020999987</v>
      </c>
      <c r="G8" s="585">
        <v>0</v>
      </c>
      <c r="H8" s="585">
        <v>0</v>
      </c>
      <c r="I8" s="588">
        <f t="shared" si="0"/>
        <v>371919778.05705905</v>
      </c>
    </row>
    <row r="9" spans="1:9">
      <c r="A9" s="443">
        <v>3</v>
      </c>
      <c r="B9" s="449" t="s">
        <v>698</v>
      </c>
      <c r="C9" s="585">
        <v>0</v>
      </c>
      <c r="D9" s="585">
        <v>0</v>
      </c>
      <c r="E9" s="585">
        <v>0</v>
      </c>
      <c r="F9" s="585">
        <v>0</v>
      </c>
      <c r="G9" s="585">
        <v>0</v>
      </c>
      <c r="H9" s="585">
        <v>0</v>
      </c>
      <c r="I9" s="588">
        <f t="shared" si="0"/>
        <v>0</v>
      </c>
    </row>
    <row r="10" spans="1:9">
      <c r="A10" s="443">
        <v>4</v>
      </c>
      <c r="B10" s="449" t="s">
        <v>699</v>
      </c>
      <c r="C10" s="585">
        <v>36787342.699999996</v>
      </c>
      <c r="D10" s="585">
        <v>38033514.649520002</v>
      </c>
      <c r="E10" s="585">
        <v>15793880.270904003</v>
      </c>
      <c r="F10" s="585">
        <v>559649.08624900016</v>
      </c>
      <c r="G10" s="585">
        <v>0</v>
      </c>
      <c r="H10" s="585">
        <v>0</v>
      </c>
      <c r="I10" s="588">
        <f t="shared" si="0"/>
        <v>58467327.992366992</v>
      </c>
    </row>
    <row r="11" spans="1:9">
      <c r="A11" s="443">
        <v>5</v>
      </c>
      <c r="B11" s="449" t="s">
        <v>700</v>
      </c>
      <c r="C11" s="585">
        <v>24367725.830000006</v>
      </c>
      <c r="D11" s="585">
        <v>49473550.362722002</v>
      </c>
      <c r="E11" s="585">
        <v>11597039.534316</v>
      </c>
      <c r="F11" s="585">
        <v>894981.26076400024</v>
      </c>
      <c r="G11" s="585">
        <v>0</v>
      </c>
      <c r="H11" s="585">
        <v>0</v>
      </c>
      <c r="I11" s="588">
        <f t="shared" si="0"/>
        <v>61349255.397642002</v>
      </c>
    </row>
    <row r="12" spans="1:9">
      <c r="A12" s="443">
        <v>6</v>
      </c>
      <c r="B12" s="449" t="s">
        <v>701</v>
      </c>
      <c r="C12" s="585">
        <v>4853938.2200000007</v>
      </c>
      <c r="D12" s="585">
        <v>48693935.767587982</v>
      </c>
      <c r="E12" s="585">
        <v>2786499.4066950004</v>
      </c>
      <c r="F12" s="585">
        <v>872016.62402699993</v>
      </c>
      <c r="G12" s="585">
        <v>0</v>
      </c>
      <c r="H12" s="585">
        <v>0</v>
      </c>
      <c r="I12" s="588">
        <f t="shared" si="0"/>
        <v>49889357.956865981</v>
      </c>
    </row>
    <row r="13" spans="1:9">
      <c r="A13" s="443">
        <v>7</v>
      </c>
      <c r="B13" s="449" t="s">
        <v>702</v>
      </c>
      <c r="C13" s="585">
        <v>5819208.9500000011</v>
      </c>
      <c r="D13" s="585">
        <v>6637463.2927040001</v>
      </c>
      <c r="E13" s="585">
        <v>3049412.8676239997</v>
      </c>
      <c r="F13" s="585">
        <v>80542.136005000022</v>
      </c>
      <c r="G13" s="585">
        <v>0</v>
      </c>
      <c r="H13" s="585">
        <v>0</v>
      </c>
      <c r="I13" s="588">
        <f t="shared" si="0"/>
        <v>9326717.2390750013</v>
      </c>
    </row>
    <row r="14" spans="1:9">
      <c r="A14" s="443">
        <v>8</v>
      </c>
      <c r="B14" s="449" t="s">
        <v>703</v>
      </c>
      <c r="C14" s="585">
        <v>17464651.549999997</v>
      </c>
      <c r="D14" s="585">
        <v>5078975.8086700011</v>
      </c>
      <c r="E14" s="585">
        <v>7791075.4618570004</v>
      </c>
      <c r="F14" s="585">
        <v>101017.66187500001</v>
      </c>
      <c r="G14" s="585">
        <v>0</v>
      </c>
      <c r="H14" s="585">
        <v>0</v>
      </c>
      <c r="I14" s="588">
        <f t="shared" si="0"/>
        <v>14651534.234937996</v>
      </c>
    </row>
    <row r="15" spans="1:9">
      <c r="A15" s="443">
        <v>9</v>
      </c>
      <c r="B15" s="449" t="s">
        <v>704</v>
      </c>
      <c r="C15" s="585">
        <v>50630555.729999997</v>
      </c>
      <c r="D15" s="585">
        <v>96395670.877151996</v>
      </c>
      <c r="E15" s="585">
        <v>31454318.998428002</v>
      </c>
      <c r="F15" s="585">
        <v>1768404.8437050001</v>
      </c>
      <c r="G15" s="585">
        <v>0</v>
      </c>
      <c r="H15" s="585">
        <v>0</v>
      </c>
      <c r="I15" s="588">
        <f t="shared" si="0"/>
        <v>113803502.76501898</v>
      </c>
    </row>
    <row r="16" spans="1:9">
      <c r="A16" s="443">
        <v>10</v>
      </c>
      <c r="B16" s="449" t="s">
        <v>705</v>
      </c>
      <c r="C16" s="585">
        <v>33937.97</v>
      </c>
      <c r="D16" s="585">
        <v>1872550.4871239997</v>
      </c>
      <c r="E16" s="585">
        <v>10181.390324</v>
      </c>
      <c r="F16" s="585">
        <v>37273.960418000002</v>
      </c>
      <c r="G16" s="585">
        <v>0</v>
      </c>
      <c r="H16" s="585">
        <v>0</v>
      </c>
      <c r="I16" s="588">
        <f t="shared" si="0"/>
        <v>1859033.1063819998</v>
      </c>
    </row>
    <row r="17" spans="1:9">
      <c r="A17" s="443">
        <v>11</v>
      </c>
      <c r="B17" s="449" t="s">
        <v>706</v>
      </c>
      <c r="C17" s="585">
        <v>0</v>
      </c>
      <c r="D17" s="585">
        <v>1115478.27749</v>
      </c>
      <c r="E17" s="585">
        <v>0</v>
      </c>
      <c r="F17" s="585">
        <v>22259.792256000001</v>
      </c>
      <c r="G17" s="585">
        <v>0</v>
      </c>
      <c r="H17" s="585">
        <v>0</v>
      </c>
      <c r="I17" s="588">
        <f t="shared" si="0"/>
        <v>1093218.485234</v>
      </c>
    </row>
    <row r="18" spans="1:9">
      <c r="A18" s="443">
        <v>12</v>
      </c>
      <c r="B18" s="449" t="s">
        <v>707</v>
      </c>
      <c r="C18" s="585">
        <v>21202926.460000005</v>
      </c>
      <c r="D18" s="585">
        <v>7548230.9383399999</v>
      </c>
      <c r="E18" s="585">
        <v>6544287.0120719997</v>
      </c>
      <c r="F18" s="585">
        <v>127377.68981000001</v>
      </c>
      <c r="G18" s="585">
        <v>0</v>
      </c>
      <c r="H18" s="585">
        <v>0</v>
      </c>
      <c r="I18" s="588">
        <f t="shared" si="0"/>
        <v>22079492.696458004</v>
      </c>
    </row>
    <row r="19" spans="1:9">
      <c r="A19" s="443">
        <v>13</v>
      </c>
      <c r="B19" s="449" t="s">
        <v>708</v>
      </c>
      <c r="C19" s="585">
        <v>4895643.3900000006</v>
      </c>
      <c r="D19" s="585">
        <v>16231284.596319998</v>
      </c>
      <c r="E19" s="585">
        <v>1931666.1397760001</v>
      </c>
      <c r="F19" s="585">
        <v>323251.69686600007</v>
      </c>
      <c r="G19" s="585">
        <v>0</v>
      </c>
      <c r="H19" s="585">
        <v>0</v>
      </c>
      <c r="I19" s="588">
        <f t="shared" si="0"/>
        <v>18872010.149677999</v>
      </c>
    </row>
    <row r="20" spans="1:9">
      <c r="A20" s="443">
        <v>14</v>
      </c>
      <c r="B20" s="449" t="s">
        <v>709</v>
      </c>
      <c r="C20" s="585">
        <v>16997157.229999997</v>
      </c>
      <c r="D20" s="585">
        <v>22248920.565865997</v>
      </c>
      <c r="E20" s="585">
        <v>6587154.1840310004</v>
      </c>
      <c r="F20" s="585">
        <v>386232.86665499996</v>
      </c>
      <c r="G20" s="585">
        <v>0</v>
      </c>
      <c r="H20" s="585">
        <v>0</v>
      </c>
      <c r="I20" s="588">
        <f t="shared" si="0"/>
        <v>32272690.745179996</v>
      </c>
    </row>
    <row r="21" spans="1:9">
      <c r="A21" s="443">
        <v>15</v>
      </c>
      <c r="B21" s="449" t="s">
        <v>710</v>
      </c>
      <c r="C21" s="585">
        <v>617575.40999999992</v>
      </c>
      <c r="D21" s="585">
        <v>29579.09</v>
      </c>
      <c r="E21" s="585">
        <v>185272.62488100003</v>
      </c>
      <c r="F21" s="585">
        <v>587.23779999999999</v>
      </c>
      <c r="G21" s="585">
        <v>0</v>
      </c>
      <c r="H21" s="585">
        <v>0</v>
      </c>
      <c r="I21" s="588">
        <f t="shared" si="0"/>
        <v>461294.63731899986</v>
      </c>
    </row>
    <row r="22" spans="1:9">
      <c r="A22" s="443">
        <v>16</v>
      </c>
      <c r="B22" s="449" t="s">
        <v>711</v>
      </c>
      <c r="C22" s="585">
        <v>66883.08</v>
      </c>
      <c r="D22" s="585">
        <v>49553162.648975998</v>
      </c>
      <c r="E22" s="585">
        <v>33441.538399999998</v>
      </c>
      <c r="F22" s="585">
        <v>907158.94944600004</v>
      </c>
      <c r="G22" s="585">
        <v>0</v>
      </c>
      <c r="H22" s="585">
        <v>0</v>
      </c>
      <c r="I22" s="588">
        <f t="shared" si="0"/>
        <v>48679445.241129994</v>
      </c>
    </row>
    <row r="23" spans="1:9">
      <c r="A23" s="443">
        <v>17</v>
      </c>
      <c r="B23" s="449" t="s">
        <v>712</v>
      </c>
      <c r="C23" s="585">
        <v>0</v>
      </c>
      <c r="D23" s="585">
        <v>16766146.389567997</v>
      </c>
      <c r="E23" s="585">
        <v>390053.46886099997</v>
      </c>
      <c r="F23" s="585">
        <v>255610.09468399998</v>
      </c>
      <c r="G23" s="585">
        <v>0</v>
      </c>
      <c r="H23" s="585">
        <v>0</v>
      </c>
      <c r="I23" s="588">
        <f t="shared" si="0"/>
        <v>16120482.826022997</v>
      </c>
    </row>
    <row r="24" spans="1:9">
      <c r="A24" s="443">
        <v>18</v>
      </c>
      <c r="B24" s="449" t="s">
        <v>713</v>
      </c>
      <c r="C24" s="585">
        <v>1899584</v>
      </c>
      <c r="D24" s="585">
        <v>1370763.9738400001</v>
      </c>
      <c r="E24" s="585">
        <v>1186907.8109569999</v>
      </c>
      <c r="F24" s="585">
        <v>3975.313306</v>
      </c>
      <c r="G24" s="585">
        <v>0</v>
      </c>
      <c r="H24" s="585">
        <v>0</v>
      </c>
      <c r="I24" s="588">
        <f t="shared" si="0"/>
        <v>2079464.8495770001</v>
      </c>
    </row>
    <row r="25" spans="1:9">
      <c r="A25" s="443">
        <v>19</v>
      </c>
      <c r="B25" s="449" t="s">
        <v>714</v>
      </c>
      <c r="C25" s="585">
        <v>0</v>
      </c>
      <c r="D25" s="585">
        <v>21622311.274</v>
      </c>
      <c r="E25" s="585">
        <v>2018278.8711550001</v>
      </c>
      <c r="F25" s="585">
        <v>28349.702834000007</v>
      </c>
      <c r="G25" s="585">
        <v>0</v>
      </c>
      <c r="H25" s="585">
        <v>0</v>
      </c>
      <c r="I25" s="588">
        <f t="shared" si="0"/>
        <v>19575682.700011</v>
      </c>
    </row>
    <row r="26" spans="1:9">
      <c r="A26" s="443">
        <v>20</v>
      </c>
      <c r="B26" s="449" t="s">
        <v>715</v>
      </c>
      <c r="C26" s="585">
        <v>0</v>
      </c>
      <c r="D26" s="585">
        <v>34381777.628530003</v>
      </c>
      <c r="E26" s="585">
        <v>38896.993382000001</v>
      </c>
      <c r="F26" s="585">
        <v>677420.68548800005</v>
      </c>
      <c r="G26" s="585">
        <v>0</v>
      </c>
      <c r="H26" s="585">
        <v>0</v>
      </c>
      <c r="I26" s="588">
        <f t="shared" si="0"/>
        <v>33665459.949660003</v>
      </c>
    </row>
    <row r="27" spans="1:9">
      <c r="A27" s="443">
        <v>21</v>
      </c>
      <c r="B27" s="449" t="s">
        <v>716</v>
      </c>
      <c r="C27" s="585">
        <v>0</v>
      </c>
      <c r="D27" s="585">
        <v>2210508.5637700004</v>
      </c>
      <c r="E27" s="585">
        <v>0</v>
      </c>
      <c r="F27" s="585">
        <v>44063.343945999994</v>
      </c>
      <c r="G27" s="585">
        <v>0</v>
      </c>
      <c r="H27" s="585">
        <v>0</v>
      </c>
      <c r="I27" s="588">
        <f t="shared" si="0"/>
        <v>2166445.2198240003</v>
      </c>
    </row>
    <row r="28" spans="1:9">
      <c r="A28" s="443">
        <v>22</v>
      </c>
      <c r="B28" s="449" t="s">
        <v>717</v>
      </c>
      <c r="C28" s="585">
        <v>8757051.6699999999</v>
      </c>
      <c r="D28" s="585">
        <v>34637446.518703997</v>
      </c>
      <c r="E28" s="585">
        <v>8357924.0296380008</v>
      </c>
      <c r="F28" s="585">
        <v>12464.216804</v>
      </c>
      <c r="G28" s="585">
        <v>0</v>
      </c>
      <c r="H28" s="585">
        <v>0</v>
      </c>
      <c r="I28" s="588">
        <f t="shared" si="0"/>
        <v>35024109.942262001</v>
      </c>
    </row>
    <row r="29" spans="1:9">
      <c r="A29" s="443">
        <v>23</v>
      </c>
      <c r="B29" s="449" t="s">
        <v>718</v>
      </c>
      <c r="C29" s="585">
        <v>9435745.9000000004</v>
      </c>
      <c r="D29" s="585">
        <v>63987508.691903979</v>
      </c>
      <c r="E29" s="585">
        <v>4676636.3097989988</v>
      </c>
      <c r="F29" s="585">
        <v>1261287.23459</v>
      </c>
      <c r="G29" s="585">
        <v>0</v>
      </c>
      <c r="H29" s="585">
        <v>0</v>
      </c>
      <c r="I29" s="588">
        <f t="shared" si="0"/>
        <v>67485331.04751499</v>
      </c>
    </row>
    <row r="30" spans="1:9">
      <c r="A30" s="443">
        <v>24</v>
      </c>
      <c r="B30" s="449" t="s">
        <v>719</v>
      </c>
      <c r="C30" s="585">
        <v>12812986.34</v>
      </c>
      <c r="D30" s="585">
        <v>34452749.610016003</v>
      </c>
      <c r="E30" s="585">
        <v>8066212.3579960009</v>
      </c>
      <c r="F30" s="585">
        <v>496257.67789600015</v>
      </c>
      <c r="G30" s="585">
        <v>0</v>
      </c>
      <c r="H30" s="585">
        <v>0</v>
      </c>
      <c r="I30" s="588">
        <f t="shared" si="0"/>
        <v>38703265.914124005</v>
      </c>
    </row>
    <row r="31" spans="1:9">
      <c r="A31" s="443">
        <v>25</v>
      </c>
      <c r="B31" s="449" t="s">
        <v>720</v>
      </c>
      <c r="C31" s="585">
        <v>2950013.3937999997</v>
      </c>
      <c r="D31" s="585">
        <v>31376284.583325986</v>
      </c>
      <c r="E31" s="585">
        <v>1340385.6836529996</v>
      </c>
      <c r="F31" s="585">
        <v>500794.41623099986</v>
      </c>
      <c r="G31" s="585">
        <v>0</v>
      </c>
      <c r="H31" s="585">
        <v>0</v>
      </c>
      <c r="I31" s="588">
        <f t="shared" si="0"/>
        <v>32485117.877241988</v>
      </c>
    </row>
    <row r="32" spans="1:9">
      <c r="A32" s="443">
        <v>26</v>
      </c>
      <c r="B32" s="449" t="s">
        <v>721</v>
      </c>
      <c r="C32" s="585">
        <v>15202.257500000002</v>
      </c>
      <c r="D32" s="585">
        <v>1449103.7372040006</v>
      </c>
      <c r="E32" s="585">
        <v>9141.9232499999998</v>
      </c>
      <c r="F32" s="585">
        <v>21837.056148</v>
      </c>
      <c r="G32" s="585">
        <v>0</v>
      </c>
      <c r="H32" s="585">
        <v>0</v>
      </c>
      <c r="I32" s="588">
        <f t="shared" si="0"/>
        <v>1433327.0153060006</v>
      </c>
    </row>
    <row r="33" spans="1:9">
      <c r="A33" s="443">
        <v>27</v>
      </c>
      <c r="B33" s="443" t="s">
        <v>165</v>
      </c>
      <c r="C33" s="585">
        <v>64789034</v>
      </c>
      <c r="D33" s="585">
        <v>94518104.484367996</v>
      </c>
      <c r="E33" s="585">
        <v>34607037</v>
      </c>
      <c r="F33" s="585">
        <v>1140</v>
      </c>
      <c r="G33" s="585">
        <v>8272882.8499999996</v>
      </c>
      <c r="H33" s="585">
        <v>297911.61</v>
      </c>
      <c r="I33" s="588">
        <f t="shared" si="0"/>
        <v>116426078.634368</v>
      </c>
    </row>
    <row r="34" spans="1:9">
      <c r="A34" s="443">
        <v>28</v>
      </c>
      <c r="B34" s="435" t="s">
        <v>68</v>
      </c>
      <c r="C34" s="586">
        <f>SUM(C7:C33)</f>
        <v>285019974.05129993</v>
      </c>
      <c r="D34" s="586">
        <f t="shared" ref="D34:H34" si="1">SUM(D7:D33)</f>
        <v>1376026467.4977245</v>
      </c>
      <c r="E34" s="586">
        <f t="shared" si="1"/>
        <v>148642644.11323699</v>
      </c>
      <c r="F34" s="586">
        <f t="shared" si="1"/>
        <v>9620013.0772940032</v>
      </c>
      <c r="G34" s="586">
        <f t="shared" si="1"/>
        <v>8272882.8499999996</v>
      </c>
      <c r="H34" s="586">
        <f t="shared" si="1"/>
        <v>297911.61</v>
      </c>
      <c r="I34" s="588">
        <f t="shared" si="0"/>
        <v>1494510901.5084937</v>
      </c>
    </row>
    <row r="36" spans="1:9">
      <c r="B36" s="450"/>
      <c r="C36" s="685"/>
      <c r="D36" s="685"/>
      <c r="E36" s="685"/>
      <c r="F36" s="685"/>
      <c r="G36" s="685"/>
      <c r="H36" s="685"/>
      <c r="I36" s="685"/>
    </row>
    <row r="37" spans="1:9">
      <c r="C37" s="685"/>
      <c r="D37" s="685"/>
      <c r="E37" s="685"/>
      <c r="F37" s="685"/>
      <c r="G37" s="685"/>
      <c r="H37" s="685"/>
      <c r="I37" s="685"/>
    </row>
    <row r="38" spans="1:9">
      <c r="C38" s="685"/>
      <c r="D38" s="685"/>
      <c r="E38" s="685"/>
      <c r="F38" s="685"/>
      <c r="G38" s="685"/>
      <c r="H38" s="685"/>
      <c r="I38" s="685"/>
    </row>
    <row r="39" spans="1:9">
      <c r="C39" s="685"/>
      <c r="D39" s="685"/>
      <c r="E39" s="685"/>
      <c r="F39" s="685"/>
      <c r="G39" s="685"/>
      <c r="H39" s="685"/>
      <c r="I39" s="685"/>
    </row>
    <row r="40" spans="1:9">
      <c r="C40" s="685"/>
      <c r="D40" s="685"/>
      <c r="E40" s="685"/>
      <c r="F40" s="685"/>
      <c r="G40" s="685"/>
      <c r="H40" s="685"/>
      <c r="I40" s="685"/>
    </row>
    <row r="41" spans="1:9">
      <c r="C41" s="685"/>
      <c r="D41" s="685"/>
      <c r="E41" s="685"/>
      <c r="F41" s="685"/>
      <c r="G41" s="685"/>
      <c r="H41" s="685"/>
      <c r="I41" s="685"/>
    </row>
    <row r="42" spans="1:9">
      <c r="A42" s="446"/>
      <c r="B42" s="446"/>
      <c r="C42" s="685"/>
      <c r="D42" s="685"/>
      <c r="E42" s="685"/>
      <c r="F42" s="685"/>
      <c r="G42" s="685"/>
      <c r="H42" s="685"/>
      <c r="I42" s="685"/>
    </row>
    <row r="43" spans="1:9">
      <c r="A43" s="446"/>
      <c r="B43" s="446"/>
      <c r="C43" s="685"/>
      <c r="D43" s="685"/>
      <c r="E43" s="685"/>
      <c r="F43" s="685"/>
      <c r="G43" s="685"/>
      <c r="H43" s="685"/>
      <c r="I43" s="685"/>
    </row>
    <row r="44" spans="1:9">
      <c r="C44" s="685"/>
      <c r="D44" s="685"/>
      <c r="E44" s="685"/>
      <c r="F44" s="685"/>
      <c r="G44" s="685"/>
      <c r="H44" s="685"/>
      <c r="I44" s="685"/>
    </row>
    <row r="45" spans="1:9">
      <c r="C45" s="685"/>
      <c r="D45" s="685"/>
      <c r="E45" s="685"/>
      <c r="F45" s="685"/>
      <c r="G45" s="685"/>
      <c r="H45" s="685"/>
      <c r="I45" s="685"/>
    </row>
    <row r="46" spans="1:9">
      <c r="C46" s="685"/>
      <c r="D46" s="685"/>
      <c r="E46" s="685"/>
      <c r="F46" s="685"/>
      <c r="G46" s="685"/>
      <c r="H46" s="685"/>
      <c r="I46" s="685"/>
    </row>
    <row r="47" spans="1:9">
      <c r="C47" s="685"/>
      <c r="D47" s="685"/>
      <c r="E47" s="685"/>
      <c r="F47" s="685"/>
      <c r="G47" s="685"/>
      <c r="H47" s="685"/>
      <c r="I47" s="685"/>
    </row>
    <row r="48" spans="1:9">
      <c r="C48" s="685"/>
      <c r="D48" s="685"/>
      <c r="E48" s="685"/>
      <c r="F48" s="685"/>
      <c r="G48" s="685"/>
      <c r="H48" s="685"/>
      <c r="I48" s="685"/>
    </row>
    <row r="49" spans="3:9">
      <c r="C49" s="685"/>
      <c r="D49" s="685"/>
      <c r="E49" s="685"/>
      <c r="F49" s="685"/>
      <c r="G49" s="685"/>
      <c r="H49" s="685"/>
      <c r="I49" s="685"/>
    </row>
    <row r="50" spans="3:9">
      <c r="C50" s="685"/>
      <c r="D50" s="685"/>
      <c r="E50" s="685"/>
      <c r="F50" s="685"/>
      <c r="G50" s="685"/>
      <c r="H50" s="685"/>
      <c r="I50" s="685"/>
    </row>
    <row r="51" spans="3:9">
      <c r="C51" s="685"/>
      <c r="D51" s="685"/>
      <c r="E51" s="685"/>
      <c r="F51" s="685"/>
      <c r="G51" s="685"/>
      <c r="H51" s="685"/>
      <c r="I51" s="685"/>
    </row>
    <row r="52" spans="3:9">
      <c r="C52" s="685"/>
      <c r="D52" s="685"/>
      <c r="E52" s="685"/>
      <c r="F52" s="685"/>
      <c r="G52" s="685"/>
      <c r="H52" s="685"/>
      <c r="I52" s="685"/>
    </row>
    <row r="53" spans="3:9">
      <c r="C53" s="685"/>
      <c r="D53" s="685"/>
      <c r="E53" s="685"/>
      <c r="F53" s="685"/>
      <c r="G53" s="685"/>
      <c r="H53" s="685"/>
      <c r="I53" s="685"/>
    </row>
    <row r="54" spans="3:9">
      <c r="C54" s="685"/>
      <c r="D54" s="685"/>
      <c r="E54" s="685"/>
      <c r="F54" s="685"/>
      <c r="G54" s="685"/>
      <c r="H54" s="685"/>
      <c r="I54" s="685"/>
    </row>
    <row r="55" spans="3:9">
      <c r="C55" s="685"/>
      <c r="D55" s="685"/>
      <c r="E55" s="685"/>
      <c r="F55" s="685"/>
      <c r="G55" s="685"/>
      <c r="H55" s="685"/>
      <c r="I55" s="685"/>
    </row>
    <row r="56" spans="3:9">
      <c r="C56" s="685"/>
      <c r="D56" s="685"/>
      <c r="E56" s="685"/>
      <c r="F56" s="685"/>
      <c r="G56" s="685"/>
      <c r="H56" s="685"/>
      <c r="I56" s="685"/>
    </row>
    <row r="57" spans="3:9">
      <c r="C57" s="685"/>
      <c r="D57" s="685"/>
      <c r="E57" s="685"/>
      <c r="F57" s="685"/>
      <c r="G57" s="685"/>
      <c r="H57" s="685"/>
      <c r="I57" s="685"/>
    </row>
    <row r="58" spans="3:9">
      <c r="C58" s="685"/>
      <c r="D58" s="685"/>
      <c r="E58" s="685"/>
      <c r="F58" s="685"/>
      <c r="G58" s="685"/>
      <c r="H58" s="685"/>
      <c r="I58" s="685"/>
    </row>
    <row r="59" spans="3:9">
      <c r="C59" s="685"/>
      <c r="D59" s="685"/>
      <c r="E59" s="685"/>
      <c r="F59" s="685"/>
      <c r="G59" s="685"/>
      <c r="H59" s="685"/>
      <c r="I59" s="685"/>
    </row>
    <row r="60" spans="3:9">
      <c r="C60" s="685"/>
      <c r="D60" s="685"/>
      <c r="E60" s="685"/>
      <c r="F60" s="685"/>
      <c r="G60" s="685"/>
      <c r="H60" s="685"/>
      <c r="I60" s="685"/>
    </row>
    <row r="61" spans="3:9">
      <c r="C61" s="685"/>
      <c r="D61" s="685"/>
      <c r="E61" s="685"/>
      <c r="F61" s="685"/>
      <c r="G61" s="685"/>
      <c r="H61" s="685"/>
      <c r="I61" s="685"/>
    </row>
    <row r="62" spans="3:9">
      <c r="C62" s="685"/>
      <c r="D62" s="685"/>
      <c r="E62" s="685"/>
      <c r="F62" s="685"/>
      <c r="G62" s="685"/>
      <c r="H62" s="685"/>
      <c r="I62" s="685"/>
    </row>
    <row r="63" spans="3:9">
      <c r="C63" s="685"/>
      <c r="D63" s="685"/>
      <c r="E63" s="685"/>
      <c r="F63" s="685"/>
      <c r="G63" s="685"/>
      <c r="H63" s="685"/>
      <c r="I63" s="685"/>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2" sqref="B2"/>
    </sheetView>
  </sheetViews>
  <sheetFormatPr defaultColWidth="9.28515625" defaultRowHeight="12.75"/>
  <cols>
    <col min="1" max="1" width="11.7109375" style="429" bestFit="1" customWidth="1"/>
    <col min="2" max="2" width="108" style="429" bestFit="1" customWidth="1"/>
    <col min="3" max="3" width="35.5703125" style="429" customWidth="1"/>
    <col min="4" max="4" width="38.42578125" style="429" customWidth="1"/>
    <col min="5" max="16384" width="9.28515625" style="429"/>
  </cols>
  <sheetData>
    <row r="1" spans="1:4">
      <c r="A1" s="428" t="s">
        <v>188</v>
      </c>
      <c r="B1" s="587" t="str">
        <f>'1. key ratios'!B1</f>
        <v>სს "ბანკი ქართუ"</v>
      </c>
    </row>
    <row r="2" spans="1:4">
      <c r="A2" s="428" t="s">
        <v>189</v>
      </c>
      <c r="B2" s="686">
        <f>'1. key ratios'!B2</f>
        <v>44834</v>
      </c>
    </row>
    <row r="3" spans="1:4">
      <c r="A3" s="430" t="s">
        <v>722</v>
      </c>
      <c r="B3" s="431"/>
    </row>
    <row r="5" spans="1:4" ht="51">
      <c r="A5" s="757" t="s">
        <v>723</v>
      </c>
      <c r="B5" s="757"/>
      <c r="C5" s="432" t="s">
        <v>724</v>
      </c>
      <c r="D5" s="432" t="s">
        <v>725</v>
      </c>
    </row>
    <row r="6" spans="1:4">
      <c r="A6" s="451">
        <v>1</v>
      </c>
      <c r="B6" s="452" t="s">
        <v>726</v>
      </c>
      <c r="C6" s="586">
        <v>136006166</v>
      </c>
      <c r="D6" s="586">
        <v>60000</v>
      </c>
    </row>
    <row r="7" spans="1:4">
      <c r="A7" s="453">
        <v>2</v>
      </c>
      <c r="B7" s="452" t="s">
        <v>727</v>
      </c>
      <c r="C7" s="586">
        <f>SUM(C8:C11)</f>
        <v>9826262.9177717678</v>
      </c>
      <c r="D7" s="585">
        <f>SUM(D8:D11)</f>
        <v>0</v>
      </c>
    </row>
    <row r="8" spans="1:4">
      <c r="A8" s="453">
        <v>2.1</v>
      </c>
      <c r="B8" s="454" t="s">
        <v>728</v>
      </c>
      <c r="C8" s="585">
        <v>6035230.208842108</v>
      </c>
      <c r="D8" s="585"/>
    </row>
    <row r="9" spans="1:4">
      <c r="A9" s="453">
        <v>2.2000000000000002</v>
      </c>
      <c r="B9" s="454" t="s">
        <v>729</v>
      </c>
      <c r="C9" s="585">
        <v>3791032.7089296589</v>
      </c>
      <c r="D9" s="585"/>
    </row>
    <row r="10" spans="1:4">
      <c r="A10" s="453">
        <v>2.2999999999999998</v>
      </c>
      <c r="B10" s="454" t="s">
        <v>730</v>
      </c>
      <c r="C10" s="585">
        <v>1.4624920632172467E-11</v>
      </c>
      <c r="D10" s="585"/>
    </row>
    <row r="11" spans="1:4">
      <c r="A11" s="453">
        <v>2.4</v>
      </c>
      <c r="B11" s="454" t="s">
        <v>731</v>
      </c>
      <c r="C11" s="585">
        <v>0</v>
      </c>
      <c r="D11" s="585"/>
    </row>
    <row r="12" spans="1:4">
      <c r="A12" s="451">
        <v>3</v>
      </c>
      <c r="B12" s="452" t="s">
        <v>732</v>
      </c>
      <c r="C12" s="586">
        <f>SUM(C13:C18)</f>
        <v>22237942.811534036</v>
      </c>
      <c r="D12" s="585">
        <f>SUM(D13:D18)</f>
        <v>0</v>
      </c>
    </row>
    <row r="13" spans="1:4">
      <c r="A13" s="453">
        <v>3.1</v>
      </c>
      <c r="B13" s="454" t="s">
        <v>733</v>
      </c>
      <c r="C13" s="585">
        <v>0</v>
      </c>
      <c r="D13" s="585"/>
    </row>
    <row r="14" spans="1:4">
      <c r="A14" s="453">
        <v>3.2</v>
      </c>
      <c r="B14" s="454" t="s">
        <v>734</v>
      </c>
      <c r="C14" s="585">
        <v>2109881.5521016875</v>
      </c>
      <c r="D14" s="585"/>
    </row>
    <row r="15" spans="1:4">
      <c r="A15" s="453">
        <v>3.3</v>
      </c>
      <c r="B15" s="454" t="s">
        <v>735</v>
      </c>
      <c r="C15" s="585">
        <v>16285819.74755639</v>
      </c>
      <c r="D15" s="585"/>
    </row>
    <row r="16" spans="1:4">
      <c r="A16" s="453">
        <v>3.4</v>
      </c>
      <c r="B16" s="454" t="s">
        <v>736</v>
      </c>
      <c r="C16" s="585">
        <v>950167.06885345536</v>
      </c>
      <c r="D16" s="585"/>
    </row>
    <row r="17" spans="1:4">
      <c r="A17" s="453">
        <v>3.5</v>
      </c>
      <c r="B17" s="454" t="s">
        <v>737</v>
      </c>
      <c r="C17" s="585">
        <v>2892074.4430225021</v>
      </c>
      <c r="D17" s="585">
        <v>0</v>
      </c>
    </row>
    <row r="18" spans="1:4">
      <c r="A18" s="453">
        <v>3.6</v>
      </c>
      <c r="B18" s="454" t="s">
        <v>738</v>
      </c>
      <c r="C18" s="585">
        <v>0</v>
      </c>
      <c r="D18" s="585"/>
    </row>
    <row r="19" spans="1:4">
      <c r="A19" s="455">
        <v>4</v>
      </c>
      <c r="B19" s="452" t="s">
        <v>739</v>
      </c>
      <c r="C19" s="586">
        <f>C6+C7-C12</f>
        <v>123594486.10623772</v>
      </c>
      <c r="D19" s="586">
        <f>D6+D7-D12</f>
        <v>60000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B2" sqref="B2"/>
    </sheetView>
  </sheetViews>
  <sheetFormatPr defaultColWidth="9.28515625" defaultRowHeight="12.75"/>
  <cols>
    <col min="1" max="1" width="11.7109375" style="429" bestFit="1" customWidth="1"/>
    <col min="2" max="2" width="124.7109375" style="429" customWidth="1"/>
    <col min="3" max="3" width="21.5703125" style="429" customWidth="1"/>
    <col min="4" max="4" width="49.28515625" style="429" customWidth="1"/>
    <col min="5" max="16384" width="9.28515625" style="429"/>
  </cols>
  <sheetData>
    <row r="1" spans="1:4">
      <c r="A1" s="428" t="s">
        <v>188</v>
      </c>
      <c r="B1" s="587" t="str">
        <f>'1. key ratios'!B1</f>
        <v>სს "ბანკი ქართუ"</v>
      </c>
    </row>
    <row r="2" spans="1:4">
      <c r="A2" s="428" t="s">
        <v>189</v>
      </c>
      <c r="B2" s="686">
        <f>'1. key ratios'!B2</f>
        <v>44834</v>
      </c>
    </row>
    <row r="3" spans="1:4">
      <c r="A3" s="430" t="s">
        <v>740</v>
      </c>
      <c r="B3" s="431"/>
    </row>
    <row r="4" spans="1:4">
      <c r="A4" s="430"/>
    </row>
    <row r="5" spans="1:4" ht="15" customHeight="1">
      <c r="A5" s="758" t="s">
        <v>741</v>
      </c>
      <c r="B5" s="759"/>
      <c r="C5" s="748" t="s">
        <v>742</v>
      </c>
      <c r="D5" s="762" t="s">
        <v>743</v>
      </c>
    </row>
    <row r="6" spans="1:4" ht="22.5" customHeight="1">
      <c r="A6" s="760"/>
      <c r="B6" s="761"/>
      <c r="C6" s="751"/>
      <c r="D6" s="762"/>
    </row>
    <row r="7" spans="1:4">
      <c r="A7" s="435">
        <v>1</v>
      </c>
      <c r="B7" s="435" t="s">
        <v>744</v>
      </c>
      <c r="C7" s="586">
        <v>251626085.21869999</v>
      </c>
      <c r="D7" s="589"/>
    </row>
    <row r="8" spans="1:4">
      <c r="A8" s="443">
        <v>2</v>
      </c>
      <c r="B8" s="443" t="s">
        <v>745</v>
      </c>
      <c r="C8" s="585">
        <v>9197402.919241311</v>
      </c>
      <c r="D8" s="589"/>
    </row>
    <row r="9" spans="1:4">
      <c r="A9" s="443">
        <v>3</v>
      </c>
      <c r="B9" s="456" t="s">
        <v>746</v>
      </c>
      <c r="C9" s="585">
        <v>0</v>
      </c>
      <c r="D9" s="589"/>
    </row>
    <row r="10" spans="1:4">
      <c r="A10" s="443">
        <v>4</v>
      </c>
      <c r="B10" s="443" t="s">
        <v>747</v>
      </c>
      <c r="C10" s="585">
        <f>SUM(C11:C18)</f>
        <v>40666136.22664132</v>
      </c>
      <c r="D10" s="589"/>
    </row>
    <row r="11" spans="1:4">
      <c r="A11" s="443">
        <v>5</v>
      </c>
      <c r="B11" s="457" t="s">
        <v>748</v>
      </c>
      <c r="C11" s="585">
        <v>0</v>
      </c>
      <c r="D11" s="589"/>
    </row>
    <row r="12" spans="1:4">
      <c r="A12" s="443">
        <v>6</v>
      </c>
      <c r="B12" s="457" t="s">
        <v>749</v>
      </c>
      <c r="C12" s="585">
        <v>3952613.7399999998</v>
      </c>
      <c r="D12" s="589"/>
    </row>
    <row r="13" spans="1:4">
      <c r="A13" s="443">
        <v>7</v>
      </c>
      <c r="B13" s="457" t="s">
        <v>750</v>
      </c>
      <c r="C13" s="585">
        <v>13328602.912837906</v>
      </c>
      <c r="D13" s="589"/>
    </row>
    <row r="14" spans="1:4">
      <c r="A14" s="443">
        <v>8</v>
      </c>
      <c r="B14" s="457" t="s">
        <v>751</v>
      </c>
      <c r="C14" s="585">
        <v>18067292.594608001</v>
      </c>
      <c r="D14" s="585">
        <v>30214679</v>
      </c>
    </row>
    <row r="15" spans="1:4">
      <c r="A15" s="443">
        <v>9</v>
      </c>
      <c r="B15" s="457" t="s">
        <v>752</v>
      </c>
      <c r="C15" s="585">
        <v>0</v>
      </c>
      <c r="D15" s="585"/>
    </row>
    <row r="16" spans="1:4">
      <c r="A16" s="443">
        <v>10</v>
      </c>
      <c r="B16" s="457" t="s">
        <v>753</v>
      </c>
      <c r="C16" s="585">
        <v>0</v>
      </c>
      <c r="D16" s="589"/>
    </row>
    <row r="17" spans="1:4">
      <c r="A17" s="443">
        <v>11</v>
      </c>
      <c r="B17" s="457" t="s">
        <v>754</v>
      </c>
      <c r="C17" s="585">
        <v>0</v>
      </c>
      <c r="D17" s="585"/>
    </row>
    <row r="18" spans="1:4" ht="25.5">
      <c r="A18" s="443">
        <v>12</v>
      </c>
      <c r="B18" s="457" t="s">
        <v>755</v>
      </c>
      <c r="C18" s="585">
        <v>5317626.9791954057</v>
      </c>
      <c r="D18" s="589"/>
    </row>
    <row r="19" spans="1:4">
      <c r="A19" s="435">
        <v>13</v>
      </c>
      <c r="B19" s="458" t="s">
        <v>756</v>
      </c>
      <c r="C19" s="586">
        <f>C7+C8+C9-C10</f>
        <v>220157351.91129997</v>
      </c>
      <c r="D19" s="590"/>
    </row>
    <row r="22" spans="1:4">
      <c r="B22" s="428"/>
    </row>
    <row r="23" spans="1:4">
      <c r="B23" s="428"/>
    </row>
    <row r="24" spans="1:4">
      <c r="B24" s="43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429" bestFit="1" customWidth="1"/>
    <col min="2" max="2" width="80.7109375" style="429" customWidth="1"/>
    <col min="3" max="3" width="15.5703125" style="429" customWidth="1"/>
    <col min="4" max="5" width="22.28515625" style="429" customWidth="1"/>
    <col min="6" max="6" width="23.42578125" style="429" customWidth="1"/>
    <col min="7" max="14" width="22.28515625" style="429" customWidth="1"/>
    <col min="15" max="15" width="23.28515625" style="429" bestFit="1" customWidth="1"/>
    <col min="16" max="16" width="21.85546875" style="429" bestFit="1" customWidth="1"/>
    <col min="17" max="19" width="19.140625" style="429" bestFit="1" customWidth="1"/>
    <col min="20" max="20" width="16.28515625" style="429" customWidth="1"/>
    <col min="21" max="21" width="13.28515625" style="429" bestFit="1" customWidth="1"/>
    <col min="22" max="22" width="20" style="429" customWidth="1"/>
    <col min="23" max="16384" width="9.28515625" style="429"/>
  </cols>
  <sheetData>
    <row r="1" spans="1:22">
      <c r="A1" s="428" t="s">
        <v>188</v>
      </c>
      <c r="B1" s="587" t="str">
        <f>'1. key ratios'!B1</f>
        <v>სს "ბანკი ქართუ"</v>
      </c>
    </row>
    <row r="2" spans="1:22">
      <c r="A2" s="428" t="s">
        <v>189</v>
      </c>
      <c r="B2" s="687">
        <f>'1. key ratios'!B2</f>
        <v>44834</v>
      </c>
      <c r="C2" s="439"/>
    </row>
    <row r="3" spans="1:22">
      <c r="A3" s="430" t="s">
        <v>757</v>
      </c>
      <c r="B3" s="431"/>
    </row>
    <row r="5" spans="1:22" ht="15" customHeight="1">
      <c r="A5" s="748" t="s">
        <v>758</v>
      </c>
      <c r="B5" s="750"/>
      <c r="C5" s="765" t="s">
        <v>759</v>
      </c>
      <c r="D5" s="766"/>
      <c r="E5" s="766"/>
      <c r="F5" s="766"/>
      <c r="G5" s="766"/>
      <c r="H5" s="766"/>
      <c r="I5" s="766"/>
      <c r="J5" s="766"/>
      <c r="K5" s="766"/>
      <c r="L5" s="766"/>
      <c r="M5" s="766"/>
      <c r="N5" s="766"/>
      <c r="O5" s="766"/>
      <c r="P5" s="766"/>
      <c r="Q5" s="766"/>
      <c r="R5" s="766"/>
      <c r="S5" s="766"/>
      <c r="T5" s="766"/>
      <c r="U5" s="767"/>
      <c r="V5" s="459"/>
    </row>
    <row r="6" spans="1:22">
      <c r="A6" s="763"/>
      <c r="B6" s="764"/>
      <c r="C6" s="768" t="s">
        <v>68</v>
      </c>
      <c r="D6" s="770" t="s">
        <v>760</v>
      </c>
      <c r="E6" s="770"/>
      <c r="F6" s="755"/>
      <c r="G6" s="771" t="s">
        <v>761</v>
      </c>
      <c r="H6" s="772"/>
      <c r="I6" s="772"/>
      <c r="J6" s="772"/>
      <c r="K6" s="773"/>
      <c r="L6" s="460"/>
      <c r="M6" s="774" t="s">
        <v>762</v>
      </c>
      <c r="N6" s="774"/>
      <c r="O6" s="755"/>
      <c r="P6" s="755"/>
      <c r="Q6" s="755"/>
      <c r="R6" s="755"/>
      <c r="S6" s="755"/>
      <c r="T6" s="755"/>
      <c r="U6" s="755"/>
      <c r="V6" s="460"/>
    </row>
    <row r="7" spans="1:22" ht="25.5">
      <c r="A7" s="751"/>
      <c r="B7" s="753"/>
      <c r="C7" s="769"/>
      <c r="D7" s="461"/>
      <c r="E7" s="441" t="s">
        <v>763</v>
      </c>
      <c r="F7" s="441" t="s">
        <v>764</v>
      </c>
      <c r="G7" s="439"/>
      <c r="H7" s="441" t="s">
        <v>763</v>
      </c>
      <c r="I7" s="441" t="s">
        <v>790</v>
      </c>
      <c r="J7" s="441" t="s">
        <v>765</v>
      </c>
      <c r="K7" s="441" t="s">
        <v>766</v>
      </c>
      <c r="L7" s="462"/>
      <c r="M7" s="475" t="s">
        <v>767</v>
      </c>
      <c r="N7" s="441" t="s">
        <v>765</v>
      </c>
      <c r="O7" s="441" t="s">
        <v>768</v>
      </c>
      <c r="P7" s="441" t="s">
        <v>769</v>
      </c>
      <c r="Q7" s="441" t="s">
        <v>770</v>
      </c>
      <c r="R7" s="441" t="s">
        <v>771</v>
      </c>
      <c r="S7" s="441" t="s">
        <v>772</v>
      </c>
      <c r="T7" s="463" t="s">
        <v>773</v>
      </c>
      <c r="U7" s="441" t="s">
        <v>774</v>
      </c>
      <c r="V7" s="459"/>
    </row>
    <row r="8" spans="1:22">
      <c r="A8" s="464">
        <v>1</v>
      </c>
      <c r="B8" s="435" t="s">
        <v>775</v>
      </c>
      <c r="C8" s="586">
        <f>SUM(C9:C14)</f>
        <v>785513653.93990064</v>
      </c>
      <c r="D8" s="586">
        <f t="shared" ref="D8:U8" si="0">SUM(D9:D14)</f>
        <v>507696827.97859979</v>
      </c>
      <c r="E8" s="586">
        <f t="shared" si="0"/>
        <v>4203504.6399999997</v>
      </c>
      <c r="F8" s="586">
        <f t="shared" si="0"/>
        <v>80466.583399999945</v>
      </c>
      <c r="G8" s="586">
        <f t="shared" si="0"/>
        <v>57659472.209999986</v>
      </c>
      <c r="H8" s="586">
        <f t="shared" si="0"/>
        <v>1212376.1100000001</v>
      </c>
      <c r="I8" s="586">
        <f t="shared" si="0"/>
        <v>19375.45</v>
      </c>
      <c r="J8" s="586">
        <f t="shared" si="0"/>
        <v>241129.62</v>
      </c>
      <c r="K8" s="586">
        <f t="shared" si="0"/>
        <v>0</v>
      </c>
      <c r="L8" s="586">
        <f t="shared" si="0"/>
        <v>220157353.75130007</v>
      </c>
      <c r="M8" s="586">
        <f t="shared" si="0"/>
        <v>6051758.379999999</v>
      </c>
      <c r="N8" s="586">
        <f t="shared" si="0"/>
        <v>871578.11</v>
      </c>
      <c r="O8" s="586">
        <f t="shared" si="0"/>
        <v>13236511.389999999</v>
      </c>
      <c r="P8" s="586">
        <f t="shared" si="0"/>
        <v>32362443.18</v>
      </c>
      <c r="Q8" s="586">
        <f t="shared" si="0"/>
        <v>26388428.860000003</v>
      </c>
      <c r="R8" s="586">
        <f t="shared" si="0"/>
        <v>67364483.443799987</v>
      </c>
      <c r="S8" s="586">
        <f t="shared" si="0"/>
        <v>14817225.6175</v>
      </c>
      <c r="T8" s="586">
        <f t="shared" si="0"/>
        <v>9291014.7700000014</v>
      </c>
      <c r="U8" s="586">
        <f t="shared" si="0"/>
        <v>82270033.531399995</v>
      </c>
    </row>
    <row r="9" spans="1:22">
      <c r="A9" s="443">
        <v>1.1000000000000001</v>
      </c>
      <c r="B9" s="465" t="s">
        <v>776</v>
      </c>
      <c r="C9" s="591"/>
      <c r="D9" s="585"/>
      <c r="E9" s="585"/>
      <c r="F9" s="585"/>
      <c r="G9" s="585"/>
      <c r="H9" s="585"/>
      <c r="I9" s="585"/>
      <c r="J9" s="585"/>
      <c r="K9" s="585"/>
      <c r="L9" s="585"/>
      <c r="M9" s="585"/>
      <c r="N9" s="585"/>
      <c r="O9" s="585"/>
      <c r="P9" s="585"/>
      <c r="Q9" s="585"/>
      <c r="R9" s="585"/>
      <c r="S9" s="585"/>
      <c r="T9" s="585"/>
      <c r="U9" s="585"/>
    </row>
    <row r="10" spans="1:22">
      <c r="A10" s="443">
        <v>1.2</v>
      </c>
      <c r="B10" s="465" t="s">
        <v>777</v>
      </c>
      <c r="C10" s="591"/>
      <c r="D10" s="585"/>
      <c r="E10" s="585"/>
      <c r="F10" s="585"/>
      <c r="G10" s="585"/>
      <c r="H10" s="585"/>
      <c r="I10" s="585"/>
      <c r="J10" s="585"/>
      <c r="K10" s="585"/>
      <c r="L10" s="585"/>
      <c r="M10" s="585"/>
      <c r="N10" s="585"/>
      <c r="O10" s="585"/>
      <c r="P10" s="585"/>
      <c r="Q10" s="585"/>
      <c r="R10" s="585"/>
      <c r="S10" s="585"/>
      <c r="T10" s="585"/>
      <c r="U10" s="585"/>
    </row>
    <row r="11" spans="1:22">
      <c r="A11" s="443">
        <v>1.3</v>
      </c>
      <c r="B11" s="465" t="s">
        <v>778</v>
      </c>
      <c r="C11" s="591"/>
      <c r="D11" s="585"/>
      <c r="E11" s="585"/>
      <c r="F11" s="585"/>
      <c r="G11" s="585"/>
      <c r="H11" s="585"/>
      <c r="I11" s="585"/>
      <c r="J11" s="585"/>
      <c r="K11" s="585"/>
      <c r="L11" s="585"/>
      <c r="M11" s="585"/>
      <c r="N11" s="585"/>
      <c r="O11" s="585"/>
      <c r="P11" s="585"/>
      <c r="Q11" s="585"/>
      <c r="R11" s="585"/>
      <c r="S11" s="585"/>
      <c r="T11" s="585"/>
      <c r="U11" s="585"/>
    </row>
    <row r="12" spans="1:22">
      <c r="A12" s="443">
        <v>1.4</v>
      </c>
      <c r="B12" s="465" t="s">
        <v>779</v>
      </c>
      <c r="C12" s="591">
        <v>0</v>
      </c>
      <c r="D12" s="585">
        <v>0</v>
      </c>
      <c r="E12" s="585">
        <v>0</v>
      </c>
      <c r="F12" s="585">
        <v>0</v>
      </c>
      <c r="G12" s="585">
        <v>0</v>
      </c>
      <c r="H12" s="585">
        <v>0</v>
      </c>
      <c r="I12" s="585">
        <v>0</v>
      </c>
      <c r="J12" s="585">
        <v>0</v>
      </c>
      <c r="K12" s="585">
        <v>0</v>
      </c>
      <c r="L12" s="585">
        <v>0</v>
      </c>
      <c r="M12" s="585">
        <v>0</v>
      </c>
      <c r="N12" s="585">
        <v>0</v>
      </c>
      <c r="O12" s="585">
        <v>0</v>
      </c>
      <c r="P12" s="585">
        <v>0</v>
      </c>
      <c r="Q12" s="585">
        <v>0</v>
      </c>
      <c r="R12" s="585">
        <v>0</v>
      </c>
      <c r="S12" s="585">
        <v>0</v>
      </c>
      <c r="T12" s="585">
        <v>0</v>
      </c>
      <c r="U12" s="585">
        <v>0</v>
      </c>
    </row>
    <row r="13" spans="1:22">
      <c r="A13" s="443">
        <v>1.5</v>
      </c>
      <c r="B13" s="465" t="s">
        <v>780</v>
      </c>
      <c r="C13" s="591">
        <v>708890009.99370062</v>
      </c>
      <c r="D13" s="585">
        <v>456546297.25229979</v>
      </c>
      <c r="E13" s="585">
        <v>1579650.16</v>
      </c>
      <c r="F13" s="585">
        <v>14180.077600000011</v>
      </c>
      <c r="G13" s="585">
        <v>51072515.029999986</v>
      </c>
      <c r="H13" s="585">
        <v>78957.829999999987</v>
      </c>
      <c r="I13" s="585">
        <v>0</v>
      </c>
      <c r="J13" s="585">
        <v>0</v>
      </c>
      <c r="K13" s="585">
        <v>0</v>
      </c>
      <c r="L13" s="585">
        <v>201271197.71140006</v>
      </c>
      <c r="M13" s="585">
        <v>4509857.2299999995</v>
      </c>
      <c r="N13" s="585">
        <v>797946.99</v>
      </c>
      <c r="O13" s="585">
        <v>13104140.689999999</v>
      </c>
      <c r="P13" s="585">
        <v>32074028.079999998</v>
      </c>
      <c r="Q13" s="585">
        <v>24193145.730000004</v>
      </c>
      <c r="R13" s="585">
        <v>63308227.141399987</v>
      </c>
      <c r="S13" s="585">
        <v>11494657.42</v>
      </c>
      <c r="T13" s="585">
        <v>4516720.91</v>
      </c>
      <c r="U13" s="585">
        <v>80911874.881399989</v>
      </c>
    </row>
    <row r="14" spans="1:22">
      <c r="A14" s="443">
        <v>1.6</v>
      </c>
      <c r="B14" s="465" t="s">
        <v>781</v>
      </c>
      <c r="C14" s="591">
        <v>76623643.946200043</v>
      </c>
      <c r="D14" s="585">
        <v>51150530.726300031</v>
      </c>
      <c r="E14" s="585">
        <v>2623854.48</v>
      </c>
      <c r="F14" s="585">
        <v>66286.505799999941</v>
      </c>
      <c r="G14" s="585">
        <v>6586957.1799999988</v>
      </c>
      <c r="H14" s="585">
        <v>1133418.28</v>
      </c>
      <c r="I14" s="585">
        <v>19375.45</v>
      </c>
      <c r="J14" s="585">
        <v>241129.62</v>
      </c>
      <c r="K14" s="585">
        <v>0</v>
      </c>
      <c r="L14" s="585">
        <v>18886156.039900001</v>
      </c>
      <c r="M14" s="585">
        <v>1541901.15</v>
      </c>
      <c r="N14" s="585">
        <v>73631.12000000001</v>
      </c>
      <c r="O14" s="585">
        <v>132370.70000000001</v>
      </c>
      <c r="P14" s="585">
        <v>288415.09999999998</v>
      </c>
      <c r="Q14" s="585">
        <v>2195283.13</v>
      </c>
      <c r="R14" s="585">
        <v>4056256.3023999999</v>
      </c>
      <c r="S14" s="585">
        <v>3322568.1975000002</v>
      </c>
      <c r="T14" s="585">
        <v>4774293.8600000013</v>
      </c>
      <c r="U14" s="585">
        <v>1358158.65</v>
      </c>
    </row>
    <row r="15" spans="1:22">
      <c r="A15" s="464">
        <v>2</v>
      </c>
      <c r="B15" s="435" t="s">
        <v>782</v>
      </c>
      <c r="C15" s="586">
        <f>SUM(C16:C21)</f>
        <v>31011490</v>
      </c>
      <c r="D15" s="586">
        <f t="shared" ref="D15:U15" si="1">SUM(D16:D21)</f>
        <v>31011490</v>
      </c>
      <c r="E15" s="586">
        <f t="shared" si="1"/>
        <v>0</v>
      </c>
      <c r="F15" s="586">
        <f t="shared" si="1"/>
        <v>0</v>
      </c>
      <c r="G15" s="586">
        <f t="shared" si="1"/>
        <v>0</v>
      </c>
      <c r="H15" s="586">
        <f t="shared" si="1"/>
        <v>0</v>
      </c>
      <c r="I15" s="586">
        <f t="shared" si="1"/>
        <v>0</v>
      </c>
      <c r="J15" s="586">
        <f t="shared" si="1"/>
        <v>0</v>
      </c>
      <c r="K15" s="586">
        <f t="shared" si="1"/>
        <v>0</v>
      </c>
      <c r="L15" s="586">
        <f t="shared" si="1"/>
        <v>0</v>
      </c>
      <c r="M15" s="586">
        <f t="shared" si="1"/>
        <v>0</v>
      </c>
      <c r="N15" s="586">
        <f t="shared" si="1"/>
        <v>0</v>
      </c>
      <c r="O15" s="586">
        <f t="shared" si="1"/>
        <v>0</v>
      </c>
      <c r="P15" s="586">
        <f t="shared" si="1"/>
        <v>0</v>
      </c>
      <c r="Q15" s="586">
        <f t="shared" si="1"/>
        <v>0</v>
      </c>
      <c r="R15" s="586">
        <f t="shared" si="1"/>
        <v>0</v>
      </c>
      <c r="S15" s="586">
        <f t="shared" si="1"/>
        <v>0</v>
      </c>
      <c r="T15" s="586">
        <f t="shared" si="1"/>
        <v>0</v>
      </c>
      <c r="U15" s="586">
        <f t="shared" si="1"/>
        <v>0</v>
      </c>
    </row>
    <row r="16" spans="1:22">
      <c r="A16" s="443">
        <v>2.1</v>
      </c>
      <c r="B16" s="465" t="s">
        <v>776</v>
      </c>
      <c r="C16" s="591">
        <v>0</v>
      </c>
      <c r="D16" s="585">
        <v>0</v>
      </c>
      <c r="E16" s="585"/>
      <c r="F16" s="585"/>
      <c r="G16" s="585"/>
      <c r="H16" s="585"/>
      <c r="I16" s="585"/>
      <c r="J16" s="585"/>
      <c r="K16" s="585"/>
      <c r="L16" s="585"/>
      <c r="M16" s="585"/>
      <c r="N16" s="585"/>
      <c r="O16" s="585"/>
      <c r="P16" s="585"/>
      <c r="Q16" s="585"/>
      <c r="R16" s="585"/>
      <c r="S16" s="585"/>
      <c r="T16" s="585"/>
      <c r="U16" s="585"/>
    </row>
    <row r="17" spans="1:21">
      <c r="A17" s="443">
        <v>2.2000000000000002</v>
      </c>
      <c r="B17" s="465" t="s">
        <v>777</v>
      </c>
      <c r="C17" s="591">
        <v>28011490</v>
      </c>
      <c r="D17" s="585">
        <v>28011490</v>
      </c>
      <c r="E17" s="585"/>
      <c r="F17" s="585"/>
      <c r="G17" s="585"/>
      <c r="H17" s="585"/>
      <c r="I17" s="585"/>
      <c r="J17" s="585"/>
      <c r="K17" s="585"/>
      <c r="L17" s="585"/>
      <c r="M17" s="585"/>
      <c r="N17" s="585"/>
      <c r="O17" s="585"/>
      <c r="P17" s="585"/>
      <c r="Q17" s="585"/>
      <c r="R17" s="585"/>
      <c r="S17" s="585"/>
      <c r="T17" s="585"/>
      <c r="U17" s="585"/>
    </row>
    <row r="18" spans="1:21">
      <c r="A18" s="443">
        <v>2.2999999999999998</v>
      </c>
      <c r="B18" s="465" t="s">
        <v>778</v>
      </c>
      <c r="C18" s="591"/>
      <c r="D18" s="585"/>
      <c r="E18" s="585"/>
      <c r="F18" s="585"/>
      <c r="G18" s="585"/>
      <c r="H18" s="585"/>
      <c r="I18" s="585"/>
      <c r="J18" s="585"/>
      <c r="K18" s="585"/>
      <c r="L18" s="585"/>
      <c r="M18" s="585"/>
      <c r="N18" s="585"/>
      <c r="O18" s="585"/>
      <c r="P18" s="585"/>
      <c r="Q18" s="585"/>
      <c r="R18" s="585"/>
      <c r="S18" s="585"/>
      <c r="T18" s="585"/>
      <c r="U18" s="585"/>
    </row>
    <row r="19" spans="1:21">
      <c r="A19" s="443">
        <v>2.4</v>
      </c>
      <c r="B19" s="465" t="s">
        <v>779</v>
      </c>
      <c r="C19" s="591"/>
      <c r="D19" s="585"/>
      <c r="E19" s="585"/>
      <c r="F19" s="585"/>
      <c r="G19" s="585"/>
      <c r="H19" s="585"/>
      <c r="I19" s="585"/>
      <c r="J19" s="585"/>
      <c r="K19" s="585"/>
      <c r="L19" s="585"/>
      <c r="M19" s="585"/>
      <c r="N19" s="585"/>
      <c r="O19" s="585"/>
      <c r="P19" s="585"/>
      <c r="Q19" s="585"/>
      <c r="R19" s="585"/>
      <c r="S19" s="585"/>
      <c r="T19" s="585"/>
      <c r="U19" s="585"/>
    </row>
    <row r="20" spans="1:21">
      <c r="A20" s="443">
        <v>2.5</v>
      </c>
      <c r="B20" s="465" t="s">
        <v>780</v>
      </c>
      <c r="C20" s="591">
        <v>3000000</v>
      </c>
      <c r="D20" s="585">
        <v>3000000</v>
      </c>
      <c r="E20" s="585">
        <v>0</v>
      </c>
      <c r="F20" s="585">
        <v>0</v>
      </c>
      <c r="G20" s="585">
        <v>0</v>
      </c>
      <c r="H20" s="585">
        <v>0</v>
      </c>
      <c r="I20" s="585">
        <v>0</v>
      </c>
      <c r="J20" s="585">
        <v>0</v>
      </c>
      <c r="K20" s="585">
        <v>0</v>
      </c>
      <c r="L20" s="585">
        <v>0</v>
      </c>
      <c r="M20" s="585">
        <v>0</v>
      </c>
      <c r="N20" s="585">
        <v>0</v>
      </c>
      <c r="O20" s="585">
        <v>0</v>
      </c>
      <c r="P20" s="585">
        <v>0</v>
      </c>
      <c r="Q20" s="585">
        <v>0</v>
      </c>
      <c r="R20" s="585">
        <v>0</v>
      </c>
      <c r="S20" s="585">
        <v>0</v>
      </c>
      <c r="T20" s="585">
        <v>0</v>
      </c>
      <c r="U20" s="585">
        <v>0</v>
      </c>
    </row>
    <row r="21" spans="1:21">
      <c r="A21" s="443">
        <v>2.6</v>
      </c>
      <c r="B21" s="465" t="s">
        <v>781</v>
      </c>
      <c r="C21" s="591"/>
      <c r="D21" s="585"/>
      <c r="E21" s="585"/>
      <c r="F21" s="585"/>
      <c r="G21" s="585"/>
      <c r="H21" s="585"/>
      <c r="I21" s="585"/>
      <c r="J21" s="585"/>
      <c r="K21" s="585"/>
      <c r="L21" s="585"/>
      <c r="M21" s="585"/>
      <c r="N21" s="585"/>
      <c r="O21" s="585"/>
      <c r="P21" s="585"/>
      <c r="Q21" s="585"/>
      <c r="R21" s="585"/>
      <c r="S21" s="585"/>
      <c r="T21" s="585"/>
      <c r="U21" s="585"/>
    </row>
    <row r="22" spans="1:21">
      <c r="A22" s="464">
        <v>3</v>
      </c>
      <c r="B22" s="435" t="s">
        <v>783</v>
      </c>
      <c r="C22" s="586">
        <f>SUM(C23:C28)</f>
        <v>67255421.749799997</v>
      </c>
      <c r="D22" s="586">
        <f t="shared" ref="D22:L22" si="2">SUM(D23:D28)</f>
        <v>33984810.259999998</v>
      </c>
      <c r="E22" s="671"/>
      <c r="F22" s="671"/>
      <c r="G22" s="586">
        <f t="shared" si="2"/>
        <v>240000</v>
      </c>
      <c r="H22" s="671"/>
      <c r="I22" s="671"/>
      <c r="J22" s="671"/>
      <c r="K22" s="671"/>
      <c r="L22" s="586">
        <f t="shared" si="2"/>
        <v>4002481.6700000004</v>
      </c>
      <c r="M22" s="592"/>
      <c r="N22" s="592"/>
      <c r="O22" s="592"/>
      <c r="P22" s="592"/>
      <c r="Q22" s="592"/>
      <c r="R22" s="592"/>
      <c r="S22" s="592"/>
      <c r="T22" s="592"/>
      <c r="U22" s="585">
        <f t="shared" ref="U22" si="3">SUM(U23:U28)</f>
        <v>0</v>
      </c>
    </row>
    <row r="23" spans="1:21">
      <c r="A23" s="443">
        <v>3.1</v>
      </c>
      <c r="B23" s="465" t="s">
        <v>776</v>
      </c>
      <c r="C23" s="591"/>
      <c r="D23" s="585"/>
      <c r="E23" s="592"/>
      <c r="F23" s="592"/>
      <c r="G23" s="585"/>
      <c r="H23" s="592"/>
      <c r="I23" s="592"/>
      <c r="J23" s="592"/>
      <c r="K23" s="592"/>
      <c r="L23" s="585"/>
      <c r="M23" s="592"/>
      <c r="N23" s="592"/>
      <c r="O23" s="592"/>
      <c r="P23" s="592"/>
      <c r="Q23" s="592"/>
      <c r="R23" s="592"/>
      <c r="S23" s="592"/>
      <c r="T23" s="592"/>
      <c r="U23" s="585"/>
    </row>
    <row r="24" spans="1:21">
      <c r="A24" s="443">
        <v>3.2</v>
      </c>
      <c r="B24" s="465" t="s">
        <v>777</v>
      </c>
      <c r="C24" s="591"/>
      <c r="D24" s="585"/>
      <c r="E24" s="592"/>
      <c r="F24" s="592"/>
      <c r="G24" s="585"/>
      <c r="H24" s="592"/>
      <c r="I24" s="592"/>
      <c r="J24" s="592"/>
      <c r="K24" s="592"/>
      <c r="L24" s="585"/>
      <c r="M24" s="592"/>
      <c r="N24" s="592"/>
      <c r="O24" s="592"/>
      <c r="P24" s="592"/>
      <c r="Q24" s="592"/>
      <c r="R24" s="592"/>
      <c r="S24" s="592"/>
      <c r="T24" s="592"/>
      <c r="U24" s="585"/>
    </row>
    <row r="25" spans="1:21">
      <c r="A25" s="443">
        <v>3.3</v>
      </c>
      <c r="B25" s="465" t="s">
        <v>778</v>
      </c>
      <c r="C25" s="591"/>
      <c r="D25" s="585"/>
      <c r="E25" s="592"/>
      <c r="F25" s="592"/>
      <c r="G25" s="585"/>
      <c r="H25" s="592"/>
      <c r="I25" s="592"/>
      <c r="J25" s="592"/>
      <c r="K25" s="592"/>
      <c r="L25" s="585"/>
      <c r="M25" s="592"/>
      <c r="N25" s="592"/>
      <c r="O25" s="592"/>
      <c r="P25" s="592"/>
      <c r="Q25" s="592"/>
      <c r="R25" s="592"/>
      <c r="S25" s="592"/>
      <c r="T25" s="592"/>
      <c r="U25" s="585"/>
    </row>
    <row r="26" spans="1:21">
      <c r="A26" s="443">
        <v>3.4</v>
      </c>
      <c r="B26" s="465" t="s">
        <v>779</v>
      </c>
      <c r="C26" s="591">
        <v>15408502.27</v>
      </c>
      <c r="D26" s="585">
        <v>10298502.27</v>
      </c>
      <c r="E26" s="592"/>
      <c r="F26" s="592"/>
      <c r="G26" s="585">
        <v>0</v>
      </c>
      <c r="H26" s="592"/>
      <c r="I26" s="592"/>
      <c r="J26" s="592"/>
      <c r="K26" s="592"/>
      <c r="L26" s="585">
        <v>0</v>
      </c>
      <c r="M26" s="592"/>
      <c r="N26" s="592"/>
      <c r="O26" s="592"/>
      <c r="P26" s="592"/>
      <c r="Q26" s="592"/>
      <c r="R26" s="592"/>
      <c r="S26" s="592"/>
      <c r="T26" s="592"/>
      <c r="U26" s="585">
        <v>0</v>
      </c>
    </row>
    <row r="27" spans="1:21">
      <c r="A27" s="443">
        <v>3.5</v>
      </c>
      <c r="B27" s="465" t="s">
        <v>780</v>
      </c>
      <c r="C27" s="591">
        <v>48433933.759999998</v>
      </c>
      <c r="D27" s="585">
        <v>23662907.989999998</v>
      </c>
      <c r="E27" s="592"/>
      <c r="F27" s="592"/>
      <c r="G27" s="585">
        <v>240000</v>
      </c>
      <c r="H27" s="592"/>
      <c r="I27" s="592"/>
      <c r="J27" s="592"/>
      <c r="K27" s="592"/>
      <c r="L27" s="585">
        <v>4002481.6700000004</v>
      </c>
      <c r="M27" s="592"/>
      <c r="N27" s="592"/>
      <c r="O27" s="592"/>
      <c r="P27" s="592"/>
      <c r="Q27" s="592"/>
      <c r="R27" s="592"/>
      <c r="S27" s="592"/>
      <c r="T27" s="592"/>
      <c r="U27" s="585">
        <v>0</v>
      </c>
    </row>
    <row r="28" spans="1:21">
      <c r="A28" s="443">
        <v>3.6</v>
      </c>
      <c r="B28" s="465" t="s">
        <v>781</v>
      </c>
      <c r="C28" s="591">
        <v>3412985.7197999936</v>
      </c>
      <c r="D28" s="585">
        <v>23400</v>
      </c>
      <c r="E28" s="592"/>
      <c r="F28" s="592"/>
      <c r="G28" s="585">
        <v>0</v>
      </c>
      <c r="H28" s="592"/>
      <c r="I28" s="592"/>
      <c r="J28" s="592"/>
      <c r="K28" s="592"/>
      <c r="L28" s="585">
        <v>0</v>
      </c>
      <c r="M28" s="592"/>
      <c r="N28" s="592"/>
      <c r="O28" s="592"/>
      <c r="P28" s="592"/>
      <c r="Q28" s="592"/>
      <c r="R28" s="592"/>
      <c r="S28" s="592"/>
      <c r="T28" s="592"/>
      <c r="U28" s="585">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election activeCell="B2" sqref="B2"/>
    </sheetView>
  </sheetViews>
  <sheetFormatPr defaultColWidth="9.28515625" defaultRowHeight="12.75"/>
  <cols>
    <col min="1" max="1" width="11.7109375" style="429" bestFit="1" customWidth="1"/>
    <col min="2" max="2" width="90.28515625" style="429" bestFit="1" customWidth="1"/>
    <col min="3" max="3" width="20.28515625" style="429" customWidth="1"/>
    <col min="4" max="4" width="22.28515625" style="429" customWidth="1"/>
    <col min="5" max="5" width="17.140625" style="429" customWidth="1"/>
    <col min="6" max="7" width="22.28515625" style="429" customWidth="1"/>
    <col min="8" max="8" width="17.140625" style="429" customWidth="1"/>
    <col min="9" max="14" width="22.28515625" style="429" customWidth="1"/>
    <col min="15" max="15" width="23.28515625" style="429" bestFit="1" customWidth="1"/>
    <col min="16" max="16" width="21.7109375" style="429" bestFit="1" customWidth="1"/>
    <col min="17" max="19" width="19" style="429" bestFit="1" customWidth="1"/>
    <col min="20" max="20" width="15.28515625" style="429" customWidth="1"/>
    <col min="21" max="21" width="20" style="429" customWidth="1"/>
    <col min="22" max="16384" width="9.28515625" style="429"/>
  </cols>
  <sheetData>
    <row r="1" spans="1:21">
      <c r="A1" s="428" t="s">
        <v>188</v>
      </c>
      <c r="B1" s="587" t="str">
        <f>'1. key ratios'!B1</f>
        <v>სს "ბანკი ქართუ"</v>
      </c>
    </row>
    <row r="2" spans="1:21">
      <c r="A2" s="428" t="s">
        <v>189</v>
      </c>
      <c r="B2" s="686">
        <f>'1. key ratios'!B2</f>
        <v>44834</v>
      </c>
    </row>
    <row r="3" spans="1:21">
      <c r="A3" s="430" t="s">
        <v>784</v>
      </c>
      <c r="B3" s="431"/>
      <c r="C3" s="431"/>
    </row>
    <row r="4" spans="1:21">
      <c r="A4" s="430"/>
      <c r="B4" s="431"/>
      <c r="C4" s="431"/>
    </row>
    <row r="5" spans="1:21" ht="13.5" customHeight="1">
      <c r="A5" s="775" t="s">
        <v>785</v>
      </c>
      <c r="B5" s="776"/>
      <c r="C5" s="781" t="s">
        <v>786</v>
      </c>
      <c r="D5" s="782"/>
      <c r="E5" s="782"/>
      <c r="F5" s="782"/>
      <c r="G5" s="782"/>
      <c r="H5" s="782"/>
      <c r="I5" s="782"/>
      <c r="J5" s="782"/>
      <c r="K5" s="782"/>
      <c r="L5" s="782"/>
      <c r="M5" s="782"/>
      <c r="N5" s="782"/>
      <c r="O5" s="782"/>
      <c r="P5" s="782"/>
      <c r="Q5" s="782"/>
      <c r="R5" s="782"/>
      <c r="S5" s="782"/>
      <c r="T5" s="783"/>
      <c r="U5" s="459"/>
    </row>
    <row r="6" spans="1:21">
      <c r="A6" s="777"/>
      <c r="B6" s="778"/>
      <c r="C6" s="762" t="s">
        <v>68</v>
      </c>
      <c r="D6" s="781" t="s">
        <v>787</v>
      </c>
      <c r="E6" s="782"/>
      <c r="F6" s="783"/>
      <c r="G6" s="781" t="s">
        <v>788</v>
      </c>
      <c r="H6" s="782"/>
      <c r="I6" s="782"/>
      <c r="J6" s="782"/>
      <c r="K6" s="783"/>
      <c r="L6" s="784" t="s">
        <v>789</v>
      </c>
      <c r="M6" s="785"/>
      <c r="N6" s="785"/>
      <c r="O6" s="785"/>
      <c r="P6" s="785"/>
      <c r="Q6" s="785"/>
      <c r="R6" s="785"/>
      <c r="S6" s="785"/>
      <c r="T6" s="786"/>
      <c r="U6" s="460"/>
    </row>
    <row r="7" spans="1:21" ht="25.5">
      <c r="A7" s="779"/>
      <c r="B7" s="780"/>
      <c r="C7" s="762"/>
      <c r="E7" s="475" t="s">
        <v>763</v>
      </c>
      <c r="F7" s="441" t="s">
        <v>764</v>
      </c>
      <c r="H7" s="475" t="s">
        <v>763</v>
      </c>
      <c r="I7" s="441" t="s">
        <v>790</v>
      </c>
      <c r="J7" s="441" t="s">
        <v>765</v>
      </c>
      <c r="K7" s="441" t="s">
        <v>766</v>
      </c>
      <c r="L7" s="466"/>
      <c r="M7" s="475" t="s">
        <v>767</v>
      </c>
      <c r="N7" s="441" t="s">
        <v>765</v>
      </c>
      <c r="O7" s="441" t="s">
        <v>768</v>
      </c>
      <c r="P7" s="441" t="s">
        <v>769</v>
      </c>
      <c r="Q7" s="441" t="s">
        <v>770</v>
      </c>
      <c r="R7" s="441" t="s">
        <v>771</v>
      </c>
      <c r="S7" s="441" t="s">
        <v>772</v>
      </c>
      <c r="T7" s="463" t="s">
        <v>773</v>
      </c>
      <c r="U7" s="459"/>
    </row>
    <row r="8" spans="1:21">
      <c r="A8" s="466">
        <v>1</v>
      </c>
      <c r="B8" s="458" t="s">
        <v>775</v>
      </c>
      <c r="C8" s="593">
        <v>785513653.93990183</v>
      </c>
      <c r="D8" s="585">
        <v>507696827.9786005</v>
      </c>
      <c r="E8" s="585">
        <v>4203504.6400000006</v>
      </c>
      <c r="F8" s="585">
        <v>80466.583399999843</v>
      </c>
      <c r="G8" s="585">
        <v>57659472.210000001</v>
      </c>
      <c r="H8" s="585">
        <v>1212376.1099999999</v>
      </c>
      <c r="I8" s="585">
        <v>19375.45</v>
      </c>
      <c r="J8" s="585">
        <v>241129.62</v>
      </c>
      <c r="K8" s="585">
        <v>0</v>
      </c>
      <c r="L8" s="585">
        <v>220157353.75130007</v>
      </c>
      <c r="M8" s="585">
        <v>6051758.3800000008</v>
      </c>
      <c r="N8" s="585">
        <v>871578.11</v>
      </c>
      <c r="O8" s="585">
        <v>13236511.390000001</v>
      </c>
      <c r="P8" s="585">
        <v>32362443.179999996</v>
      </c>
      <c r="Q8" s="585">
        <v>26388428.860000007</v>
      </c>
      <c r="R8" s="585">
        <v>67364483.443799973</v>
      </c>
      <c r="S8" s="585">
        <v>14817225.617499998</v>
      </c>
      <c r="T8" s="585">
        <v>9291014.7700000033</v>
      </c>
    </row>
    <row r="9" spans="1:21">
      <c r="A9" s="465">
        <v>1.1000000000000001</v>
      </c>
      <c r="B9" s="465" t="s">
        <v>791</v>
      </c>
      <c r="C9" s="591">
        <v>769392210.10760045</v>
      </c>
      <c r="D9" s="585">
        <v>491618945.9901002</v>
      </c>
      <c r="E9" s="585">
        <v>4203504.6400000006</v>
      </c>
      <c r="F9" s="585">
        <v>0</v>
      </c>
      <c r="G9" s="585">
        <v>57635701.850000001</v>
      </c>
      <c r="H9" s="585">
        <v>1212376.1099999999</v>
      </c>
      <c r="I9" s="585">
        <v>18475.62</v>
      </c>
      <c r="J9" s="585">
        <v>241129.62</v>
      </c>
      <c r="K9" s="585">
        <v>0</v>
      </c>
      <c r="L9" s="585">
        <v>220137562.26750001</v>
      </c>
      <c r="M9" s="585">
        <v>6050018.4800000004</v>
      </c>
      <c r="N9" s="585">
        <v>871578.11</v>
      </c>
      <c r="O9" s="585">
        <v>13235205.109999999</v>
      </c>
      <c r="P9" s="585">
        <v>32362095.479999997</v>
      </c>
      <c r="Q9" s="585">
        <v>26385708.350000005</v>
      </c>
      <c r="R9" s="585">
        <v>67359208.629999995</v>
      </c>
      <c r="S9" s="585">
        <v>14816989.877499998</v>
      </c>
      <c r="T9" s="585">
        <v>9291014.7700000033</v>
      </c>
    </row>
    <row r="10" spans="1:21">
      <c r="A10" s="467" t="s">
        <v>252</v>
      </c>
      <c r="B10" s="467" t="s">
        <v>792</v>
      </c>
      <c r="C10" s="594">
        <v>710777371.50760031</v>
      </c>
      <c r="D10" s="585">
        <v>449782021.83010006</v>
      </c>
      <c r="E10" s="585">
        <v>4203504.6400000006</v>
      </c>
      <c r="F10" s="585">
        <v>0</v>
      </c>
      <c r="G10" s="585">
        <v>57627508.129999995</v>
      </c>
      <c r="H10" s="585">
        <v>1212376.1099999999</v>
      </c>
      <c r="I10" s="585">
        <v>18475.62</v>
      </c>
      <c r="J10" s="585">
        <v>241129.62</v>
      </c>
      <c r="K10" s="585">
        <v>0</v>
      </c>
      <c r="L10" s="585">
        <v>203367841.54749998</v>
      </c>
      <c r="M10" s="585">
        <v>5891757.5600000005</v>
      </c>
      <c r="N10" s="585">
        <v>871578.11</v>
      </c>
      <c r="O10" s="585">
        <v>13218609.25</v>
      </c>
      <c r="P10" s="585">
        <v>32322695.479999997</v>
      </c>
      <c r="Q10" s="585">
        <v>26193811.870000005</v>
      </c>
      <c r="R10" s="585">
        <v>65256835.669999994</v>
      </c>
      <c r="S10" s="585">
        <v>9064377.3574999999</v>
      </c>
      <c r="T10" s="585">
        <v>9222156.6400000025</v>
      </c>
    </row>
    <row r="11" spans="1:21">
      <c r="A11" s="468" t="s">
        <v>793</v>
      </c>
      <c r="B11" s="468" t="s">
        <v>794</v>
      </c>
      <c r="C11" s="595">
        <v>483500144.77000028</v>
      </c>
      <c r="D11" s="585">
        <v>327188341.69000018</v>
      </c>
      <c r="E11" s="585">
        <v>4198513.7</v>
      </c>
      <c r="F11" s="585">
        <v>0</v>
      </c>
      <c r="G11" s="585">
        <v>43867230.870000005</v>
      </c>
      <c r="H11" s="585">
        <v>147652.57</v>
      </c>
      <c r="I11" s="585">
        <v>18475.62</v>
      </c>
      <c r="J11" s="585">
        <v>241129.62</v>
      </c>
      <c r="K11" s="585">
        <v>0</v>
      </c>
      <c r="L11" s="585">
        <v>112444572.21000004</v>
      </c>
      <c r="M11" s="585">
        <v>4506651.3100000005</v>
      </c>
      <c r="N11" s="585">
        <v>871578.11</v>
      </c>
      <c r="O11" s="585">
        <v>124892.45999999999</v>
      </c>
      <c r="P11" s="585">
        <v>19161179.039999995</v>
      </c>
      <c r="Q11" s="585">
        <v>17659121.43</v>
      </c>
      <c r="R11" s="585">
        <v>36054795.040000007</v>
      </c>
      <c r="S11" s="585">
        <v>4886545.68</v>
      </c>
      <c r="T11" s="585">
        <v>3357313.0500000003</v>
      </c>
    </row>
    <row r="12" spans="1:21">
      <c r="A12" s="468" t="s">
        <v>795</v>
      </c>
      <c r="B12" s="468" t="s">
        <v>796</v>
      </c>
      <c r="C12" s="595">
        <v>84000617.799999997</v>
      </c>
      <c r="D12" s="585">
        <v>61076241.699999988</v>
      </c>
      <c r="E12" s="585">
        <v>0</v>
      </c>
      <c r="F12" s="585">
        <v>0</v>
      </c>
      <c r="G12" s="585">
        <v>6259910.9200000009</v>
      </c>
      <c r="H12" s="585">
        <v>0</v>
      </c>
      <c r="I12" s="585">
        <v>0</v>
      </c>
      <c r="J12" s="585">
        <v>0</v>
      </c>
      <c r="K12" s="585">
        <v>0</v>
      </c>
      <c r="L12" s="585">
        <v>16664465.18</v>
      </c>
      <c r="M12" s="585">
        <v>1385106.25</v>
      </c>
      <c r="N12" s="585">
        <v>0</v>
      </c>
      <c r="O12" s="585">
        <v>263940.84999999998</v>
      </c>
      <c r="P12" s="585">
        <v>6676538.5700000003</v>
      </c>
      <c r="Q12" s="585">
        <v>0</v>
      </c>
      <c r="R12" s="585">
        <v>1488325.44</v>
      </c>
      <c r="S12" s="585">
        <v>1063258.72</v>
      </c>
      <c r="T12" s="585">
        <v>0</v>
      </c>
    </row>
    <row r="13" spans="1:21">
      <c r="A13" s="468" t="s">
        <v>797</v>
      </c>
      <c r="B13" s="468" t="s">
        <v>798</v>
      </c>
      <c r="C13" s="595">
        <v>32051212.690000001</v>
      </c>
      <c r="D13" s="585">
        <v>2665443.8699999996</v>
      </c>
      <c r="E13" s="585">
        <v>0</v>
      </c>
      <c r="F13" s="585">
        <v>0</v>
      </c>
      <c r="G13" s="585">
        <v>5181612.1900000004</v>
      </c>
      <c r="H13" s="585">
        <v>969283.85</v>
      </c>
      <c r="I13" s="585">
        <v>0</v>
      </c>
      <c r="J13" s="585">
        <v>0</v>
      </c>
      <c r="K13" s="585">
        <v>0</v>
      </c>
      <c r="L13" s="585">
        <v>24204156.630000006</v>
      </c>
      <c r="M13" s="585">
        <v>0</v>
      </c>
      <c r="N13" s="585">
        <v>0</v>
      </c>
      <c r="O13" s="585">
        <v>12829775.939999999</v>
      </c>
      <c r="P13" s="585">
        <v>6379200</v>
      </c>
      <c r="Q13" s="585">
        <v>460657.03</v>
      </c>
      <c r="R13" s="585">
        <v>720375.44</v>
      </c>
      <c r="S13" s="585">
        <v>2660635.8899999997</v>
      </c>
      <c r="T13" s="585">
        <v>0</v>
      </c>
    </row>
    <row r="14" spans="1:21">
      <c r="A14" s="468" t="s">
        <v>799</v>
      </c>
      <c r="B14" s="468" t="s">
        <v>800</v>
      </c>
      <c r="C14" s="595">
        <v>111225396.24759996</v>
      </c>
      <c r="D14" s="585">
        <v>58851994.570100002</v>
      </c>
      <c r="E14" s="585">
        <v>4990.9399999999996</v>
      </c>
      <c r="F14" s="585">
        <v>0</v>
      </c>
      <c r="G14" s="585">
        <v>2318754.15</v>
      </c>
      <c r="H14" s="585">
        <v>95439.69</v>
      </c>
      <c r="I14" s="585">
        <v>0</v>
      </c>
      <c r="J14" s="585">
        <v>0</v>
      </c>
      <c r="K14" s="585">
        <v>0</v>
      </c>
      <c r="L14" s="585">
        <v>50054647.527500004</v>
      </c>
      <c r="M14" s="585">
        <v>0</v>
      </c>
      <c r="N14" s="585">
        <v>0</v>
      </c>
      <c r="O14" s="585">
        <v>0</v>
      </c>
      <c r="P14" s="585">
        <v>105777.87</v>
      </c>
      <c r="Q14" s="585">
        <v>8074033.4100000001</v>
      </c>
      <c r="R14" s="585">
        <v>26993339.75</v>
      </c>
      <c r="S14" s="585">
        <v>453937.0675</v>
      </c>
      <c r="T14" s="585">
        <v>5864843.5900000017</v>
      </c>
    </row>
    <row r="15" spans="1:21">
      <c r="A15" s="469">
        <v>1.2</v>
      </c>
      <c r="B15" s="469" t="s">
        <v>801</v>
      </c>
      <c r="C15" s="591">
        <v>123268105.48233405</v>
      </c>
      <c r="D15" s="585">
        <v>9246811.1253100019</v>
      </c>
      <c r="E15" s="585">
        <v>84070.092798999991</v>
      </c>
      <c r="F15" s="585">
        <v>0</v>
      </c>
      <c r="G15" s="585">
        <v>5763570.1850860026</v>
      </c>
      <c r="H15" s="585">
        <v>121237.611899</v>
      </c>
      <c r="I15" s="585">
        <v>1847.5619999999999</v>
      </c>
      <c r="J15" s="585">
        <v>24112.962060999998</v>
      </c>
      <c r="K15" s="585">
        <v>0</v>
      </c>
      <c r="L15" s="585">
        <v>108257724.17193797</v>
      </c>
      <c r="M15" s="585">
        <v>1815005.5475709997</v>
      </c>
      <c r="N15" s="585">
        <v>261986.31656399998</v>
      </c>
      <c r="O15" s="585">
        <v>3973880.7016150001</v>
      </c>
      <c r="P15" s="585">
        <v>13370051.461127</v>
      </c>
      <c r="Q15" s="585">
        <v>12057640.590855997</v>
      </c>
      <c r="R15" s="585">
        <v>36587570.88947802</v>
      </c>
      <c r="S15" s="585">
        <v>9363417.5659659989</v>
      </c>
      <c r="T15" s="585">
        <v>4993412.5560870003</v>
      </c>
    </row>
    <row r="16" spans="1:21">
      <c r="A16" s="465">
        <v>1.3</v>
      </c>
      <c r="B16" s="469" t="s">
        <v>802</v>
      </c>
      <c r="C16" s="596"/>
      <c r="D16" s="596"/>
      <c r="E16" s="596"/>
      <c r="F16" s="596"/>
      <c r="G16" s="596"/>
      <c r="H16" s="596"/>
      <c r="I16" s="596"/>
      <c r="J16" s="596"/>
      <c r="K16" s="596"/>
      <c r="L16" s="596"/>
      <c r="M16" s="596"/>
      <c r="N16" s="596"/>
      <c r="O16" s="596"/>
      <c r="P16" s="596"/>
      <c r="Q16" s="596"/>
      <c r="R16" s="596"/>
      <c r="S16" s="596"/>
      <c r="T16" s="596"/>
    </row>
    <row r="17" spans="1:20" ht="25.5">
      <c r="A17" s="470" t="s">
        <v>803</v>
      </c>
      <c r="B17" s="471" t="s">
        <v>804</v>
      </c>
      <c r="C17" s="597">
        <v>693186289.30096364</v>
      </c>
      <c r="D17" s="585">
        <v>443371145.65231335</v>
      </c>
      <c r="E17" s="585">
        <v>4203504.6400000006</v>
      </c>
      <c r="F17" s="585">
        <v>0</v>
      </c>
      <c r="G17" s="585">
        <v>55704068.748352006</v>
      </c>
      <c r="H17" s="585">
        <v>1212376.1099999999</v>
      </c>
      <c r="I17" s="585">
        <v>18475.62</v>
      </c>
      <c r="J17" s="585">
        <v>241129.62</v>
      </c>
      <c r="K17" s="585">
        <v>0</v>
      </c>
      <c r="L17" s="585">
        <v>194111074.90029836</v>
      </c>
      <c r="M17" s="585">
        <v>5946532.4737332538</v>
      </c>
      <c r="N17" s="585">
        <v>871578.11</v>
      </c>
      <c r="O17" s="585">
        <v>13229383.01</v>
      </c>
      <c r="P17" s="585">
        <v>32308518.208642282</v>
      </c>
      <c r="Q17" s="585">
        <v>24399806.388784237</v>
      </c>
      <c r="R17" s="585">
        <v>58058336.112478226</v>
      </c>
      <c r="S17" s="585">
        <v>9082670.8375000004</v>
      </c>
      <c r="T17" s="585">
        <v>8555898.5399999991</v>
      </c>
    </row>
    <row r="18" spans="1:20" ht="25.5">
      <c r="A18" s="472" t="s">
        <v>805</v>
      </c>
      <c r="B18" s="472" t="s">
        <v>806</v>
      </c>
      <c r="C18" s="598">
        <v>607948518.97419798</v>
      </c>
      <c r="D18" s="585">
        <v>374543017.32231247</v>
      </c>
      <c r="E18" s="585">
        <v>4203504.6400000006</v>
      </c>
      <c r="F18" s="585">
        <v>0</v>
      </c>
      <c r="G18" s="585">
        <v>55500030.77835203</v>
      </c>
      <c r="H18" s="585">
        <v>1212376.1099999999</v>
      </c>
      <c r="I18" s="585">
        <v>18475.62</v>
      </c>
      <c r="J18" s="585">
        <v>241129.62</v>
      </c>
      <c r="K18" s="585">
        <v>0</v>
      </c>
      <c r="L18" s="585">
        <v>177905470.87353432</v>
      </c>
      <c r="M18" s="585">
        <v>5643883.6653197594</v>
      </c>
      <c r="N18" s="585">
        <v>871578.11</v>
      </c>
      <c r="O18" s="585">
        <v>13171375.294875827</v>
      </c>
      <c r="P18" s="585">
        <v>31088066.926028676</v>
      </c>
      <c r="Q18" s="585">
        <v>20463577.76313962</v>
      </c>
      <c r="R18" s="585">
        <v>54279344.242271349</v>
      </c>
      <c r="S18" s="585">
        <v>7322346.2674999982</v>
      </c>
      <c r="T18" s="585">
        <v>8242362.6499999976</v>
      </c>
    </row>
    <row r="19" spans="1:20">
      <c r="A19" s="470" t="s">
        <v>807</v>
      </c>
      <c r="B19" s="470" t="s">
        <v>808</v>
      </c>
      <c r="C19" s="599">
        <v>1065560988.5511148</v>
      </c>
      <c r="D19" s="585">
        <v>837203456.7124846</v>
      </c>
      <c r="E19" s="585">
        <v>5523739.0724504851</v>
      </c>
      <c r="F19" s="585">
        <v>0</v>
      </c>
      <c r="G19" s="585">
        <v>66984598.615750879</v>
      </c>
      <c r="H19" s="585">
        <v>561970.68096560508</v>
      </c>
      <c r="I19" s="585">
        <v>49529.66910924876</v>
      </c>
      <c r="J19" s="585">
        <v>294762.6908907512</v>
      </c>
      <c r="K19" s="585">
        <v>0</v>
      </c>
      <c r="L19" s="585">
        <v>161372933.22287932</v>
      </c>
      <c r="M19" s="585">
        <v>5611276.5143531384</v>
      </c>
      <c r="N19" s="585">
        <v>3408905.7412380162</v>
      </c>
      <c r="O19" s="585">
        <v>1427521.7105226184</v>
      </c>
      <c r="P19" s="585">
        <v>17257555.734672796</v>
      </c>
      <c r="Q19" s="585">
        <v>22224028.740306694</v>
      </c>
      <c r="R19" s="585">
        <v>51801355.047303922</v>
      </c>
      <c r="S19" s="585">
        <v>8181845.8159015924</v>
      </c>
      <c r="T19" s="585">
        <v>6207367.6016710456</v>
      </c>
    </row>
    <row r="20" spans="1:20">
      <c r="A20" s="472" t="s">
        <v>809</v>
      </c>
      <c r="B20" s="472" t="s">
        <v>810</v>
      </c>
      <c r="C20" s="598">
        <v>701219202.09950376</v>
      </c>
      <c r="D20" s="585">
        <v>508437342.15420306</v>
      </c>
      <c r="E20" s="585">
        <v>4681121.4517753879</v>
      </c>
      <c r="F20" s="585">
        <v>0</v>
      </c>
      <c r="G20" s="585">
        <v>52070756.346305348</v>
      </c>
      <c r="H20" s="585">
        <v>528977.61856964591</v>
      </c>
      <c r="I20" s="585">
        <v>44132.423941848057</v>
      </c>
      <c r="J20" s="585">
        <v>271807.93605815188</v>
      </c>
      <c r="K20" s="585">
        <v>0</v>
      </c>
      <c r="L20" s="585">
        <v>140711103.59899533</v>
      </c>
      <c r="M20" s="585">
        <v>5151858.164940672</v>
      </c>
      <c r="N20" s="585">
        <v>3236730.7663604897</v>
      </c>
      <c r="O20" s="585">
        <v>400446.36888302304</v>
      </c>
      <c r="P20" s="585">
        <v>15302887.929220414</v>
      </c>
      <c r="Q20" s="585">
        <v>20235467.046360493</v>
      </c>
      <c r="R20" s="585">
        <v>43807607.893329501</v>
      </c>
      <c r="S20" s="585">
        <v>7908331.6135113239</v>
      </c>
      <c r="T20" s="585">
        <v>5137573.2152505266</v>
      </c>
    </row>
    <row r="21" spans="1:20">
      <c r="A21" s="473">
        <v>1.4</v>
      </c>
      <c r="B21" s="489" t="s">
        <v>942</v>
      </c>
      <c r="C21" s="600">
        <v>8520560.5530000031</v>
      </c>
      <c r="D21" s="585">
        <v>3943387.5149999997</v>
      </c>
      <c r="E21" s="585">
        <v>0</v>
      </c>
      <c r="F21" s="585">
        <v>0</v>
      </c>
      <c r="G21" s="585">
        <v>688017.2156</v>
      </c>
      <c r="H21" s="585">
        <v>0</v>
      </c>
      <c r="I21" s="585">
        <v>0</v>
      </c>
      <c r="J21" s="585">
        <v>0</v>
      </c>
      <c r="K21" s="585">
        <v>0</v>
      </c>
      <c r="L21" s="585">
        <v>3889155.8223999999</v>
      </c>
      <c r="M21" s="585">
        <v>0</v>
      </c>
      <c r="N21" s="585">
        <v>0</v>
      </c>
      <c r="O21" s="585">
        <v>0</v>
      </c>
      <c r="P21" s="585">
        <v>183614.55</v>
      </c>
      <c r="Q21" s="585">
        <v>92905.31</v>
      </c>
      <c r="R21" s="585">
        <v>1240687.0373999998</v>
      </c>
      <c r="S21" s="585">
        <v>2362493.92</v>
      </c>
      <c r="T21" s="585">
        <v>0</v>
      </c>
    </row>
    <row r="22" spans="1:20">
      <c r="A22" s="473">
        <v>1.5</v>
      </c>
      <c r="B22" s="489" t="s">
        <v>943</v>
      </c>
      <c r="C22" s="600">
        <v>0</v>
      </c>
      <c r="D22" s="585">
        <v>0</v>
      </c>
      <c r="E22" s="585">
        <v>0</v>
      </c>
      <c r="F22" s="585">
        <v>0</v>
      </c>
      <c r="G22" s="585">
        <v>0</v>
      </c>
      <c r="H22" s="585">
        <v>0</v>
      </c>
      <c r="I22" s="585">
        <v>0</v>
      </c>
      <c r="J22" s="585">
        <v>0</v>
      </c>
      <c r="K22" s="585">
        <v>0</v>
      </c>
      <c r="L22" s="585">
        <v>0</v>
      </c>
      <c r="M22" s="585">
        <v>0</v>
      </c>
      <c r="N22" s="585">
        <v>0</v>
      </c>
      <c r="O22" s="585">
        <v>0</v>
      </c>
      <c r="P22" s="585">
        <v>0</v>
      </c>
      <c r="Q22" s="585">
        <v>0</v>
      </c>
      <c r="R22" s="585">
        <v>0</v>
      </c>
      <c r="S22" s="585">
        <v>0</v>
      </c>
      <c r="T22" s="585">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election activeCell="B2" sqref="B2"/>
    </sheetView>
  </sheetViews>
  <sheetFormatPr defaultColWidth="9.28515625" defaultRowHeight="12.75"/>
  <cols>
    <col min="1" max="1" width="11.7109375" style="429" bestFit="1" customWidth="1"/>
    <col min="2" max="2" width="93.42578125" style="429" customWidth="1"/>
    <col min="3" max="3" width="14.7109375" style="429" customWidth="1"/>
    <col min="4" max="4" width="14.85546875" style="429" bestFit="1" customWidth="1"/>
    <col min="5" max="5" width="13.85546875" style="429" bestFit="1" customWidth="1"/>
    <col min="6" max="6" width="17.85546875" style="459" bestFit="1" customWidth="1"/>
    <col min="7" max="7" width="13.42578125" style="459" bestFit="1" customWidth="1"/>
    <col min="8" max="8" width="13" style="429" bestFit="1" customWidth="1"/>
    <col min="9" max="9" width="12.5703125" style="429" bestFit="1" customWidth="1"/>
    <col min="10" max="10" width="14.85546875" style="459" bestFit="1" customWidth="1"/>
    <col min="11" max="11" width="13.85546875" style="459" bestFit="1" customWidth="1"/>
    <col min="12" max="12" width="17.85546875" style="459" bestFit="1" customWidth="1"/>
    <col min="13" max="13" width="13.42578125" style="459" bestFit="1" customWidth="1"/>
    <col min="14" max="14" width="13" style="459" bestFit="1" customWidth="1"/>
    <col min="15" max="15" width="18.85546875" style="429" bestFit="1" customWidth="1"/>
    <col min="16" max="16384" width="9.28515625" style="429"/>
  </cols>
  <sheetData>
    <row r="1" spans="1:15">
      <c r="A1" s="428" t="s">
        <v>188</v>
      </c>
      <c r="B1" s="587" t="str">
        <f>'1. key ratios'!B1</f>
        <v>სს "ბანკი ქართუ"</v>
      </c>
      <c r="F1" s="429"/>
      <c r="G1" s="429"/>
      <c r="J1" s="429"/>
      <c r="K1" s="429"/>
      <c r="L1" s="429"/>
      <c r="M1" s="429"/>
      <c r="N1" s="429"/>
    </row>
    <row r="2" spans="1:15">
      <c r="A2" s="428" t="s">
        <v>189</v>
      </c>
      <c r="B2" s="686">
        <f>'1. key ratios'!B2</f>
        <v>44834</v>
      </c>
      <c r="F2" s="429"/>
      <c r="G2" s="429"/>
      <c r="J2" s="429"/>
      <c r="K2" s="429"/>
      <c r="L2" s="429"/>
      <c r="M2" s="429"/>
      <c r="N2" s="429"/>
    </row>
    <row r="3" spans="1:15">
      <c r="A3" s="430" t="s">
        <v>813</v>
      </c>
      <c r="B3" s="431"/>
      <c r="F3" s="429"/>
      <c r="G3" s="429"/>
      <c r="J3" s="429"/>
      <c r="K3" s="429"/>
      <c r="L3" s="429"/>
      <c r="M3" s="429"/>
      <c r="N3" s="429"/>
    </row>
    <row r="4" spans="1:15">
      <c r="F4" s="429"/>
      <c r="G4" s="429"/>
      <c r="J4" s="429"/>
      <c r="K4" s="429"/>
      <c r="L4" s="429"/>
      <c r="M4" s="429"/>
      <c r="N4" s="429"/>
    </row>
    <row r="5" spans="1:15" ht="37.5" customHeight="1">
      <c r="A5" s="742" t="s">
        <v>814</v>
      </c>
      <c r="B5" s="743"/>
      <c r="C5" s="787" t="s">
        <v>815</v>
      </c>
      <c r="D5" s="788"/>
      <c r="E5" s="788"/>
      <c r="F5" s="788"/>
      <c r="G5" s="788"/>
      <c r="H5" s="789"/>
      <c r="I5" s="787" t="s">
        <v>816</v>
      </c>
      <c r="J5" s="790"/>
      <c r="K5" s="790"/>
      <c r="L5" s="790"/>
      <c r="M5" s="790"/>
      <c r="N5" s="791"/>
      <c r="O5" s="792" t="s">
        <v>686</v>
      </c>
    </row>
    <row r="6" spans="1:15" ht="39.4" customHeight="1">
      <c r="A6" s="746"/>
      <c r="B6" s="747"/>
      <c r="C6" s="474"/>
      <c r="D6" s="475" t="s">
        <v>817</v>
      </c>
      <c r="E6" s="475" t="s">
        <v>818</v>
      </c>
      <c r="F6" s="475" t="s">
        <v>819</v>
      </c>
      <c r="G6" s="475" t="s">
        <v>820</v>
      </c>
      <c r="H6" s="475" t="s">
        <v>821</v>
      </c>
      <c r="I6" s="462"/>
      <c r="J6" s="475" t="s">
        <v>817</v>
      </c>
      <c r="K6" s="475" t="s">
        <v>818</v>
      </c>
      <c r="L6" s="475" t="s">
        <v>819</v>
      </c>
      <c r="M6" s="475" t="s">
        <v>820</v>
      </c>
      <c r="N6" s="475" t="s">
        <v>821</v>
      </c>
      <c r="O6" s="793"/>
    </row>
    <row r="7" spans="1:15">
      <c r="A7" s="443">
        <v>1</v>
      </c>
      <c r="B7" s="449" t="s">
        <v>696</v>
      </c>
      <c r="C7" s="601">
        <v>9036678.0899999999</v>
      </c>
      <c r="D7" s="585">
        <v>8751717.1699999999</v>
      </c>
      <c r="E7" s="585">
        <v>18847.13</v>
      </c>
      <c r="F7" s="602">
        <v>266113.78999999998</v>
      </c>
      <c r="G7" s="602">
        <v>0</v>
      </c>
      <c r="H7" s="585">
        <v>0</v>
      </c>
      <c r="I7" s="585">
        <v>256753.19291799996</v>
      </c>
      <c r="J7" s="602">
        <v>175034.34346999993</v>
      </c>
      <c r="K7" s="602">
        <v>1884.7129999999997</v>
      </c>
      <c r="L7" s="602">
        <v>79834.136448000005</v>
      </c>
      <c r="M7" s="602">
        <v>0</v>
      </c>
      <c r="N7" s="602">
        <v>0</v>
      </c>
      <c r="O7" s="585">
        <v>0</v>
      </c>
    </row>
    <row r="8" spans="1:15">
      <c r="A8" s="443">
        <v>2</v>
      </c>
      <c r="B8" s="449" t="s">
        <v>697</v>
      </c>
      <c r="C8" s="601">
        <v>3476386.0804000003</v>
      </c>
      <c r="D8" s="585">
        <v>3051259.2904000003</v>
      </c>
      <c r="E8" s="585">
        <v>111583.26</v>
      </c>
      <c r="F8" s="602">
        <v>313543.52999999997</v>
      </c>
      <c r="G8" s="602">
        <v>0</v>
      </c>
      <c r="H8" s="585">
        <v>0</v>
      </c>
      <c r="I8" s="585">
        <v>166246.57181100012</v>
      </c>
      <c r="J8" s="602">
        <v>61025.186020999965</v>
      </c>
      <c r="K8" s="602">
        <v>11158.325811000001</v>
      </c>
      <c r="L8" s="602">
        <v>94063.059978999998</v>
      </c>
      <c r="M8" s="602">
        <v>0</v>
      </c>
      <c r="N8" s="602">
        <v>0</v>
      </c>
      <c r="O8" s="585">
        <v>0</v>
      </c>
    </row>
    <row r="9" spans="1:15">
      <c r="A9" s="443">
        <v>3</v>
      </c>
      <c r="B9" s="449" t="s">
        <v>698</v>
      </c>
      <c r="C9" s="601">
        <v>0</v>
      </c>
      <c r="D9" s="585">
        <v>0</v>
      </c>
      <c r="E9" s="585">
        <v>0</v>
      </c>
      <c r="F9" s="603">
        <v>0</v>
      </c>
      <c r="G9" s="603">
        <v>0</v>
      </c>
      <c r="H9" s="585">
        <v>0</v>
      </c>
      <c r="I9" s="585">
        <v>0</v>
      </c>
      <c r="J9" s="603">
        <v>0</v>
      </c>
      <c r="K9" s="603">
        <v>0</v>
      </c>
      <c r="L9" s="603">
        <v>0</v>
      </c>
      <c r="M9" s="603">
        <v>0</v>
      </c>
      <c r="N9" s="603">
        <v>0</v>
      </c>
      <c r="O9" s="585">
        <v>0</v>
      </c>
    </row>
    <row r="10" spans="1:15">
      <c r="A10" s="443">
        <v>4</v>
      </c>
      <c r="B10" s="449" t="s">
        <v>699</v>
      </c>
      <c r="C10" s="601">
        <v>73089747.770000026</v>
      </c>
      <c r="D10" s="585">
        <v>27982454.329999998</v>
      </c>
      <c r="E10" s="585">
        <v>8319950.7400000002</v>
      </c>
      <c r="F10" s="603">
        <v>16997037.419999994</v>
      </c>
      <c r="G10" s="603">
        <v>19597071.199999999</v>
      </c>
      <c r="H10" s="585">
        <v>193234.08</v>
      </c>
      <c r="I10" s="585">
        <v>16353529.357153002</v>
      </c>
      <c r="J10" s="603">
        <v>559649.08624900004</v>
      </c>
      <c r="K10" s="603">
        <v>831995.07380300004</v>
      </c>
      <c r="L10" s="603">
        <v>5099111.2302710013</v>
      </c>
      <c r="M10" s="603">
        <v>9669539.8901579995</v>
      </c>
      <c r="N10" s="603">
        <v>193234.076672</v>
      </c>
      <c r="O10" s="585">
        <v>0</v>
      </c>
    </row>
    <row r="11" spans="1:15">
      <c r="A11" s="443">
        <v>5</v>
      </c>
      <c r="B11" s="449" t="s">
        <v>700</v>
      </c>
      <c r="C11" s="601">
        <v>70395095.659999982</v>
      </c>
      <c r="D11" s="585">
        <v>44749063.039999999</v>
      </c>
      <c r="E11" s="585">
        <v>1278306.7900000003</v>
      </c>
      <c r="F11" s="603">
        <v>10541713.220000001</v>
      </c>
      <c r="G11" s="603">
        <v>34465.120000000003</v>
      </c>
      <c r="H11" s="585">
        <v>13791547.489999998</v>
      </c>
      <c r="I11" s="585">
        <v>12492020.795079999</v>
      </c>
      <c r="J11" s="603">
        <v>894981.26076400024</v>
      </c>
      <c r="K11" s="603">
        <v>127830.679411</v>
      </c>
      <c r="L11" s="603">
        <v>3162513.9660530007</v>
      </c>
      <c r="M11" s="603">
        <v>17232.560000000001</v>
      </c>
      <c r="N11" s="603">
        <v>8289462.3288519997</v>
      </c>
      <c r="O11" s="585">
        <v>0</v>
      </c>
    </row>
    <row r="12" spans="1:15">
      <c r="A12" s="443">
        <v>6</v>
      </c>
      <c r="B12" s="449" t="s">
        <v>701</v>
      </c>
      <c r="C12" s="601">
        <v>48454769.409999996</v>
      </c>
      <c r="D12" s="585">
        <v>43600831.189999998</v>
      </c>
      <c r="E12" s="585">
        <v>0</v>
      </c>
      <c r="F12" s="603">
        <v>2193302.33</v>
      </c>
      <c r="G12" s="603">
        <v>0</v>
      </c>
      <c r="H12" s="585">
        <v>2660635.8899999997</v>
      </c>
      <c r="I12" s="585">
        <v>3658516.0307220002</v>
      </c>
      <c r="J12" s="603">
        <v>872016.62402699993</v>
      </c>
      <c r="K12" s="603">
        <v>0</v>
      </c>
      <c r="L12" s="603">
        <v>657990.69834300003</v>
      </c>
      <c r="M12" s="603">
        <v>0</v>
      </c>
      <c r="N12" s="603">
        <v>2128508.7083519995</v>
      </c>
      <c r="O12" s="585">
        <v>0</v>
      </c>
    </row>
    <row r="13" spans="1:15">
      <c r="A13" s="443">
        <v>7</v>
      </c>
      <c r="B13" s="449" t="s">
        <v>702</v>
      </c>
      <c r="C13" s="601">
        <v>12440990.210000005</v>
      </c>
      <c r="D13" s="585">
        <v>4027106.7900000005</v>
      </c>
      <c r="E13" s="585">
        <v>2597258.65</v>
      </c>
      <c r="F13" s="603">
        <v>593126.87</v>
      </c>
      <c r="G13" s="603">
        <v>5223497.9000000013</v>
      </c>
      <c r="H13" s="585">
        <v>0</v>
      </c>
      <c r="I13" s="585">
        <v>3129955.0036289995</v>
      </c>
      <c r="J13" s="603">
        <v>80542.136005000022</v>
      </c>
      <c r="K13" s="603">
        <v>259725.86499999999</v>
      </c>
      <c r="L13" s="603">
        <v>177938.06114399998</v>
      </c>
      <c r="M13" s="603">
        <v>2611748.9414799996</v>
      </c>
      <c r="N13" s="603">
        <v>0</v>
      </c>
      <c r="O13" s="585">
        <v>0</v>
      </c>
    </row>
    <row r="14" spans="1:15">
      <c r="A14" s="443">
        <v>8</v>
      </c>
      <c r="B14" s="449" t="s">
        <v>703</v>
      </c>
      <c r="C14" s="601">
        <v>22515534.649999995</v>
      </c>
      <c r="D14" s="585">
        <v>5050883.1000000006</v>
      </c>
      <c r="E14" s="585">
        <v>0</v>
      </c>
      <c r="F14" s="603">
        <v>8959051.5500000007</v>
      </c>
      <c r="G14" s="603">
        <v>0</v>
      </c>
      <c r="H14" s="585">
        <v>8505600</v>
      </c>
      <c r="I14" s="585">
        <v>7892093.1237320015</v>
      </c>
      <c r="J14" s="603">
        <v>101017.66187500001</v>
      </c>
      <c r="K14" s="603">
        <v>0</v>
      </c>
      <c r="L14" s="603">
        <v>2687715.4618569994</v>
      </c>
      <c r="M14" s="603">
        <v>0</v>
      </c>
      <c r="N14" s="603">
        <v>5103360</v>
      </c>
      <c r="O14" s="585">
        <v>0</v>
      </c>
    </row>
    <row r="15" spans="1:15">
      <c r="A15" s="443">
        <v>9</v>
      </c>
      <c r="B15" s="449" t="s">
        <v>704</v>
      </c>
      <c r="C15" s="601">
        <v>143292653.11000004</v>
      </c>
      <c r="D15" s="585">
        <v>85420242.190000042</v>
      </c>
      <c r="E15" s="585">
        <v>7241855.1900000004</v>
      </c>
      <c r="F15" s="603">
        <v>7788355.7500000009</v>
      </c>
      <c r="G15" s="603">
        <v>12367574.869999999</v>
      </c>
      <c r="H15" s="585">
        <v>30474625.109999999</v>
      </c>
      <c r="I15" s="585">
        <v>33162723.842133015</v>
      </c>
      <c r="J15" s="603">
        <v>1708404.8437050001</v>
      </c>
      <c r="K15" s="603">
        <v>724185.51922700007</v>
      </c>
      <c r="L15" s="603">
        <v>2336506.7237799997</v>
      </c>
      <c r="M15" s="603">
        <v>5318873.6418209998</v>
      </c>
      <c r="N15" s="603">
        <v>23074753.113600001</v>
      </c>
      <c r="O15" s="585">
        <v>0</v>
      </c>
    </row>
    <row r="16" spans="1:15">
      <c r="A16" s="443">
        <v>10</v>
      </c>
      <c r="B16" s="449" t="s">
        <v>705</v>
      </c>
      <c r="C16" s="601">
        <v>1897635.9899999998</v>
      </c>
      <c r="D16" s="585">
        <v>1863698.0199999998</v>
      </c>
      <c r="E16" s="585">
        <v>0</v>
      </c>
      <c r="F16" s="603">
        <v>33937.97</v>
      </c>
      <c r="G16" s="603">
        <v>0</v>
      </c>
      <c r="H16" s="585">
        <v>0</v>
      </c>
      <c r="I16" s="585">
        <v>47455.350742000002</v>
      </c>
      <c r="J16" s="603">
        <v>37273.960417999995</v>
      </c>
      <c r="K16" s="603">
        <v>0</v>
      </c>
      <c r="L16" s="603">
        <v>10181.390324</v>
      </c>
      <c r="M16" s="603">
        <v>0</v>
      </c>
      <c r="N16" s="603">
        <v>0</v>
      </c>
      <c r="O16" s="585">
        <v>0</v>
      </c>
    </row>
    <row r="17" spans="1:15">
      <c r="A17" s="443">
        <v>11</v>
      </c>
      <c r="B17" s="449" t="s">
        <v>706</v>
      </c>
      <c r="C17" s="601">
        <v>1112989.6099999999</v>
      </c>
      <c r="D17" s="585">
        <v>1112989.6099999999</v>
      </c>
      <c r="E17" s="585">
        <v>0</v>
      </c>
      <c r="F17" s="603">
        <v>0</v>
      </c>
      <c r="G17" s="603">
        <v>0</v>
      </c>
      <c r="H17" s="585">
        <v>0</v>
      </c>
      <c r="I17" s="585">
        <v>22259.792256000001</v>
      </c>
      <c r="J17" s="603">
        <v>22259.792256000001</v>
      </c>
      <c r="K17" s="603">
        <v>0</v>
      </c>
      <c r="L17" s="603">
        <v>0</v>
      </c>
      <c r="M17" s="603">
        <v>0</v>
      </c>
      <c r="N17" s="603">
        <v>0</v>
      </c>
      <c r="O17" s="585">
        <v>0</v>
      </c>
    </row>
    <row r="18" spans="1:15">
      <c r="A18" s="443">
        <v>12</v>
      </c>
      <c r="B18" s="449" t="s">
        <v>707</v>
      </c>
      <c r="C18" s="601">
        <v>27571552.929500002</v>
      </c>
      <c r="D18" s="585">
        <v>6368884.4895000001</v>
      </c>
      <c r="E18" s="585">
        <v>0</v>
      </c>
      <c r="F18" s="603">
        <v>20285236.020000003</v>
      </c>
      <c r="G18" s="603">
        <v>917432.42</v>
      </c>
      <c r="H18" s="585">
        <v>0</v>
      </c>
      <c r="I18" s="585">
        <v>6671664.7018819982</v>
      </c>
      <c r="J18" s="603">
        <v>127377.68981000001</v>
      </c>
      <c r="K18" s="603">
        <v>0</v>
      </c>
      <c r="L18" s="603">
        <v>6085570.8038479993</v>
      </c>
      <c r="M18" s="603">
        <v>458716.20822400006</v>
      </c>
      <c r="N18" s="603">
        <v>0</v>
      </c>
      <c r="O18" s="585">
        <v>0</v>
      </c>
    </row>
    <row r="19" spans="1:15">
      <c r="A19" s="443">
        <v>13</v>
      </c>
      <c r="B19" s="449" t="s">
        <v>708</v>
      </c>
      <c r="C19" s="601">
        <v>21086703.389999997</v>
      </c>
      <c r="D19" s="585">
        <v>16191060.000000002</v>
      </c>
      <c r="E19" s="585">
        <v>0</v>
      </c>
      <c r="F19" s="603">
        <v>3738210.58</v>
      </c>
      <c r="G19" s="603">
        <v>0</v>
      </c>
      <c r="H19" s="585">
        <v>1157432.81</v>
      </c>
      <c r="I19" s="585">
        <v>2254917.8366420004</v>
      </c>
      <c r="J19" s="603">
        <v>323251.69686600007</v>
      </c>
      <c r="K19" s="603">
        <v>0</v>
      </c>
      <c r="L19" s="603">
        <v>1121463.1761020001</v>
      </c>
      <c r="M19" s="603">
        <v>0</v>
      </c>
      <c r="N19" s="603">
        <v>810202.963674</v>
      </c>
      <c r="O19" s="585">
        <v>0</v>
      </c>
    </row>
    <row r="20" spans="1:15">
      <c r="A20" s="443">
        <v>14</v>
      </c>
      <c r="B20" s="449" t="s">
        <v>709</v>
      </c>
      <c r="C20" s="601">
        <v>38688070.500000022</v>
      </c>
      <c r="D20" s="585">
        <v>19311643.32</v>
      </c>
      <c r="E20" s="585">
        <v>2385272.5599999996</v>
      </c>
      <c r="F20" s="603">
        <v>10972974.27</v>
      </c>
      <c r="G20" s="603">
        <v>4883880.790000001</v>
      </c>
      <c r="H20" s="585">
        <v>1134299.56</v>
      </c>
      <c r="I20" s="585">
        <v>6973387.0506860008</v>
      </c>
      <c r="J20" s="603">
        <v>386232.86665499996</v>
      </c>
      <c r="K20" s="603">
        <v>238527.25628900001</v>
      </c>
      <c r="L20" s="603">
        <v>3291892.2787609994</v>
      </c>
      <c r="M20" s="603">
        <v>2376154.9142479999</v>
      </c>
      <c r="N20" s="603">
        <v>680579.73473300005</v>
      </c>
      <c r="O20" s="585">
        <v>0</v>
      </c>
    </row>
    <row r="21" spans="1:15">
      <c r="A21" s="443">
        <v>15</v>
      </c>
      <c r="B21" s="449" t="s">
        <v>710</v>
      </c>
      <c r="C21" s="601">
        <v>646937.29999999993</v>
      </c>
      <c r="D21" s="585">
        <v>29361.89</v>
      </c>
      <c r="E21" s="585">
        <v>0</v>
      </c>
      <c r="F21" s="603">
        <v>617575.40999999992</v>
      </c>
      <c r="G21" s="603">
        <v>0</v>
      </c>
      <c r="H21" s="585">
        <v>0</v>
      </c>
      <c r="I21" s="585">
        <v>185859.86268100003</v>
      </c>
      <c r="J21" s="603">
        <v>587.23779999999999</v>
      </c>
      <c r="K21" s="603">
        <v>0</v>
      </c>
      <c r="L21" s="603">
        <v>185272.62488100003</v>
      </c>
      <c r="M21" s="603">
        <v>0</v>
      </c>
      <c r="N21" s="603">
        <v>0</v>
      </c>
      <c r="O21" s="585">
        <v>0</v>
      </c>
    </row>
    <row r="22" spans="1:15">
      <c r="A22" s="443">
        <v>16</v>
      </c>
      <c r="B22" s="449" t="s">
        <v>711</v>
      </c>
      <c r="C22" s="601">
        <v>45424830.549999997</v>
      </c>
      <c r="D22" s="585">
        <v>45357947.469999999</v>
      </c>
      <c r="E22" s="585">
        <v>0</v>
      </c>
      <c r="F22" s="603">
        <v>0</v>
      </c>
      <c r="G22" s="603">
        <v>66883.08</v>
      </c>
      <c r="H22" s="585">
        <v>0</v>
      </c>
      <c r="I22" s="585">
        <v>940600.487846</v>
      </c>
      <c r="J22" s="603">
        <v>907158.94944600004</v>
      </c>
      <c r="K22" s="603">
        <v>0</v>
      </c>
      <c r="L22" s="603">
        <v>0</v>
      </c>
      <c r="M22" s="603">
        <v>33441.538399999998</v>
      </c>
      <c r="N22" s="603">
        <v>0</v>
      </c>
      <c r="O22" s="585">
        <v>0</v>
      </c>
    </row>
    <row r="23" spans="1:15">
      <c r="A23" s="443">
        <v>17</v>
      </c>
      <c r="B23" s="449" t="s">
        <v>712</v>
      </c>
      <c r="C23" s="601">
        <v>16681039.439999998</v>
      </c>
      <c r="D23" s="585">
        <v>12780504.749999998</v>
      </c>
      <c r="E23" s="585">
        <v>3900534.69</v>
      </c>
      <c r="F23" s="603">
        <v>0</v>
      </c>
      <c r="G23" s="603">
        <v>0</v>
      </c>
      <c r="H23" s="585">
        <v>0</v>
      </c>
      <c r="I23" s="585">
        <v>645663.56354500004</v>
      </c>
      <c r="J23" s="603">
        <v>255610.09468399998</v>
      </c>
      <c r="K23" s="603">
        <v>390053.46886099997</v>
      </c>
      <c r="L23" s="603">
        <v>0</v>
      </c>
      <c r="M23" s="603">
        <v>0</v>
      </c>
      <c r="N23" s="603">
        <v>0</v>
      </c>
      <c r="O23" s="585">
        <v>0</v>
      </c>
    </row>
    <row r="24" spans="1:15">
      <c r="A24" s="443">
        <v>18</v>
      </c>
      <c r="B24" s="449" t="s">
        <v>713</v>
      </c>
      <c r="C24" s="601">
        <v>3262826.33</v>
      </c>
      <c r="D24" s="585">
        <v>891668.22000000009</v>
      </c>
      <c r="E24" s="585">
        <v>471574.11</v>
      </c>
      <c r="F24" s="603">
        <v>0</v>
      </c>
      <c r="G24" s="603">
        <v>0</v>
      </c>
      <c r="H24" s="585">
        <v>1899584</v>
      </c>
      <c r="I24" s="585">
        <v>1190883.124263</v>
      </c>
      <c r="J24" s="603">
        <v>3975.313306</v>
      </c>
      <c r="K24" s="603">
        <v>47157.410957</v>
      </c>
      <c r="L24" s="603">
        <v>0</v>
      </c>
      <c r="M24" s="603">
        <v>0</v>
      </c>
      <c r="N24" s="603">
        <v>1139750.3999999999</v>
      </c>
      <c r="O24" s="585">
        <v>0</v>
      </c>
    </row>
    <row r="25" spans="1:15">
      <c r="A25" s="443">
        <v>19</v>
      </c>
      <c r="B25" s="449" t="s">
        <v>714</v>
      </c>
      <c r="C25" s="601">
        <v>21600273.860000003</v>
      </c>
      <c r="D25" s="585">
        <v>1417485.1500000001</v>
      </c>
      <c r="E25" s="585">
        <v>20182788.710000001</v>
      </c>
      <c r="F25" s="603">
        <v>0</v>
      </c>
      <c r="G25" s="603">
        <v>0</v>
      </c>
      <c r="H25" s="585">
        <v>0</v>
      </c>
      <c r="I25" s="585">
        <v>2046628.5739889997</v>
      </c>
      <c r="J25" s="603">
        <v>28349.702834000007</v>
      </c>
      <c r="K25" s="603">
        <v>2018278.8711550001</v>
      </c>
      <c r="L25" s="603">
        <v>0</v>
      </c>
      <c r="M25" s="603">
        <v>0</v>
      </c>
      <c r="N25" s="603">
        <v>0</v>
      </c>
      <c r="O25" s="585">
        <v>0</v>
      </c>
    </row>
    <row r="26" spans="1:15">
      <c r="A26" s="443">
        <v>20</v>
      </c>
      <c r="B26" s="449" t="s">
        <v>715</v>
      </c>
      <c r="C26" s="601">
        <v>34260004.250000007</v>
      </c>
      <c r="D26" s="585">
        <v>33871034.310000002</v>
      </c>
      <c r="E26" s="585">
        <v>388969.94</v>
      </c>
      <c r="F26" s="603">
        <v>0</v>
      </c>
      <c r="G26" s="603">
        <v>0</v>
      </c>
      <c r="H26" s="585">
        <v>0</v>
      </c>
      <c r="I26" s="585">
        <v>716317.67886999995</v>
      </c>
      <c r="J26" s="603">
        <v>677420.68548800005</v>
      </c>
      <c r="K26" s="603">
        <v>38896.993382000001</v>
      </c>
      <c r="L26" s="603">
        <v>0</v>
      </c>
      <c r="M26" s="603">
        <v>0</v>
      </c>
      <c r="N26" s="603">
        <v>0</v>
      </c>
      <c r="O26" s="585">
        <v>0</v>
      </c>
    </row>
    <row r="27" spans="1:15">
      <c r="A27" s="443">
        <v>21</v>
      </c>
      <c r="B27" s="449" t="s">
        <v>716</v>
      </c>
      <c r="C27" s="601">
        <v>2203167.2000000002</v>
      </c>
      <c r="D27" s="585">
        <v>2203167.2000000002</v>
      </c>
      <c r="E27" s="585">
        <v>0</v>
      </c>
      <c r="F27" s="603">
        <v>0</v>
      </c>
      <c r="G27" s="603">
        <v>0</v>
      </c>
      <c r="H27" s="585">
        <v>0</v>
      </c>
      <c r="I27" s="585">
        <v>44063.343945999994</v>
      </c>
      <c r="J27" s="603">
        <v>44063.343945999994</v>
      </c>
      <c r="K27" s="603">
        <v>0</v>
      </c>
      <c r="L27" s="603">
        <v>0</v>
      </c>
      <c r="M27" s="603">
        <v>0</v>
      </c>
      <c r="N27" s="603">
        <v>0</v>
      </c>
      <c r="O27" s="585">
        <v>0</v>
      </c>
    </row>
    <row r="28" spans="1:15">
      <c r="A28" s="443">
        <v>22</v>
      </c>
      <c r="B28" s="449" t="s">
        <v>717</v>
      </c>
      <c r="C28" s="601">
        <v>37937274.510000005</v>
      </c>
      <c r="D28" s="585">
        <v>29180222.84</v>
      </c>
      <c r="E28" s="585">
        <v>0</v>
      </c>
      <c r="F28" s="603">
        <v>460657.03</v>
      </c>
      <c r="G28" s="603">
        <v>153335.44</v>
      </c>
      <c r="H28" s="585">
        <v>8143059.2000000002</v>
      </c>
      <c r="I28" s="585">
        <v>8370388.2464420004</v>
      </c>
      <c r="J28" s="603">
        <v>12464.216804</v>
      </c>
      <c r="K28" s="603">
        <v>0</v>
      </c>
      <c r="L28" s="603">
        <v>138197.109062</v>
      </c>
      <c r="M28" s="603">
        <v>76667.720576000007</v>
      </c>
      <c r="N28" s="603">
        <v>8143059.2000000002</v>
      </c>
      <c r="O28" s="585">
        <v>0</v>
      </c>
    </row>
    <row r="29" spans="1:15">
      <c r="A29" s="443">
        <v>23</v>
      </c>
      <c r="B29" s="449" t="s">
        <v>718</v>
      </c>
      <c r="C29" s="601">
        <v>72575458.069999993</v>
      </c>
      <c r="D29" s="585">
        <v>63064361.729999997</v>
      </c>
      <c r="E29" s="585">
        <v>75350.439999999988</v>
      </c>
      <c r="F29" s="603">
        <v>3098590.9199999995</v>
      </c>
      <c r="G29" s="603">
        <v>627689.94999999995</v>
      </c>
      <c r="H29" s="585">
        <v>5709465.0300000003</v>
      </c>
      <c r="I29" s="585">
        <v>5937923.5443889983</v>
      </c>
      <c r="J29" s="603">
        <v>1261287.23459</v>
      </c>
      <c r="K29" s="603">
        <v>7535.0431450000005</v>
      </c>
      <c r="L29" s="603">
        <v>929577.27549199993</v>
      </c>
      <c r="M29" s="603">
        <v>313844.97315199999</v>
      </c>
      <c r="N29" s="603">
        <v>3425679.0180100002</v>
      </c>
      <c r="O29" s="585">
        <v>0</v>
      </c>
    </row>
    <row r="30" spans="1:15">
      <c r="A30" s="443">
        <v>24</v>
      </c>
      <c r="B30" s="449" t="s">
        <v>719</v>
      </c>
      <c r="C30" s="601">
        <v>46733401.760000035</v>
      </c>
      <c r="D30" s="585">
        <v>24812883.880000003</v>
      </c>
      <c r="E30" s="585">
        <v>9117657.1499999985</v>
      </c>
      <c r="F30" s="603">
        <v>3632584.2499999995</v>
      </c>
      <c r="G30" s="603">
        <v>578070.32000000007</v>
      </c>
      <c r="H30" s="585">
        <v>8592206.1600000001</v>
      </c>
      <c r="I30" s="585">
        <v>8562470.0358919986</v>
      </c>
      <c r="J30" s="603">
        <v>496257.67789600015</v>
      </c>
      <c r="K30" s="603">
        <v>911765.71464800008</v>
      </c>
      <c r="L30" s="603">
        <v>1089775.2724609997</v>
      </c>
      <c r="M30" s="603">
        <v>289035.15862400003</v>
      </c>
      <c r="N30" s="603">
        <v>5775636.2122630002</v>
      </c>
      <c r="O30" s="585">
        <v>0</v>
      </c>
    </row>
    <row r="31" spans="1:15">
      <c r="A31" s="443">
        <v>25</v>
      </c>
      <c r="B31" s="449" t="s">
        <v>720</v>
      </c>
      <c r="C31" s="601">
        <v>30025072.525100019</v>
      </c>
      <c r="D31" s="585">
        <v>25514505.191300031</v>
      </c>
      <c r="E31" s="585">
        <v>1566656.32</v>
      </c>
      <c r="F31" s="603">
        <v>1441236.1524</v>
      </c>
      <c r="G31" s="603">
        <v>1502557.1300000001</v>
      </c>
      <c r="H31" s="585">
        <v>117.73139999999999</v>
      </c>
      <c r="I31" s="585">
        <v>1841180.0998840006</v>
      </c>
      <c r="J31" s="603">
        <v>500794.41623099975</v>
      </c>
      <c r="K31" s="603">
        <v>156665.63305</v>
      </c>
      <c r="L31" s="603">
        <v>432370.84485099989</v>
      </c>
      <c r="M31" s="603">
        <v>751278.56691199995</v>
      </c>
      <c r="N31" s="603">
        <v>70.638840000000002</v>
      </c>
      <c r="O31" s="585">
        <v>0</v>
      </c>
    </row>
    <row r="32" spans="1:15">
      <c r="A32" s="443">
        <v>26</v>
      </c>
      <c r="B32" s="449" t="s">
        <v>822</v>
      </c>
      <c r="C32" s="601">
        <v>1104560.7448999998</v>
      </c>
      <c r="D32" s="585">
        <v>1091852.8073999998</v>
      </c>
      <c r="E32" s="585">
        <v>2866.53</v>
      </c>
      <c r="F32" s="603">
        <v>891.54750000000001</v>
      </c>
      <c r="G32" s="603">
        <v>723.39</v>
      </c>
      <c r="H32" s="585">
        <v>8226.4700000000012</v>
      </c>
      <c r="I32" s="585">
        <v>30978.979397999999</v>
      </c>
      <c r="J32" s="603">
        <v>21837.056148</v>
      </c>
      <c r="K32" s="603">
        <v>286.65300000000002</v>
      </c>
      <c r="L32" s="603">
        <v>267.46424999999999</v>
      </c>
      <c r="M32" s="603">
        <v>361.33599999999996</v>
      </c>
      <c r="N32" s="603">
        <v>8226.4700000000012</v>
      </c>
      <c r="O32" s="585">
        <v>0</v>
      </c>
    </row>
    <row r="33" spans="1:15">
      <c r="A33" s="443">
        <v>27</v>
      </c>
      <c r="B33" s="476" t="s">
        <v>68</v>
      </c>
      <c r="C33" s="604">
        <f>SUM(C7:C32)</f>
        <v>785513653.93990016</v>
      </c>
      <c r="D33" s="586">
        <f t="shared" ref="D33:N33" si="0">SUM(D7:D32)</f>
        <v>507696827.97860003</v>
      </c>
      <c r="E33" s="586">
        <f t="shared" si="0"/>
        <v>57659472.209999993</v>
      </c>
      <c r="F33" s="683">
        <f t="shared" si="0"/>
        <v>91934138.609899983</v>
      </c>
      <c r="G33" s="683">
        <f t="shared" si="0"/>
        <v>45953181.610000007</v>
      </c>
      <c r="H33" s="586">
        <f t="shared" si="0"/>
        <v>82270033.531399995</v>
      </c>
      <c r="I33" s="586">
        <f t="shared" si="0"/>
        <v>123594480.19053103</v>
      </c>
      <c r="J33" s="683">
        <f t="shared" si="0"/>
        <v>9558873.0772940014</v>
      </c>
      <c r="K33" s="683">
        <f t="shared" si="0"/>
        <v>5765947.2207390014</v>
      </c>
      <c r="L33" s="683">
        <f t="shared" si="0"/>
        <v>27580241.577906996</v>
      </c>
      <c r="M33" s="683">
        <f t="shared" si="0"/>
        <v>21916895.449595001</v>
      </c>
      <c r="N33" s="683">
        <f t="shared" si="0"/>
        <v>58772522.864996001</v>
      </c>
      <c r="O33" s="586">
        <v>0</v>
      </c>
    </row>
    <row r="35" spans="1:15">
      <c r="B35" s="450"/>
      <c r="C35" s="450"/>
    </row>
    <row r="41" spans="1:15">
      <c r="A41" s="446"/>
      <c r="B41" s="446"/>
      <c r="C41" s="446"/>
    </row>
    <row r="42" spans="1:15">
      <c r="A42" s="446"/>
      <c r="B42" s="446"/>
      <c r="C42" s="44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2" sqref="B2"/>
    </sheetView>
  </sheetViews>
  <sheetFormatPr defaultColWidth="8.7109375" defaultRowHeight="12"/>
  <cols>
    <col min="1" max="1" width="11.7109375" style="477" bestFit="1" customWidth="1"/>
    <col min="2" max="2" width="80.28515625" style="477" customWidth="1"/>
    <col min="3" max="11" width="28.28515625" style="477" customWidth="1"/>
    <col min="12" max="16384" width="8.7109375" style="477"/>
  </cols>
  <sheetData>
    <row r="1" spans="1:11" s="429" customFormat="1" ht="12.75">
      <c r="A1" s="428" t="s">
        <v>188</v>
      </c>
      <c r="B1" s="587" t="str">
        <f>'1. key ratios'!B1</f>
        <v>სს "ბანკი ქართუ"</v>
      </c>
    </row>
    <row r="2" spans="1:11" s="429" customFormat="1" ht="12.75">
      <c r="A2" s="428" t="s">
        <v>189</v>
      </c>
      <c r="B2" s="686">
        <f>'1. key ratios'!B2</f>
        <v>44834</v>
      </c>
    </row>
    <row r="3" spans="1:11" s="429" customFormat="1" ht="12.75">
      <c r="A3" s="430" t="s">
        <v>823</v>
      </c>
      <c r="B3" s="431"/>
    </row>
    <row r="4" spans="1:11">
      <c r="C4" s="478" t="s">
        <v>673</v>
      </c>
      <c r="D4" s="478" t="s">
        <v>674</v>
      </c>
      <c r="E4" s="478" t="s">
        <v>675</v>
      </c>
      <c r="F4" s="478" t="s">
        <v>676</v>
      </c>
      <c r="G4" s="478" t="s">
        <v>677</v>
      </c>
      <c r="H4" s="478" t="s">
        <v>678</v>
      </c>
      <c r="I4" s="478" t="s">
        <v>679</v>
      </c>
      <c r="J4" s="478" t="s">
        <v>680</v>
      </c>
      <c r="K4" s="478" t="s">
        <v>681</v>
      </c>
    </row>
    <row r="5" spans="1:11" ht="103.9" customHeight="1">
      <c r="A5" s="794" t="s">
        <v>824</v>
      </c>
      <c r="B5" s="795"/>
      <c r="C5" s="432" t="s">
        <v>825</v>
      </c>
      <c r="D5" s="432" t="s">
        <v>811</v>
      </c>
      <c r="E5" s="432" t="s">
        <v>812</v>
      </c>
      <c r="F5" s="432" t="s">
        <v>826</v>
      </c>
      <c r="G5" s="432" t="s">
        <v>827</v>
      </c>
      <c r="H5" s="432" t="s">
        <v>828</v>
      </c>
      <c r="I5" s="432" t="s">
        <v>829</v>
      </c>
      <c r="J5" s="432" t="s">
        <v>830</v>
      </c>
      <c r="K5" s="432" t="s">
        <v>831</v>
      </c>
    </row>
    <row r="6" spans="1:11" ht="12.75">
      <c r="A6" s="443">
        <v>1</v>
      </c>
      <c r="B6" s="443" t="s">
        <v>832</v>
      </c>
      <c r="C6" s="585">
        <v>38547651.954002917</v>
      </c>
      <c r="D6" s="585">
        <v>8520560.5530000031</v>
      </c>
      <c r="E6" s="585">
        <v>0</v>
      </c>
      <c r="F6" s="585">
        <v>0</v>
      </c>
      <c r="G6" s="585">
        <v>600974308.68135166</v>
      </c>
      <c r="H6" s="585">
        <v>3912894.6431562807</v>
      </c>
      <c r="I6" s="585">
        <v>87131174.969694331</v>
      </c>
      <c r="J6" s="585">
        <v>6529806.5143933492</v>
      </c>
      <c r="K6" s="585">
        <v>39897256.624300182</v>
      </c>
    </row>
    <row r="7" spans="1:11" ht="12.75">
      <c r="A7" s="443">
        <v>2</v>
      </c>
      <c r="B7" s="443" t="s">
        <v>833</v>
      </c>
      <c r="C7" s="585">
        <v>0</v>
      </c>
      <c r="D7" s="585">
        <v>0</v>
      </c>
      <c r="E7" s="585">
        <v>0</v>
      </c>
      <c r="F7" s="585">
        <v>0</v>
      </c>
      <c r="G7" s="585">
        <v>0</v>
      </c>
      <c r="H7" s="585">
        <v>0</v>
      </c>
      <c r="I7" s="585">
        <v>0</v>
      </c>
      <c r="J7" s="585">
        <v>0</v>
      </c>
      <c r="K7" s="585">
        <v>3000000</v>
      </c>
    </row>
    <row r="8" spans="1:11" ht="12.75">
      <c r="A8" s="443">
        <v>3</v>
      </c>
      <c r="B8" s="443" t="s">
        <v>783</v>
      </c>
      <c r="C8" s="585">
        <v>8317336.7056770688</v>
      </c>
      <c r="D8" s="585">
        <v>0</v>
      </c>
      <c r="E8" s="585">
        <v>0</v>
      </c>
      <c r="F8" s="585">
        <v>0</v>
      </c>
      <c r="G8" s="585">
        <v>34230679.699569866</v>
      </c>
      <c r="H8" s="585">
        <v>481665.35684372013</v>
      </c>
      <c r="I8" s="585">
        <v>10493148.365188558</v>
      </c>
      <c r="J8" s="585">
        <v>2751689.6776448041</v>
      </c>
      <c r="K8" s="585">
        <v>10980901.944876</v>
      </c>
    </row>
    <row r="9" spans="1:11" ht="12.75">
      <c r="A9" s="443">
        <v>4</v>
      </c>
      <c r="B9" s="465" t="s">
        <v>834</v>
      </c>
      <c r="C9" s="585">
        <v>5924256.6897786036</v>
      </c>
      <c r="D9" s="585">
        <v>3889155.8223999999</v>
      </c>
      <c r="E9" s="585">
        <v>0</v>
      </c>
      <c r="F9" s="585">
        <v>0</v>
      </c>
      <c r="G9" s="585">
        <v>177618148.35291833</v>
      </c>
      <c r="H9" s="585">
        <v>0</v>
      </c>
      <c r="I9" s="585">
        <v>17082726.873046476</v>
      </c>
      <c r="J9" s="585">
        <v>2929243.8477187604</v>
      </c>
      <c r="K9" s="585">
        <v>12713822.165437747</v>
      </c>
    </row>
    <row r="10" spans="1:11" ht="12.75">
      <c r="A10" s="443">
        <v>5</v>
      </c>
      <c r="B10" s="465" t="s">
        <v>835</v>
      </c>
      <c r="C10" s="585">
        <v>0</v>
      </c>
      <c r="D10" s="585">
        <v>0</v>
      </c>
      <c r="E10" s="585">
        <v>0</v>
      </c>
      <c r="F10" s="585">
        <v>0</v>
      </c>
      <c r="G10" s="585">
        <v>0</v>
      </c>
      <c r="H10" s="585">
        <v>0</v>
      </c>
      <c r="I10" s="585">
        <v>0</v>
      </c>
      <c r="J10" s="585">
        <v>0</v>
      </c>
      <c r="K10" s="585">
        <v>0</v>
      </c>
    </row>
    <row r="11" spans="1:11" ht="12.75">
      <c r="A11" s="443">
        <v>6</v>
      </c>
      <c r="B11" s="465" t="s">
        <v>836</v>
      </c>
      <c r="C11" s="585">
        <v>0</v>
      </c>
      <c r="D11" s="585">
        <v>0</v>
      </c>
      <c r="E11" s="585">
        <v>0</v>
      </c>
      <c r="F11" s="585">
        <v>0</v>
      </c>
      <c r="G11" s="585">
        <v>4002481.6700000004</v>
      </c>
      <c r="H11" s="585">
        <v>0</v>
      </c>
      <c r="I11" s="585">
        <v>0</v>
      </c>
      <c r="J11" s="585">
        <v>0</v>
      </c>
      <c r="K11" s="585">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election activeCell="B2" sqref="B2"/>
    </sheetView>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28" t="s">
        <v>188</v>
      </c>
      <c r="B1" s="587" t="str">
        <f>'1. key ratios'!B1</f>
        <v>სს "ბანკი ქართუ"</v>
      </c>
    </row>
    <row r="2" spans="1:19">
      <c r="A2" s="428" t="s">
        <v>189</v>
      </c>
      <c r="B2" s="686">
        <f>'1. key ratios'!B2</f>
        <v>44834</v>
      </c>
    </row>
    <row r="3" spans="1:19">
      <c r="A3" s="430" t="s">
        <v>994</v>
      </c>
      <c r="B3" s="429"/>
    </row>
    <row r="4" spans="1:19">
      <c r="A4" s="430"/>
      <c r="B4" s="429"/>
    </row>
    <row r="5" spans="1:19" ht="24" customHeight="1">
      <c r="A5" s="797" t="s">
        <v>995</v>
      </c>
      <c r="B5" s="797"/>
      <c r="C5" s="798" t="s">
        <v>786</v>
      </c>
      <c r="D5" s="798"/>
      <c r="E5" s="798"/>
      <c r="F5" s="798"/>
      <c r="G5" s="798"/>
      <c r="H5" s="798"/>
      <c r="I5" s="798" t="s">
        <v>996</v>
      </c>
      <c r="J5" s="798"/>
      <c r="K5" s="798"/>
      <c r="L5" s="798"/>
      <c r="M5" s="798"/>
      <c r="N5" s="798"/>
      <c r="O5" s="796" t="s">
        <v>997</v>
      </c>
      <c r="P5" s="796" t="s">
        <v>998</v>
      </c>
      <c r="Q5" s="796" t="s">
        <v>999</v>
      </c>
      <c r="R5" s="796" t="s">
        <v>1000</v>
      </c>
      <c r="S5" s="796" t="s">
        <v>1001</v>
      </c>
    </row>
    <row r="6" spans="1:19" ht="36" customHeight="1">
      <c r="A6" s="797"/>
      <c r="B6" s="797"/>
      <c r="C6" s="605"/>
      <c r="D6" s="475" t="s">
        <v>817</v>
      </c>
      <c r="E6" s="475" t="s">
        <v>818</v>
      </c>
      <c r="F6" s="475" t="s">
        <v>819</v>
      </c>
      <c r="G6" s="475" t="s">
        <v>820</v>
      </c>
      <c r="H6" s="475" t="s">
        <v>821</v>
      </c>
      <c r="I6" s="605"/>
      <c r="J6" s="475" t="s">
        <v>817</v>
      </c>
      <c r="K6" s="475" t="s">
        <v>818</v>
      </c>
      <c r="L6" s="475" t="s">
        <v>819</v>
      </c>
      <c r="M6" s="475" t="s">
        <v>820</v>
      </c>
      <c r="N6" s="475" t="s">
        <v>821</v>
      </c>
      <c r="O6" s="796"/>
      <c r="P6" s="796"/>
      <c r="Q6" s="796"/>
      <c r="R6" s="796"/>
      <c r="S6" s="796"/>
    </row>
    <row r="7" spans="1:19">
      <c r="A7" s="606">
        <v>1</v>
      </c>
      <c r="B7" s="607" t="s">
        <v>1002</v>
      </c>
      <c r="C7" s="665">
        <v>201816.44</v>
      </c>
      <c r="D7" s="665">
        <v>141690.74</v>
      </c>
      <c r="E7" s="665">
        <v>1875.13</v>
      </c>
      <c r="F7" s="665">
        <v>58250.57</v>
      </c>
      <c r="G7" s="665">
        <v>0</v>
      </c>
      <c r="H7" s="665">
        <v>0</v>
      </c>
      <c r="I7" s="665">
        <v>20496.498856999999</v>
      </c>
      <c r="J7" s="665">
        <v>2833.8148570000003</v>
      </c>
      <c r="K7" s="665">
        <v>187.51300000000001</v>
      </c>
      <c r="L7" s="665">
        <v>17475.171000000002</v>
      </c>
      <c r="M7" s="665">
        <v>0</v>
      </c>
      <c r="N7" s="665">
        <v>0</v>
      </c>
      <c r="O7" s="665">
        <v>13</v>
      </c>
      <c r="P7" s="667">
        <v>0</v>
      </c>
      <c r="Q7" s="667">
        <v>0</v>
      </c>
      <c r="R7" s="667">
        <v>0.13239932986133338</v>
      </c>
      <c r="S7" s="663">
        <v>56.543258821308463</v>
      </c>
    </row>
    <row r="8" spans="1:19">
      <c r="A8" s="606">
        <v>2</v>
      </c>
      <c r="B8" s="609" t="s">
        <v>1003</v>
      </c>
      <c r="C8" s="665">
        <v>4823313.5399999991</v>
      </c>
      <c r="D8" s="665">
        <v>3281369.4000000004</v>
      </c>
      <c r="E8" s="665">
        <v>211180.28999999998</v>
      </c>
      <c r="F8" s="665">
        <v>823614.33999999985</v>
      </c>
      <c r="G8" s="665">
        <v>507149.50999999995</v>
      </c>
      <c r="H8" s="665">
        <v>0</v>
      </c>
      <c r="I8" s="665">
        <v>579472.83923499996</v>
      </c>
      <c r="J8" s="665">
        <v>57695.753378000009</v>
      </c>
      <c r="K8" s="665">
        <v>21118.02836</v>
      </c>
      <c r="L8" s="665">
        <v>247084.302153</v>
      </c>
      <c r="M8" s="665">
        <v>253574.755344</v>
      </c>
      <c r="N8" s="665">
        <v>0</v>
      </c>
      <c r="O8" s="665">
        <v>117</v>
      </c>
      <c r="P8" s="667">
        <v>9.3676390585948371E-2</v>
      </c>
      <c r="Q8" s="667">
        <v>9.7966251979339475E-2</v>
      </c>
      <c r="R8" s="667">
        <v>9.9640292244405904E-2</v>
      </c>
      <c r="S8" s="663">
        <v>59.502439200073745</v>
      </c>
    </row>
    <row r="9" spans="1:19">
      <c r="A9" s="606">
        <v>3</v>
      </c>
      <c r="B9" s="609" t="s">
        <v>1004</v>
      </c>
      <c r="C9" s="665">
        <v>0</v>
      </c>
      <c r="D9" s="665">
        <v>0</v>
      </c>
      <c r="E9" s="665">
        <v>0</v>
      </c>
      <c r="F9" s="665">
        <v>0</v>
      </c>
      <c r="G9" s="665">
        <v>0</v>
      </c>
      <c r="H9" s="665">
        <v>0</v>
      </c>
      <c r="I9" s="665">
        <v>0</v>
      </c>
      <c r="J9" s="665">
        <v>0</v>
      </c>
      <c r="K9" s="665">
        <v>0</v>
      </c>
      <c r="L9" s="665">
        <v>0</v>
      </c>
      <c r="M9" s="665">
        <v>0</v>
      </c>
      <c r="N9" s="665">
        <v>0</v>
      </c>
      <c r="O9" s="665">
        <v>0</v>
      </c>
      <c r="P9" s="667">
        <v>0</v>
      </c>
      <c r="Q9" s="667">
        <v>0</v>
      </c>
      <c r="R9" s="667">
        <v>0</v>
      </c>
      <c r="S9" s="663">
        <v>0</v>
      </c>
    </row>
    <row r="10" spans="1:19">
      <c r="A10" s="606">
        <v>4</v>
      </c>
      <c r="B10" s="609" t="s">
        <v>1005</v>
      </c>
      <c r="C10" s="665">
        <v>0</v>
      </c>
      <c r="D10" s="665">
        <v>0</v>
      </c>
      <c r="E10" s="665">
        <v>0</v>
      </c>
      <c r="F10" s="665">
        <v>0</v>
      </c>
      <c r="G10" s="665">
        <v>0</v>
      </c>
      <c r="H10" s="665">
        <v>0</v>
      </c>
      <c r="I10" s="665">
        <v>0</v>
      </c>
      <c r="J10" s="665">
        <v>0</v>
      </c>
      <c r="K10" s="665">
        <v>0</v>
      </c>
      <c r="L10" s="665">
        <v>0</v>
      </c>
      <c r="M10" s="665">
        <v>0</v>
      </c>
      <c r="N10" s="665">
        <v>0</v>
      </c>
      <c r="O10" s="665">
        <v>0</v>
      </c>
      <c r="P10" s="667">
        <v>0</v>
      </c>
      <c r="Q10" s="667">
        <v>0</v>
      </c>
      <c r="R10" s="667">
        <v>0</v>
      </c>
      <c r="S10" s="663">
        <v>0</v>
      </c>
    </row>
    <row r="11" spans="1:19">
      <c r="A11" s="606">
        <v>5</v>
      </c>
      <c r="B11" s="609" t="s">
        <v>1006</v>
      </c>
      <c r="C11" s="665">
        <v>1849206.3641999988</v>
      </c>
      <c r="D11" s="665">
        <v>1713031.7141999986</v>
      </c>
      <c r="E11" s="665">
        <v>13328.460000000001</v>
      </c>
      <c r="F11" s="665">
        <v>114253.7</v>
      </c>
      <c r="G11" s="665">
        <v>719.8</v>
      </c>
      <c r="H11" s="665">
        <v>7872.6900000000005</v>
      </c>
      <c r="I11" s="665">
        <v>78102.180283999929</v>
      </c>
      <c r="J11" s="665">
        <v>34260.634284000007</v>
      </c>
      <c r="K11" s="665">
        <v>1332.846</v>
      </c>
      <c r="L11" s="665">
        <v>34276.109999999993</v>
      </c>
      <c r="M11" s="665">
        <v>359.9</v>
      </c>
      <c r="N11" s="665">
        <v>7872.6900000000005</v>
      </c>
      <c r="O11" s="665">
        <v>240</v>
      </c>
      <c r="P11" s="667">
        <v>0.12734635667547678</v>
      </c>
      <c r="Q11" s="667">
        <v>0.13523278211671233</v>
      </c>
      <c r="R11" s="667">
        <v>0.10945653586346242</v>
      </c>
      <c r="S11" s="663">
        <v>2.5149791612583665</v>
      </c>
    </row>
    <row r="12" spans="1:19">
      <c r="A12" s="606">
        <v>6</v>
      </c>
      <c r="B12" s="609" t="s">
        <v>1007</v>
      </c>
      <c r="C12" s="665">
        <v>230278.99200000029</v>
      </c>
      <c r="D12" s="665">
        <v>229616.36210000032</v>
      </c>
      <c r="E12" s="665">
        <v>0</v>
      </c>
      <c r="F12" s="665">
        <v>305.25990000000002</v>
      </c>
      <c r="G12" s="665">
        <v>3.59</v>
      </c>
      <c r="H12" s="665">
        <v>353.78000000000003</v>
      </c>
      <c r="I12" s="665">
        <v>5039.1212120000191</v>
      </c>
      <c r="J12" s="665">
        <v>4592.3272420000185</v>
      </c>
      <c r="K12" s="665">
        <v>0</v>
      </c>
      <c r="L12" s="665">
        <v>91.577969999999993</v>
      </c>
      <c r="M12" s="665">
        <v>1.4359999999999999</v>
      </c>
      <c r="N12" s="665">
        <v>353.78000000000003</v>
      </c>
      <c r="O12" s="665">
        <v>1235</v>
      </c>
      <c r="P12" s="667">
        <v>0</v>
      </c>
      <c r="Q12" s="667">
        <v>0</v>
      </c>
      <c r="R12" s="667">
        <v>8.7264556004309643E-2</v>
      </c>
      <c r="S12" s="663">
        <v>6.2691898320463091</v>
      </c>
    </row>
    <row r="13" spans="1:19">
      <c r="A13" s="606">
        <v>7</v>
      </c>
      <c r="B13" s="609" t="s">
        <v>1008</v>
      </c>
      <c r="C13" s="665">
        <v>13605081.130000003</v>
      </c>
      <c r="D13" s="665">
        <v>10180058.119999999</v>
      </c>
      <c r="E13" s="665">
        <v>2143170.66</v>
      </c>
      <c r="F13" s="665">
        <v>1281852.3500000001</v>
      </c>
      <c r="G13" s="665">
        <v>0</v>
      </c>
      <c r="H13" s="665">
        <v>0</v>
      </c>
      <c r="I13" s="665">
        <v>800909.88127499959</v>
      </c>
      <c r="J13" s="665">
        <v>202037.10940099999</v>
      </c>
      <c r="K13" s="665">
        <v>214317.06631300002</v>
      </c>
      <c r="L13" s="665">
        <v>384555.70556100004</v>
      </c>
      <c r="M13" s="665">
        <v>0</v>
      </c>
      <c r="N13" s="665">
        <v>0</v>
      </c>
      <c r="O13" s="665">
        <v>153</v>
      </c>
      <c r="P13" s="667">
        <v>9.6759856187176849E-2</v>
      </c>
      <c r="Q13" s="667">
        <v>0.10185176152485287</v>
      </c>
      <c r="R13" s="667">
        <v>9.1938471236371083E-2</v>
      </c>
      <c r="S13" s="663">
        <v>98.292641782322107</v>
      </c>
    </row>
    <row r="14" spans="1:19">
      <c r="A14" s="610">
        <v>7.1</v>
      </c>
      <c r="B14" s="611" t="s">
        <v>1009</v>
      </c>
      <c r="C14" s="665">
        <v>10402250.720000004</v>
      </c>
      <c r="D14" s="665">
        <v>7472350.2199999988</v>
      </c>
      <c r="E14" s="665">
        <v>1934291.81</v>
      </c>
      <c r="F14" s="665">
        <v>995608.69000000006</v>
      </c>
      <c r="G14" s="665">
        <v>0</v>
      </c>
      <c r="H14" s="665">
        <v>0</v>
      </c>
      <c r="I14" s="665">
        <v>639994.73846699961</v>
      </c>
      <c r="J14" s="665">
        <v>147882.95091399999</v>
      </c>
      <c r="K14" s="665">
        <v>193429.18096100001</v>
      </c>
      <c r="L14" s="665">
        <v>298682.606592</v>
      </c>
      <c r="M14" s="665">
        <v>0</v>
      </c>
      <c r="N14" s="665">
        <v>0</v>
      </c>
      <c r="O14" s="665">
        <v>100</v>
      </c>
      <c r="P14" s="667">
        <v>9.2453523642052185E-2</v>
      </c>
      <c r="Q14" s="667">
        <v>9.7333234636881205E-2</v>
      </c>
      <c r="R14" s="667">
        <v>8.9322098346327899E-2</v>
      </c>
      <c r="S14" s="663">
        <v>98.762378596149773</v>
      </c>
    </row>
    <row r="15" spans="1:19" ht="25.5">
      <c r="A15" s="610">
        <v>7.2</v>
      </c>
      <c r="B15" s="611" t="s">
        <v>1010</v>
      </c>
      <c r="C15" s="665">
        <v>2632567.8199999984</v>
      </c>
      <c r="D15" s="665">
        <v>2164782.48</v>
      </c>
      <c r="E15" s="665">
        <v>181541.68</v>
      </c>
      <c r="F15" s="665">
        <v>286243.66000000003</v>
      </c>
      <c r="G15" s="665">
        <v>0</v>
      </c>
      <c r="H15" s="665">
        <v>0</v>
      </c>
      <c r="I15" s="665">
        <v>147322.91715199998</v>
      </c>
      <c r="J15" s="665">
        <v>43295.649831000002</v>
      </c>
      <c r="K15" s="665">
        <v>18154.168352000001</v>
      </c>
      <c r="L15" s="665">
        <v>85873.098969000013</v>
      </c>
      <c r="M15" s="665">
        <v>0</v>
      </c>
      <c r="N15" s="665">
        <v>0</v>
      </c>
      <c r="O15" s="665">
        <v>23</v>
      </c>
      <c r="P15" s="667">
        <v>9.7687942659737903E-2</v>
      </c>
      <c r="Q15" s="667">
        <v>0.10262452593881756</v>
      </c>
      <c r="R15" s="667">
        <v>9.5347706675226393E-2</v>
      </c>
      <c r="S15" s="663">
        <v>104.37821196538279</v>
      </c>
    </row>
    <row r="16" spans="1:19">
      <c r="A16" s="610">
        <v>7.3</v>
      </c>
      <c r="B16" s="611" t="s">
        <v>1011</v>
      </c>
      <c r="C16" s="665">
        <v>570262.58999999985</v>
      </c>
      <c r="D16" s="665">
        <v>542925.41999999981</v>
      </c>
      <c r="E16" s="665">
        <v>27337.17</v>
      </c>
      <c r="F16" s="665">
        <v>0</v>
      </c>
      <c r="G16" s="665">
        <v>0</v>
      </c>
      <c r="H16" s="665">
        <v>0</v>
      </c>
      <c r="I16" s="665">
        <v>13592.225656000001</v>
      </c>
      <c r="J16" s="665">
        <v>10858.508656</v>
      </c>
      <c r="K16" s="665">
        <v>2733.7170000000001</v>
      </c>
      <c r="L16" s="665">
        <v>0</v>
      </c>
      <c r="M16" s="665">
        <v>0</v>
      </c>
      <c r="N16" s="665">
        <v>0</v>
      </c>
      <c r="O16" s="665">
        <v>30</v>
      </c>
      <c r="P16" s="667">
        <v>0.14499999999999999</v>
      </c>
      <c r="Q16" s="667">
        <v>0.1550353528039834</v>
      </c>
      <c r="R16" s="667">
        <v>0.12392570587525302</v>
      </c>
      <c r="S16" s="663">
        <v>61.63059046290018</v>
      </c>
    </row>
    <row r="17" spans="1:19">
      <c r="A17" s="606">
        <v>8</v>
      </c>
      <c r="B17" s="609" t="s">
        <v>1012</v>
      </c>
      <c r="C17" s="665">
        <v>0</v>
      </c>
      <c r="D17" s="665">
        <v>0</v>
      </c>
      <c r="E17" s="665">
        <v>0</v>
      </c>
      <c r="F17" s="665">
        <v>0</v>
      </c>
      <c r="G17" s="665">
        <v>0</v>
      </c>
      <c r="H17" s="665">
        <v>0</v>
      </c>
      <c r="I17" s="665">
        <v>0</v>
      </c>
      <c r="J17" s="665">
        <v>0</v>
      </c>
      <c r="K17" s="665">
        <v>0</v>
      </c>
      <c r="L17" s="665">
        <v>0</v>
      </c>
      <c r="M17" s="665">
        <v>0</v>
      </c>
      <c r="N17" s="665">
        <v>0</v>
      </c>
      <c r="O17" s="665">
        <v>0</v>
      </c>
      <c r="P17" s="667">
        <v>0</v>
      </c>
      <c r="Q17" s="667">
        <v>0</v>
      </c>
      <c r="R17" s="667">
        <v>0</v>
      </c>
      <c r="S17" s="663">
        <v>0</v>
      </c>
    </row>
    <row r="18" spans="1:19">
      <c r="A18" s="612">
        <v>9</v>
      </c>
      <c r="B18" s="613" t="s">
        <v>1013</v>
      </c>
      <c r="C18" s="666">
        <v>0</v>
      </c>
      <c r="D18" s="666">
        <v>0</v>
      </c>
      <c r="E18" s="666">
        <v>0</v>
      </c>
      <c r="F18" s="666">
        <v>0</v>
      </c>
      <c r="G18" s="666">
        <v>0</v>
      </c>
      <c r="H18" s="666">
        <v>0</v>
      </c>
      <c r="I18" s="666">
        <v>0</v>
      </c>
      <c r="J18" s="666">
        <v>0</v>
      </c>
      <c r="K18" s="666">
        <v>0</v>
      </c>
      <c r="L18" s="666">
        <v>0</v>
      </c>
      <c r="M18" s="666">
        <v>0</v>
      </c>
      <c r="N18" s="666">
        <v>0</v>
      </c>
      <c r="O18" s="666">
        <v>0</v>
      </c>
      <c r="P18" s="668">
        <v>0</v>
      </c>
      <c r="Q18" s="668">
        <v>0</v>
      </c>
      <c r="R18" s="668">
        <v>0</v>
      </c>
      <c r="S18" s="664">
        <v>0</v>
      </c>
    </row>
    <row r="19" spans="1:19">
      <c r="A19" s="606">
        <v>10</v>
      </c>
      <c r="B19" s="614" t="s">
        <v>1014</v>
      </c>
      <c r="C19" s="684">
        <f t="shared" ref="C19:O19" si="0">SUM(C7:C8,C9:C13,C17:C18)</f>
        <v>20709696.466200002</v>
      </c>
      <c r="D19" s="684">
        <f t="shared" si="0"/>
        <v>15545766.336299999</v>
      </c>
      <c r="E19" s="684">
        <f t="shared" si="0"/>
        <v>2369554.54</v>
      </c>
      <c r="F19" s="684">
        <f t="shared" si="0"/>
        <v>2278276.2198999999</v>
      </c>
      <c r="G19" s="684">
        <f t="shared" si="0"/>
        <v>507872.89999999997</v>
      </c>
      <c r="H19" s="684">
        <f t="shared" si="0"/>
        <v>8226.4700000000012</v>
      </c>
      <c r="I19" s="684">
        <f t="shared" si="0"/>
        <v>1484020.5208629994</v>
      </c>
      <c r="J19" s="684">
        <f t="shared" si="0"/>
        <v>301419.63916200004</v>
      </c>
      <c r="K19" s="684">
        <f t="shared" si="0"/>
        <v>236955.45367300001</v>
      </c>
      <c r="L19" s="684">
        <f t="shared" si="0"/>
        <v>683482.86668400001</v>
      </c>
      <c r="M19" s="684">
        <f t="shared" si="0"/>
        <v>253936.09134399999</v>
      </c>
      <c r="N19" s="684">
        <f t="shared" si="0"/>
        <v>8226.4700000000012</v>
      </c>
      <c r="O19" s="684">
        <f t="shared" si="0"/>
        <v>1758</v>
      </c>
      <c r="P19" s="669">
        <v>9.760923617598713E-2</v>
      </c>
      <c r="Q19" s="669">
        <v>0.10262111749893446</v>
      </c>
      <c r="R19" s="669">
        <v>9.5638775402169252E-2</v>
      </c>
      <c r="S19" s="670">
        <v>79.640160158505367</v>
      </c>
    </row>
    <row r="20" spans="1:19" ht="25.5">
      <c r="A20" s="610">
        <v>10.1</v>
      </c>
      <c r="B20" s="611" t="s">
        <v>1015</v>
      </c>
      <c r="C20" s="665"/>
      <c r="D20" s="665"/>
      <c r="E20" s="665"/>
      <c r="F20" s="665"/>
      <c r="G20" s="665"/>
      <c r="H20" s="665"/>
      <c r="I20" s="665"/>
      <c r="J20" s="665"/>
      <c r="K20" s="665"/>
      <c r="L20" s="665"/>
      <c r="M20" s="665"/>
      <c r="N20" s="665"/>
      <c r="O20" s="608"/>
      <c r="P20" s="667"/>
      <c r="Q20" s="667"/>
      <c r="R20" s="667"/>
      <c r="S20" s="66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N43"/>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4" ht="15.75">
      <c r="A1" s="14" t="s">
        <v>188</v>
      </c>
      <c r="B1" s="1" t="str">
        <f>Info!C2</f>
        <v>სს "ბანკი ქართუ"</v>
      </c>
    </row>
    <row r="2" spans="1:14" ht="15.75">
      <c r="A2" s="14" t="s">
        <v>189</v>
      </c>
      <c r="B2" s="688">
        <f>'1. key ratios'!B2</f>
        <v>44834</v>
      </c>
    </row>
    <row r="3" spans="1:14" ht="15.75">
      <c r="A3" s="14"/>
    </row>
    <row r="4" spans="1:14" ht="16.5" thickBot="1">
      <c r="A4" s="15" t="s">
        <v>406</v>
      </c>
      <c r="B4" s="63" t="s">
        <v>244</v>
      </c>
      <c r="C4" s="15"/>
      <c r="D4" s="25"/>
      <c r="E4" s="25"/>
      <c r="F4" s="26"/>
      <c r="G4" s="26"/>
      <c r="H4" s="27" t="s">
        <v>93</v>
      </c>
    </row>
    <row r="5" spans="1:14" ht="15.75">
      <c r="A5" s="28"/>
      <c r="B5" s="29"/>
      <c r="C5" s="696" t="s">
        <v>194</v>
      </c>
      <c r="D5" s="697"/>
      <c r="E5" s="698"/>
      <c r="F5" s="696" t="s">
        <v>195</v>
      </c>
      <c r="G5" s="697"/>
      <c r="H5" s="699"/>
    </row>
    <row r="6" spans="1:14" ht="15.75">
      <c r="A6" s="30" t="s">
        <v>26</v>
      </c>
      <c r="B6" s="31" t="s">
        <v>153</v>
      </c>
      <c r="C6" s="32" t="s">
        <v>27</v>
      </c>
      <c r="D6" s="32" t="s">
        <v>94</v>
      </c>
      <c r="E6" s="32" t="s">
        <v>68</v>
      </c>
      <c r="F6" s="32" t="s">
        <v>27</v>
      </c>
      <c r="G6" s="32" t="s">
        <v>94</v>
      </c>
      <c r="H6" s="33" t="s">
        <v>68</v>
      </c>
    </row>
    <row r="7" spans="1:14" ht="15.75">
      <c r="A7" s="30">
        <v>1</v>
      </c>
      <c r="B7" s="34" t="s">
        <v>154</v>
      </c>
      <c r="C7" s="508">
        <v>7411563</v>
      </c>
      <c r="D7" s="508">
        <v>24760989</v>
      </c>
      <c r="E7" s="509">
        <f>C7+D7</f>
        <v>32172552</v>
      </c>
      <c r="F7" s="510">
        <v>24978912</v>
      </c>
      <c r="G7" s="511">
        <v>7578172</v>
      </c>
      <c r="H7" s="512">
        <f>F7+G7</f>
        <v>32557084</v>
      </c>
      <c r="I7" s="672"/>
      <c r="J7" s="672"/>
      <c r="K7" s="672"/>
      <c r="L7" s="672"/>
      <c r="M7" s="672"/>
      <c r="N7" s="672"/>
    </row>
    <row r="8" spans="1:14" ht="15.75">
      <c r="A8" s="30">
        <v>2</v>
      </c>
      <c r="B8" s="34" t="s">
        <v>155</v>
      </c>
      <c r="C8" s="508">
        <v>11614076</v>
      </c>
      <c r="D8" s="508">
        <v>275531232</v>
      </c>
      <c r="E8" s="509">
        <f t="shared" ref="E8:E20" si="0">C8+D8</f>
        <v>287145308</v>
      </c>
      <c r="F8" s="510">
        <v>13293605</v>
      </c>
      <c r="G8" s="511">
        <v>198339911</v>
      </c>
      <c r="H8" s="512">
        <f t="shared" ref="H8:H40" si="1">F8+G8</f>
        <v>211633516</v>
      </c>
      <c r="I8" s="672"/>
      <c r="J8" s="672"/>
      <c r="K8" s="672"/>
      <c r="L8" s="672"/>
      <c r="M8" s="672"/>
      <c r="N8" s="672"/>
    </row>
    <row r="9" spans="1:14" ht="15.75">
      <c r="A9" s="30">
        <v>3</v>
      </c>
      <c r="B9" s="34" t="s">
        <v>156</v>
      </c>
      <c r="C9" s="508">
        <v>25085204</v>
      </c>
      <c r="D9" s="508">
        <v>343499332.43000001</v>
      </c>
      <c r="E9" s="509">
        <f t="shared" si="0"/>
        <v>368584536.43000001</v>
      </c>
      <c r="F9" s="510">
        <v>15161176</v>
      </c>
      <c r="G9" s="511">
        <v>96890489</v>
      </c>
      <c r="H9" s="512">
        <f t="shared" si="1"/>
        <v>112051665</v>
      </c>
      <c r="I9" s="672"/>
      <c r="J9" s="672"/>
      <c r="K9" s="672"/>
      <c r="L9" s="672"/>
      <c r="M9" s="672"/>
      <c r="N9" s="672"/>
    </row>
    <row r="10" spans="1:14" ht="15.75">
      <c r="A10" s="30">
        <v>4</v>
      </c>
      <c r="B10" s="34" t="s">
        <v>185</v>
      </c>
      <c r="C10" s="508">
        <v>0</v>
      </c>
      <c r="D10" s="508">
        <v>0</v>
      </c>
      <c r="E10" s="509">
        <f t="shared" si="0"/>
        <v>0</v>
      </c>
      <c r="F10" s="510">
        <v>0</v>
      </c>
      <c r="G10" s="511">
        <v>0</v>
      </c>
      <c r="H10" s="512">
        <f t="shared" si="1"/>
        <v>0</v>
      </c>
      <c r="I10" s="672"/>
      <c r="J10" s="672"/>
      <c r="K10" s="672"/>
      <c r="L10" s="672"/>
      <c r="M10" s="672"/>
      <c r="N10" s="672"/>
    </row>
    <row r="11" spans="1:14" ht="15.75">
      <c r="A11" s="30">
        <v>5</v>
      </c>
      <c r="B11" s="34" t="s">
        <v>157</v>
      </c>
      <c r="C11" s="508">
        <v>30951490</v>
      </c>
      <c r="D11" s="508">
        <v>0</v>
      </c>
      <c r="E11" s="509">
        <f t="shared" si="0"/>
        <v>30951490</v>
      </c>
      <c r="F11" s="510">
        <v>39409289</v>
      </c>
      <c r="G11" s="511">
        <v>15301720</v>
      </c>
      <c r="H11" s="512">
        <f t="shared" si="1"/>
        <v>54711009</v>
      </c>
      <c r="I11" s="672"/>
      <c r="J11" s="672"/>
      <c r="K11" s="672"/>
      <c r="L11" s="672"/>
      <c r="M11" s="672"/>
      <c r="N11" s="672"/>
    </row>
    <row r="12" spans="1:14" ht="15.75">
      <c r="A12" s="30">
        <v>6.1</v>
      </c>
      <c r="B12" s="35" t="s">
        <v>158</v>
      </c>
      <c r="C12" s="508">
        <v>302104851</v>
      </c>
      <c r="D12" s="508">
        <v>483408803</v>
      </c>
      <c r="E12" s="509">
        <f t="shared" si="0"/>
        <v>785513654</v>
      </c>
      <c r="F12" s="510">
        <v>318023858</v>
      </c>
      <c r="G12" s="511">
        <v>663807577</v>
      </c>
      <c r="H12" s="512">
        <f t="shared" si="1"/>
        <v>981831435</v>
      </c>
      <c r="I12" s="672"/>
      <c r="J12" s="672"/>
      <c r="K12" s="672"/>
      <c r="L12" s="672"/>
      <c r="M12" s="672"/>
      <c r="N12" s="672"/>
    </row>
    <row r="13" spans="1:14" ht="15.75">
      <c r="A13" s="30">
        <v>6.2</v>
      </c>
      <c r="B13" s="35" t="s">
        <v>159</v>
      </c>
      <c r="C13" s="508">
        <v>-38882699</v>
      </c>
      <c r="D13" s="508">
        <v>-84711781</v>
      </c>
      <c r="E13" s="509">
        <f t="shared" si="0"/>
        <v>-123594480</v>
      </c>
      <c r="F13" s="510">
        <v>-61548402</v>
      </c>
      <c r="G13" s="511">
        <v>-105066164</v>
      </c>
      <c r="H13" s="512">
        <f t="shared" si="1"/>
        <v>-166614566</v>
      </c>
      <c r="I13" s="672"/>
      <c r="J13" s="672"/>
      <c r="K13" s="672"/>
      <c r="L13" s="672"/>
      <c r="M13" s="672"/>
      <c r="N13" s="672"/>
    </row>
    <row r="14" spans="1:14" ht="15.75">
      <c r="A14" s="30">
        <v>6</v>
      </c>
      <c r="B14" s="34" t="s">
        <v>160</v>
      </c>
      <c r="C14" s="509">
        <f>C12+C13</f>
        <v>263222152</v>
      </c>
      <c r="D14" s="509">
        <f>D12+D13</f>
        <v>398697022</v>
      </c>
      <c r="E14" s="509">
        <f t="shared" si="0"/>
        <v>661919174</v>
      </c>
      <c r="F14" s="509">
        <f>F12+F13</f>
        <v>256475456</v>
      </c>
      <c r="G14" s="509">
        <f>G12+G13</f>
        <v>558741413</v>
      </c>
      <c r="H14" s="512">
        <f t="shared" si="1"/>
        <v>815216869</v>
      </c>
      <c r="I14" s="672"/>
      <c r="J14" s="672"/>
      <c r="K14" s="672"/>
      <c r="L14" s="672"/>
      <c r="M14" s="672"/>
      <c r="N14" s="672"/>
    </row>
    <row r="15" spans="1:14" ht="15.75">
      <c r="A15" s="30">
        <v>7</v>
      </c>
      <c r="B15" s="34" t="s">
        <v>161</v>
      </c>
      <c r="C15" s="508">
        <v>23221318</v>
      </c>
      <c r="D15" s="508">
        <v>6299712</v>
      </c>
      <c r="E15" s="509">
        <f t="shared" si="0"/>
        <v>29521030</v>
      </c>
      <c r="F15" s="510">
        <v>10922059</v>
      </c>
      <c r="G15" s="511">
        <v>6375935</v>
      </c>
      <c r="H15" s="512">
        <f>F15+G15</f>
        <v>17297994</v>
      </c>
      <c r="I15" s="672"/>
      <c r="J15" s="672"/>
      <c r="K15" s="672"/>
      <c r="L15" s="672"/>
      <c r="M15" s="672"/>
      <c r="N15" s="672"/>
    </row>
    <row r="16" spans="1:14" ht="15.75">
      <c r="A16" s="30">
        <v>8</v>
      </c>
      <c r="B16" s="34" t="s">
        <v>162</v>
      </c>
      <c r="C16" s="508">
        <v>22389016</v>
      </c>
      <c r="D16" s="508" t="s">
        <v>1048</v>
      </c>
      <c r="E16" s="509">
        <f>C16</f>
        <v>22389016</v>
      </c>
      <c r="F16" s="510">
        <v>6855626</v>
      </c>
      <c r="G16" s="511" t="s">
        <v>1048</v>
      </c>
      <c r="H16" s="512">
        <f t="shared" ref="H16:H18" si="2">F16</f>
        <v>6855626</v>
      </c>
      <c r="I16" s="672"/>
      <c r="J16" s="672"/>
      <c r="K16" s="672"/>
      <c r="L16" s="672"/>
      <c r="M16" s="672"/>
      <c r="N16" s="672"/>
    </row>
    <row r="17" spans="1:14" ht="15.75">
      <c r="A17" s="30">
        <v>9</v>
      </c>
      <c r="B17" s="34" t="s">
        <v>163</v>
      </c>
      <c r="C17" s="508">
        <v>7793239</v>
      </c>
      <c r="D17" s="508">
        <v>0</v>
      </c>
      <c r="E17" s="509">
        <f t="shared" si="0"/>
        <v>7793239</v>
      </c>
      <c r="F17" s="510">
        <v>7793239</v>
      </c>
      <c r="G17" s="511">
        <v>0</v>
      </c>
      <c r="H17" s="512">
        <f t="shared" si="2"/>
        <v>7793239</v>
      </c>
      <c r="I17" s="672"/>
      <c r="J17" s="672"/>
      <c r="K17" s="672"/>
      <c r="L17" s="672"/>
      <c r="M17" s="672"/>
      <c r="N17" s="672"/>
    </row>
    <row r="18" spans="1:14" ht="15.75">
      <c r="A18" s="30">
        <v>10</v>
      </c>
      <c r="B18" s="34" t="s">
        <v>164</v>
      </c>
      <c r="C18" s="508">
        <v>19652282</v>
      </c>
      <c r="D18" s="508" t="s">
        <v>1048</v>
      </c>
      <c r="E18" s="509">
        <f>C18</f>
        <v>19652282</v>
      </c>
      <c r="F18" s="510">
        <v>20325454</v>
      </c>
      <c r="G18" s="511" t="s">
        <v>1048</v>
      </c>
      <c r="H18" s="512">
        <f t="shared" si="2"/>
        <v>20325454</v>
      </c>
      <c r="I18" s="672"/>
      <c r="J18" s="672"/>
      <c r="K18" s="672"/>
      <c r="L18" s="672"/>
      <c r="M18" s="672"/>
      <c r="N18" s="672"/>
    </row>
    <row r="19" spans="1:14" ht="15.75">
      <c r="A19" s="30">
        <v>11</v>
      </c>
      <c r="B19" s="34" t="s">
        <v>165</v>
      </c>
      <c r="C19" s="508">
        <v>32865206</v>
      </c>
      <c r="D19" s="508">
        <v>1517068.5699999994</v>
      </c>
      <c r="E19" s="509">
        <f t="shared" si="0"/>
        <v>34382274.57</v>
      </c>
      <c r="F19" s="510">
        <v>23313144</v>
      </c>
      <c r="G19" s="511">
        <v>659859</v>
      </c>
      <c r="H19" s="512">
        <f>F19+G19</f>
        <v>23973003</v>
      </c>
      <c r="I19" s="672"/>
      <c r="J19" s="672"/>
      <c r="K19" s="672"/>
      <c r="L19" s="672"/>
      <c r="M19" s="672"/>
      <c r="N19" s="672"/>
    </row>
    <row r="20" spans="1:14" ht="15.75">
      <c r="A20" s="30">
        <v>12</v>
      </c>
      <c r="B20" s="36" t="s">
        <v>166</v>
      </c>
      <c r="C20" s="509">
        <f>SUM(C7:C11)+SUM(C14:C19)</f>
        <v>444205546</v>
      </c>
      <c r="D20" s="509">
        <f>SUM(D7:D11)+SUM(D14:D19)</f>
        <v>1050305356</v>
      </c>
      <c r="E20" s="509">
        <f t="shared" si="0"/>
        <v>1494510902</v>
      </c>
      <c r="F20" s="509">
        <f>SUM(F7:F11)+SUM(F14:F19)</f>
        <v>418527960</v>
      </c>
      <c r="G20" s="509">
        <f>SUM(G7:G11)+SUM(G14:G19)</f>
        <v>883887499</v>
      </c>
      <c r="H20" s="512">
        <f t="shared" si="1"/>
        <v>1302415459</v>
      </c>
      <c r="I20" s="672"/>
      <c r="J20" s="672"/>
      <c r="K20" s="672"/>
      <c r="L20" s="672"/>
      <c r="M20" s="672"/>
      <c r="N20" s="672"/>
    </row>
    <row r="21" spans="1:14" ht="15.75">
      <c r="A21" s="30"/>
      <c r="B21" s="31" t="s">
        <v>183</v>
      </c>
      <c r="C21" s="513" t="s">
        <v>956</v>
      </c>
      <c r="D21" s="513"/>
      <c r="E21" s="513"/>
      <c r="F21" s="514" t="s">
        <v>956</v>
      </c>
      <c r="G21" s="515"/>
      <c r="H21" s="516"/>
      <c r="I21" s="672"/>
      <c r="J21" s="672"/>
      <c r="K21" s="672"/>
      <c r="L21" s="672"/>
      <c r="M21" s="672"/>
      <c r="N21" s="672"/>
    </row>
    <row r="22" spans="1:14" ht="15.75">
      <c r="A22" s="30">
        <v>13</v>
      </c>
      <c r="B22" s="34" t="s">
        <v>167</v>
      </c>
      <c r="C22" s="508">
        <v>51824</v>
      </c>
      <c r="D22" s="508">
        <v>5586465</v>
      </c>
      <c r="E22" s="509">
        <f>C22+D22</f>
        <v>5638289</v>
      </c>
      <c r="F22" s="510">
        <v>52755</v>
      </c>
      <c r="G22" s="511">
        <v>111101</v>
      </c>
      <c r="H22" s="512">
        <f t="shared" si="1"/>
        <v>163856</v>
      </c>
      <c r="I22" s="672"/>
      <c r="J22" s="672"/>
      <c r="K22" s="672"/>
      <c r="L22" s="672"/>
      <c r="M22" s="672"/>
      <c r="N22" s="672"/>
    </row>
    <row r="23" spans="1:14" ht="15.75">
      <c r="A23" s="30">
        <v>14</v>
      </c>
      <c r="B23" s="34" t="s">
        <v>168</v>
      </c>
      <c r="C23" s="508">
        <v>47072513</v>
      </c>
      <c r="D23" s="508">
        <v>621193260</v>
      </c>
      <c r="E23" s="509">
        <f t="shared" ref="E23:E30" si="3">C23+D23</f>
        <v>668265773</v>
      </c>
      <c r="F23" s="510">
        <v>49210764</v>
      </c>
      <c r="G23" s="511">
        <v>318155685</v>
      </c>
      <c r="H23" s="512">
        <f t="shared" si="1"/>
        <v>367366449</v>
      </c>
      <c r="I23" s="672"/>
      <c r="J23" s="672"/>
      <c r="K23" s="672"/>
      <c r="L23" s="672"/>
      <c r="M23" s="672"/>
      <c r="N23" s="672"/>
    </row>
    <row r="24" spans="1:14" ht="15.75">
      <c r="A24" s="30">
        <v>15</v>
      </c>
      <c r="B24" s="34" t="s">
        <v>169</v>
      </c>
      <c r="C24" s="508">
        <v>22325858</v>
      </c>
      <c r="D24" s="508">
        <v>38112327</v>
      </c>
      <c r="E24" s="509">
        <f t="shared" si="3"/>
        <v>60438185</v>
      </c>
      <c r="F24" s="510">
        <v>16914900</v>
      </c>
      <c r="G24" s="511">
        <v>73465759</v>
      </c>
      <c r="H24" s="512">
        <f t="shared" si="1"/>
        <v>90380659</v>
      </c>
      <c r="I24" s="672"/>
      <c r="J24" s="672"/>
      <c r="K24" s="672"/>
      <c r="L24" s="672"/>
      <c r="M24" s="672"/>
      <c r="N24" s="672"/>
    </row>
    <row r="25" spans="1:14" ht="15.75">
      <c r="A25" s="30">
        <v>16</v>
      </c>
      <c r="B25" s="34" t="s">
        <v>170</v>
      </c>
      <c r="C25" s="508">
        <v>95407787</v>
      </c>
      <c r="D25" s="508">
        <v>308433163</v>
      </c>
      <c r="E25" s="509">
        <f t="shared" si="3"/>
        <v>403840950</v>
      </c>
      <c r="F25" s="510">
        <v>83345296</v>
      </c>
      <c r="G25" s="511">
        <v>427718245</v>
      </c>
      <c r="H25" s="512">
        <f t="shared" si="1"/>
        <v>511063541</v>
      </c>
      <c r="I25" s="672"/>
      <c r="J25" s="672"/>
      <c r="K25" s="672"/>
      <c r="L25" s="672"/>
      <c r="M25" s="672"/>
      <c r="N25" s="672"/>
    </row>
    <row r="26" spans="1:14" ht="15.75">
      <c r="A26" s="30">
        <v>17</v>
      </c>
      <c r="B26" s="34" t="s">
        <v>171</v>
      </c>
      <c r="C26" s="513"/>
      <c r="D26" s="513"/>
      <c r="E26" s="509">
        <f t="shared" si="3"/>
        <v>0</v>
      </c>
      <c r="F26" s="514"/>
      <c r="G26" s="515"/>
      <c r="H26" s="512">
        <f t="shared" si="1"/>
        <v>0</v>
      </c>
      <c r="I26" s="672"/>
      <c r="J26" s="672"/>
      <c r="K26" s="672"/>
      <c r="L26" s="672"/>
      <c r="M26" s="672"/>
      <c r="N26" s="672"/>
    </row>
    <row r="27" spans="1:14" ht="15.75">
      <c r="A27" s="30">
        <v>18</v>
      </c>
      <c r="B27" s="34" t="s">
        <v>172</v>
      </c>
      <c r="C27" s="508">
        <v>0</v>
      </c>
      <c r="D27" s="508">
        <v>0</v>
      </c>
      <c r="E27" s="509">
        <f t="shared" si="3"/>
        <v>0</v>
      </c>
      <c r="F27" s="510">
        <v>0</v>
      </c>
      <c r="G27" s="511">
        <v>0</v>
      </c>
      <c r="H27" s="512">
        <f t="shared" si="1"/>
        <v>0</v>
      </c>
      <c r="I27" s="672"/>
      <c r="J27" s="672"/>
      <c r="K27" s="672"/>
      <c r="L27" s="672"/>
      <c r="M27" s="672"/>
      <c r="N27" s="672"/>
    </row>
    <row r="28" spans="1:14" ht="15.75">
      <c r="A28" s="30">
        <v>19</v>
      </c>
      <c r="B28" s="34" t="s">
        <v>173</v>
      </c>
      <c r="C28" s="508">
        <v>5828396</v>
      </c>
      <c r="D28" s="508">
        <v>7682872</v>
      </c>
      <c r="E28" s="509">
        <f t="shared" si="3"/>
        <v>13511268</v>
      </c>
      <c r="F28" s="510">
        <v>5240611</v>
      </c>
      <c r="G28" s="511">
        <v>9870025</v>
      </c>
      <c r="H28" s="512">
        <f t="shared" si="1"/>
        <v>15110636</v>
      </c>
      <c r="I28" s="672"/>
      <c r="J28" s="672"/>
      <c r="K28" s="672"/>
      <c r="L28" s="672"/>
      <c r="M28" s="672"/>
      <c r="N28" s="672"/>
    </row>
    <row r="29" spans="1:14" ht="15.75">
      <c r="A29" s="30">
        <v>20</v>
      </c>
      <c r="B29" s="34" t="s">
        <v>95</v>
      </c>
      <c r="C29" s="508">
        <v>14268593</v>
      </c>
      <c r="D29" s="508">
        <v>3341674</v>
      </c>
      <c r="E29" s="509">
        <f t="shared" si="3"/>
        <v>17610267</v>
      </c>
      <c r="F29" s="510">
        <v>12206687</v>
      </c>
      <c r="G29" s="511">
        <v>2346762</v>
      </c>
      <c r="H29" s="512">
        <f t="shared" si="1"/>
        <v>14553449</v>
      </c>
      <c r="I29" s="672"/>
      <c r="J29" s="672"/>
      <c r="K29" s="672"/>
      <c r="L29" s="672"/>
      <c r="M29" s="672"/>
      <c r="N29" s="672"/>
    </row>
    <row r="30" spans="1:14" ht="15.75">
      <c r="A30" s="30">
        <v>21</v>
      </c>
      <c r="B30" s="34" t="s">
        <v>174</v>
      </c>
      <c r="C30" s="508">
        <v>0</v>
      </c>
      <c r="D30" s="508">
        <v>110572800</v>
      </c>
      <c r="E30" s="509">
        <f t="shared" si="3"/>
        <v>110572800</v>
      </c>
      <c r="F30" s="510">
        <v>0</v>
      </c>
      <c r="G30" s="511">
        <v>121789200</v>
      </c>
      <c r="H30" s="512">
        <f t="shared" si="1"/>
        <v>121789200</v>
      </c>
      <c r="I30" s="672"/>
      <c r="J30" s="672"/>
      <c r="K30" s="672"/>
      <c r="L30" s="672"/>
      <c r="M30" s="672"/>
      <c r="N30" s="672"/>
    </row>
    <row r="31" spans="1:14" ht="15.75">
      <c r="A31" s="30">
        <v>22</v>
      </c>
      <c r="B31" s="36" t="s">
        <v>175</v>
      </c>
      <c r="C31" s="509">
        <f>SUM(C22:C30)</f>
        <v>184954971</v>
      </c>
      <c r="D31" s="509">
        <f>SUM(D22:D30)</f>
        <v>1094922561</v>
      </c>
      <c r="E31" s="509">
        <f>C31+D31</f>
        <v>1279877532</v>
      </c>
      <c r="F31" s="509">
        <f>SUM(F22:F30)</f>
        <v>166971013</v>
      </c>
      <c r="G31" s="509">
        <f>SUM(G22:G30)</f>
        <v>953456777</v>
      </c>
      <c r="H31" s="512">
        <f t="shared" si="1"/>
        <v>1120427790</v>
      </c>
      <c r="I31" s="672"/>
      <c r="J31" s="672"/>
      <c r="K31" s="672"/>
      <c r="L31" s="672"/>
      <c r="M31" s="672"/>
      <c r="N31" s="672"/>
    </row>
    <row r="32" spans="1:14" ht="15.75">
      <c r="A32" s="30"/>
      <c r="B32" s="31" t="s">
        <v>184</v>
      </c>
      <c r="C32" s="513"/>
      <c r="D32" s="513"/>
      <c r="E32" s="508"/>
      <c r="F32" s="514"/>
      <c r="G32" s="515"/>
      <c r="H32" s="516"/>
      <c r="I32" s="672"/>
      <c r="J32" s="672"/>
      <c r="K32" s="672"/>
      <c r="L32" s="672"/>
      <c r="M32" s="672"/>
      <c r="N32" s="672"/>
    </row>
    <row r="33" spans="1:14" ht="15.75">
      <c r="A33" s="30">
        <v>23</v>
      </c>
      <c r="B33" s="34" t="s">
        <v>176</v>
      </c>
      <c r="C33" s="508">
        <v>114430000</v>
      </c>
      <c r="D33" s="513"/>
      <c r="E33" s="509">
        <f>C33</f>
        <v>114430000</v>
      </c>
      <c r="F33" s="510">
        <v>114430000</v>
      </c>
      <c r="G33" s="515"/>
      <c r="H33" s="512">
        <f t="shared" si="1"/>
        <v>114430000</v>
      </c>
      <c r="I33" s="672"/>
      <c r="J33" s="672"/>
      <c r="K33" s="672"/>
      <c r="L33" s="672"/>
      <c r="M33" s="672"/>
      <c r="N33" s="672"/>
    </row>
    <row r="34" spans="1:14" ht="15.75">
      <c r="A34" s="30">
        <v>24</v>
      </c>
      <c r="B34" s="34" t="s">
        <v>177</v>
      </c>
      <c r="C34" s="508">
        <v>0</v>
      </c>
      <c r="D34" s="513"/>
      <c r="E34" s="509">
        <f t="shared" ref="E34:E40" si="4">C34</f>
        <v>0</v>
      </c>
      <c r="F34" s="510">
        <v>0</v>
      </c>
      <c r="G34" s="515"/>
      <c r="H34" s="512">
        <f t="shared" si="1"/>
        <v>0</v>
      </c>
      <c r="I34" s="672"/>
      <c r="J34" s="672"/>
      <c r="K34" s="672"/>
      <c r="L34" s="672"/>
      <c r="M34" s="672"/>
      <c r="N34" s="672"/>
    </row>
    <row r="35" spans="1:14" ht="15.75">
      <c r="A35" s="30">
        <v>25</v>
      </c>
      <c r="B35" s="35" t="s">
        <v>178</v>
      </c>
      <c r="C35" s="508">
        <v>0</v>
      </c>
      <c r="D35" s="513"/>
      <c r="E35" s="509">
        <f t="shared" si="4"/>
        <v>0</v>
      </c>
      <c r="F35" s="510">
        <v>0</v>
      </c>
      <c r="G35" s="515"/>
      <c r="H35" s="512">
        <f t="shared" si="1"/>
        <v>0</v>
      </c>
      <c r="I35" s="672"/>
      <c r="J35" s="672"/>
      <c r="K35" s="672"/>
      <c r="L35" s="672"/>
      <c r="M35" s="672"/>
      <c r="N35" s="672"/>
    </row>
    <row r="36" spans="1:14" ht="15.75">
      <c r="A36" s="30">
        <v>26</v>
      </c>
      <c r="B36" s="34" t="s">
        <v>179</v>
      </c>
      <c r="C36" s="508">
        <v>0</v>
      </c>
      <c r="D36" s="513"/>
      <c r="E36" s="509">
        <f t="shared" si="4"/>
        <v>0</v>
      </c>
      <c r="F36" s="510">
        <v>0</v>
      </c>
      <c r="G36" s="515"/>
      <c r="H36" s="512">
        <f t="shared" si="1"/>
        <v>0</v>
      </c>
      <c r="I36" s="672"/>
      <c r="J36" s="672"/>
      <c r="K36" s="672"/>
      <c r="L36" s="672"/>
      <c r="M36" s="672"/>
      <c r="N36" s="672"/>
    </row>
    <row r="37" spans="1:14" ht="15.75">
      <c r="A37" s="30">
        <v>27</v>
      </c>
      <c r="B37" s="34" t="s">
        <v>180</v>
      </c>
      <c r="C37" s="508">
        <v>7438034</v>
      </c>
      <c r="D37" s="513"/>
      <c r="E37" s="509">
        <f t="shared" si="4"/>
        <v>7438034</v>
      </c>
      <c r="F37" s="510">
        <v>7438034</v>
      </c>
      <c r="G37" s="515"/>
      <c r="H37" s="512">
        <f t="shared" si="1"/>
        <v>7438034</v>
      </c>
      <c r="I37" s="672"/>
      <c r="J37" s="672"/>
      <c r="K37" s="672"/>
      <c r="L37" s="672"/>
      <c r="M37" s="672"/>
      <c r="N37" s="672"/>
    </row>
    <row r="38" spans="1:14" ht="15.75">
      <c r="A38" s="30">
        <v>28</v>
      </c>
      <c r="B38" s="34" t="s">
        <v>181</v>
      </c>
      <c r="C38" s="508">
        <v>92806846</v>
      </c>
      <c r="D38" s="513"/>
      <c r="E38" s="509">
        <f t="shared" si="4"/>
        <v>92806846</v>
      </c>
      <c r="F38" s="510">
        <v>60371346</v>
      </c>
      <c r="G38" s="515"/>
      <c r="H38" s="512">
        <f t="shared" si="1"/>
        <v>60371346</v>
      </c>
      <c r="I38" s="672"/>
      <c r="J38" s="672"/>
      <c r="K38" s="672"/>
      <c r="L38" s="672"/>
      <c r="M38" s="672"/>
      <c r="N38" s="672"/>
    </row>
    <row r="39" spans="1:14" ht="15.75">
      <c r="A39" s="30">
        <v>29</v>
      </c>
      <c r="B39" s="34" t="s">
        <v>196</v>
      </c>
      <c r="C39" s="508">
        <v>-41510</v>
      </c>
      <c r="D39" s="513"/>
      <c r="E39" s="509">
        <f t="shared" si="4"/>
        <v>-41510</v>
      </c>
      <c r="F39" s="510">
        <v>-251711</v>
      </c>
      <c r="G39" s="515"/>
      <c r="H39" s="512">
        <f t="shared" si="1"/>
        <v>-251711</v>
      </c>
      <c r="I39" s="672"/>
      <c r="J39" s="672"/>
      <c r="K39" s="672"/>
      <c r="L39" s="672"/>
      <c r="M39" s="672"/>
      <c r="N39" s="672"/>
    </row>
    <row r="40" spans="1:14" ht="15.75">
      <c r="A40" s="30">
        <v>30</v>
      </c>
      <c r="B40" s="36" t="s">
        <v>182</v>
      </c>
      <c r="C40" s="508">
        <v>214633370</v>
      </c>
      <c r="D40" s="513"/>
      <c r="E40" s="509">
        <f t="shared" si="4"/>
        <v>214633370</v>
      </c>
      <c r="F40" s="510">
        <v>181987669</v>
      </c>
      <c r="G40" s="515"/>
      <c r="H40" s="512">
        <f t="shared" si="1"/>
        <v>181987669</v>
      </c>
      <c r="I40" s="672"/>
      <c r="J40" s="672"/>
      <c r="K40" s="672"/>
      <c r="L40" s="672"/>
      <c r="M40" s="672"/>
      <c r="N40" s="672"/>
    </row>
    <row r="41" spans="1:14" ht="16.5" thickBot="1">
      <c r="A41" s="37">
        <v>31</v>
      </c>
      <c r="B41" s="38" t="s">
        <v>197</v>
      </c>
      <c r="C41" s="216">
        <f>C31+C40</f>
        <v>399588341</v>
      </c>
      <c r="D41" s="216">
        <f>D31+D40</f>
        <v>1094922561</v>
      </c>
      <c r="E41" s="216">
        <f>C41+D41</f>
        <v>1494510902</v>
      </c>
      <c r="F41" s="216">
        <f>F31+F40</f>
        <v>348958682</v>
      </c>
      <c r="G41" s="216">
        <f>G31+G40</f>
        <v>953456777</v>
      </c>
      <c r="H41" s="217">
        <f>F41+G41</f>
        <v>1302415459</v>
      </c>
      <c r="I41" s="672"/>
      <c r="J41" s="672"/>
      <c r="K41" s="672"/>
      <c r="L41" s="672"/>
      <c r="M41" s="672"/>
      <c r="N41" s="672"/>
    </row>
    <row r="43" spans="1:14">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63" zoomScale="85" zoomScaleNormal="85" workbookViewId="0">
      <selection activeCell="B2" sqref="B2"/>
    </sheetView>
  </sheetViews>
  <sheetFormatPr defaultColWidth="43.5703125" defaultRowHeight="11.25"/>
  <cols>
    <col min="1" max="1" width="8" style="655" customWidth="1"/>
    <col min="2" max="2" width="66.28515625" style="661" customWidth="1"/>
    <col min="3" max="3" width="131.42578125" style="662" customWidth="1"/>
    <col min="4" max="5" width="10.28515625" style="615" customWidth="1"/>
    <col min="6" max="16384" width="43.5703125" style="615"/>
  </cols>
  <sheetData>
    <row r="1" spans="1:3" ht="12.75" thickTop="1" thickBot="1">
      <c r="A1" s="805" t="s">
        <v>326</v>
      </c>
      <c r="B1" s="806"/>
      <c r="C1" s="807"/>
    </row>
    <row r="2" spans="1:3" ht="26.25" customHeight="1">
      <c r="A2" s="616"/>
      <c r="B2" s="808" t="s">
        <v>327</v>
      </c>
      <c r="C2" s="808"/>
    </row>
    <row r="3" spans="1:3" s="618" customFormat="1" ht="11.25" customHeight="1">
      <c r="A3" s="617"/>
      <c r="B3" s="808" t="s">
        <v>419</v>
      </c>
      <c r="C3" s="808"/>
    </row>
    <row r="4" spans="1:3" ht="12" customHeight="1" thickBot="1">
      <c r="A4" s="809" t="s">
        <v>423</v>
      </c>
      <c r="B4" s="810"/>
      <c r="C4" s="811"/>
    </row>
    <row r="5" spans="1:3" ht="12" thickTop="1">
      <c r="A5" s="619"/>
      <c r="B5" s="812" t="s">
        <v>328</v>
      </c>
      <c r="C5" s="813"/>
    </row>
    <row r="6" spans="1:3">
      <c r="A6" s="616"/>
      <c r="B6" s="799" t="s">
        <v>420</v>
      </c>
      <c r="C6" s="800"/>
    </row>
    <row r="7" spans="1:3">
      <c r="A7" s="616"/>
      <c r="B7" s="799" t="s">
        <v>329</v>
      </c>
      <c r="C7" s="800"/>
    </row>
    <row r="8" spans="1:3">
      <c r="A8" s="616"/>
      <c r="B8" s="799" t="s">
        <v>421</v>
      </c>
      <c r="C8" s="800"/>
    </row>
    <row r="9" spans="1:3">
      <c r="A9" s="616"/>
      <c r="B9" s="801" t="s">
        <v>422</v>
      </c>
      <c r="C9" s="802"/>
    </row>
    <row r="10" spans="1:3">
      <c r="A10" s="616"/>
      <c r="B10" s="803" t="s">
        <v>330</v>
      </c>
      <c r="C10" s="804" t="s">
        <v>330</v>
      </c>
    </row>
    <row r="11" spans="1:3">
      <c r="A11" s="616"/>
      <c r="B11" s="803" t="s">
        <v>331</v>
      </c>
      <c r="C11" s="804" t="s">
        <v>331</v>
      </c>
    </row>
    <row r="12" spans="1:3">
      <c r="A12" s="616"/>
      <c r="B12" s="803" t="s">
        <v>332</v>
      </c>
      <c r="C12" s="804" t="s">
        <v>332</v>
      </c>
    </row>
    <row r="13" spans="1:3">
      <c r="A13" s="616"/>
      <c r="B13" s="803" t="s">
        <v>333</v>
      </c>
      <c r="C13" s="804" t="s">
        <v>333</v>
      </c>
    </row>
    <row r="14" spans="1:3">
      <c r="A14" s="616"/>
      <c r="B14" s="803" t="s">
        <v>334</v>
      </c>
      <c r="C14" s="804" t="s">
        <v>334</v>
      </c>
    </row>
    <row r="15" spans="1:3" ht="21.75" customHeight="1">
      <c r="A15" s="616"/>
      <c r="B15" s="803" t="s">
        <v>335</v>
      </c>
      <c r="C15" s="804" t="s">
        <v>335</v>
      </c>
    </row>
    <row r="16" spans="1:3">
      <c r="A16" s="616"/>
      <c r="B16" s="803" t="s">
        <v>336</v>
      </c>
      <c r="C16" s="804" t="s">
        <v>337</v>
      </c>
    </row>
    <row r="17" spans="1:3">
      <c r="A17" s="616"/>
      <c r="B17" s="803" t="s">
        <v>338</v>
      </c>
      <c r="C17" s="804" t="s">
        <v>339</v>
      </c>
    </row>
    <row r="18" spans="1:3">
      <c r="A18" s="616"/>
      <c r="B18" s="803" t="s">
        <v>340</v>
      </c>
      <c r="C18" s="804" t="s">
        <v>341</v>
      </c>
    </row>
    <row r="19" spans="1:3">
      <c r="A19" s="616"/>
      <c r="B19" s="803" t="s">
        <v>342</v>
      </c>
      <c r="C19" s="804" t="s">
        <v>342</v>
      </c>
    </row>
    <row r="20" spans="1:3">
      <c r="A20" s="616"/>
      <c r="B20" s="803" t="s">
        <v>343</v>
      </c>
      <c r="C20" s="804" t="s">
        <v>343</v>
      </c>
    </row>
    <row r="21" spans="1:3">
      <c r="A21" s="616"/>
      <c r="B21" s="803" t="s">
        <v>344</v>
      </c>
      <c r="C21" s="804" t="s">
        <v>344</v>
      </c>
    </row>
    <row r="22" spans="1:3" ht="23.25" customHeight="1">
      <c r="A22" s="616"/>
      <c r="B22" s="803" t="s">
        <v>345</v>
      </c>
      <c r="C22" s="804" t="s">
        <v>346</v>
      </c>
    </row>
    <row r="23" spans="1:3">
      <c r="A23" s="616"/>
      <c r="B23" s="803" t="s">
        <v>347</v>
      </c>
      <c r="C23" s="804" t="s">
        <v>347</v>
      </c>
    </row>
    <row r="24" spans="1:3">
      <c r="A24" s="616"/>
      <c r="B24" s="803" t="s">
        <v>348</v>
      </c>
      <c r="C24" s="804" t="s">
        <v>349</v>
      </c>
    </row>
    <row r="25" spans="1:3" ht="12" thickBot="1">
      <c r="A25" s="620"/>
      <c r="B25" s="816" t="s">
        <v>350</v>
      </c>
      <c r="C25" s="817"/>
    </row>
    <row r="26" spans="1:3" ht="12.75" thickTop="1" thickBot="1">
      <c r="A26" s="809" t="s">
        <v>433</v>
      </c>
      <c r="B26" s="810"/>
      <c r="C26" s="811"/>
    </row>
    <row r="27" spans="1:3" ht="12.75" thickTop="1" thickBot="1">
      <c r="A27" s="621"/>
      <c r="B27" s="818" t="s">
        <v>351</v>
      </c>
      <c r="C27" s="819"/>
    </row>
    <row r="28" spans="1:3" ht="12.75" thickTop="1" thickBot="1">
      <c r="A28" s="809" t="s">
        <v>424</v>
      </c>
      <c r="B28" s="810"/>
      <c r="C28" s="811"/>
    </row>
    <row r="29" spans="1:3" ht="12" thickTop="1">
      <c r="A29" s="619"/>
      <c r="B29" s="820" t="s">
        <v>352</v>
      </c>
      <c r="C29" s="821" t="s">
        <v>353</v>
      </c>
    </row>
    <row r="30" spans="1:3">
      <c r="A30" s="616"/>
      <c r="B30" s="814" t="s">
        <v>354</v>
      </c>
      <c r="C30" s="815" t="s">
        <v>355</v>
      </c>
    </row>
    <row r="31" spans="1:3">
      <c r="A31" s="616"/>
      <c r="B31" s="814" t="s">
        <v>356</v>
      </c>
      <c r="C31" s="815" t="s">
        <v>357</v>
      </c>
    </row>
    <row r="32" spans="1:3">
      <c r="A32" s="616"/>
      <c r="B32" s="814" t="s">
        <v>358</v>
      </c>
      <c r="C32" s="815" t="s">
        <v>359</v>
      </c>
    </row>
    <row r="33" spans="1:3">
      <c r="A33" s="616"/>
      <c r="B33" s="814" t="s">
        <v>360</v>
      </c>
      <c r="C33" s="815" t="s">
        <v>361</v>
      </c>
    </row>
    <row r="34" spans="1:3">
      <c r="A34" s="616"/>
      <c r="B34" s="814" t="s">
        <v>362</v>
      </c>
      <c r="C34" s="815" t="s">
        <v>363</v>
      </c>
    </row>
    <row r="35" spans="1:3" ht="23.25" customHeight="1">
      <c r="A35" s="616"/>
      <c r="B35" s="814" t="s">
        <v>364</v>
      </c>
      <c r="C35" s="815" t="s">
        <v>365</v>
      </c>
    </row>
    <row r="36" spans="1:3" ht="24" customHeight="1">
      <c r="A36" s="616"/>
      <c r="B36" s="814" t="s">
        <v>366</v>
      </c>
      <c r="C36" s="815" t="s">
        <v>367</v>
      </c>
    </row>
    <row r="37" spans="1:3" ht="24.75" customHeight="1">
      <c r="A37" s="616"/>
      <c r="B37" s="814" t="s">
        <v>368</v>
      </c>
      <c r="C37" s="815" t="s">
        <v>369</v>
      </c>
    </row>
    <row r="38" spans="1:3" ht="23.25" customHeight="1">
      <c r="A38" s="616"/>
      <c r="B38" s="814" t="s">
        <v>425</v>
      </c>
      <c r="C38" s="815" t="s">
        <v>370</v>
      </c>
    </row>
    <row r="39" spans="1:3" ht="39.75" customHeight="1">
      <c r="A39" s="616"/>
      <c r="B39" s="803" t="s">
        <v>439</v>
      </c>
      <c r="C39" s="804" t="s">
        <v>371</v>
      </c>
    </row>
    <row r="40" spans="1:3" ht="12" customHeight="1">
      <c r="A40" s="616"/>
      <c r="B40" s="814" t="s">
        <v>372</v>
      </c>
      <c r="C40" s="815" t="s">
        <v>373</v>
      </c>
    </row>
    <row r="41" spans="1:3" ht="27" customHeight="1" thickBot="1">
      <c r="A41" s="620"/>
      <c r="B41" s="824" t="s">
        <v>374</v>
      </c>
      <c r="C41" s="825" t="s">
        <v>375</v>
      </c>
    </row>
    <row r="42" spans="1:3" ht="12.75" thickTop="1" thickBot="1">
      <c r="A42" s="809" t="s">
        <v>426</v>
      </c>
      <c r="B42" s="810"/>
      <c r="C42" s="811"/>
    </row>
    <row r="43" spans="1:3" ht="12" thickTop="1">
      <c r="A43" s="619"/>
      <c r="B43" s="812" t="s">
        <v>462</v>
      </c>
      <c r="C43" s="813" t="s">
        <v>376</v>
      </c>
    </row>
    <row r="44" spans="1:3">
      <c r="A44" s="616"/>
      <c r="B44" s="799" t="s">
        <v>461</v>
      </c>
      <c r="C44" s="800"/>
    </row>
    <row r="45" spans="1:3" ht="23.25" customHeight="1" thickBot="1">
      <c r="A45" s="620"/>
      <c r="B45" s="822" t="s">
        <v>377</v>
      </c>
      <c r="C45" s="823" t="s">
        <v>378</v>
      </c>
    </row>
    <row r="46" spans="1:3" ht="11.25" customHeight="1" thickTop="1" thickBot="1">
      <c r="A46" s="809" t="s">
        <v>427</v>
      </c>
      <c r="B46" s="810"/>
      <c r="C46" s="811"/>
    </row>
    <row r="47" spans="1:3" ht="26.25" customHeight="1" thickTop="1">
      <c r="A47" s="616"/>
      <c r="B47" s="799" t="s">
        <v>428</v>
      </c>
      <c r="C47" s="800"/>
    </row>
    <row r="48" spans="1:3" ht="12" thickBot="1">
      <c r="A48" s="809" t="s">
        <v>429</v>
      </c>
      <c r="B48" s="810"/>
      <c r="C48" s="811"/>
    </row>
    <row r="49" spans="1:3" ht="12" thickTop="1">
      <c r="A49" s="619"/>
      <c r="B49" s="812" t="s">
        <v>379</v>
      </c>
      <c r="C49" s="813" t="s">
        <v>379</v>
      </c>
    </row>
    <row r="50" spans="1:3" ht="11.25" customHeight="1">
      <c r="A50" s="616"/>
      <c r="B50" s="799" t="s">
        <v>380</v>
      </c>
      <c r="C50" s="800" t="s">
        <v>380</v>
      </c>
    </row>
    <row r="51" spans="1:3">
      <c r="A51" s="616"/>
      <c r="B51" s="799" t="s">
        <v>381</v>
      </c>
      <c r="C51" s="800" t="s">
        <v>381</v>
      </c>
    </row>
    <row r="52" spans="1:3" ht="11.25" customHeight="1">
      <c r="A52" s="616"/>
      <c r="B52" s="799" t="s">
        <v>489</v>
      </c>
      <c r="C52" s="800" t="s">
        <v>382</v>
      </c>
    </row>
    <row r="53" spans="1:3" ht="33.6" customHeight="1">
      <c r="A53" s="616"/>
      <c r="B53" s="799" t="s">
        <v>383</v>
      </c>
      <c r="C53" s="800" t="s">
        <v>383</v>
      </c>
    </row>
    <row r="54" spans="1:3" ht="11.25" customHeight="1">
      <c r="A54" s="616"/>
      <c r="B54" s="799" t="s">
        <v>482</v>
      </c>
      <c r="C54" s="800" t="s">
        <v>384</v>
      </c>
    </row>
    <row r="55" spans="1:3" ht="11.25" customHeight="1" thickBot="1">
      <c r="A55" s="809" t="s">
        <v>430</v>
      </c>
      <c r="B55" s="810"/>
      <c r="C55" s="811"/>
    </row>
    <row r="56" spans="1:3" ht="12" thickTop="1">
      <c r="A56" s="619"/>
      <c r="B56" s="812" t="s">
        <v>379</v>
      </c>
      <c r="C56" s="813" t="s">
        <v>379</v>
      </c>
    </row>
    <row r="57" spans="1:3">
      <c r="A57" s="616"/>
      <c r="B57" s="799" t="s">
        <v>385</v>
      </c>
      <c r="C57" s="800" t="s">
        <v>385</v>
      </c>
    </row>
    <row r="58" spans="1:3">
      <c r="A58" s="616"/>
      <c r="B58" s="799" t="s">
        <v>436</v>
      </c>
      <c r="C58" s="800" t="s">
        <v>386</v>
      </c>
    </row>
    <row r="59" spans="1:3">
      <c r="A59" s="616"/>
      <c r="B59" s="799" t="s">
        <v>387</v>
      </c>
      <c r="C59" s="800" t="s">
        <v>387</v>
      </c>
    </row>
    <row r="60" spans="1:3">
      <c r="A60" s="616"/>
      <c r="B60" s="799" t="s">
        <v>388</v>
      </c>
      <c r="C60" s="800" t="s">
        <v>388</v>
      </c>
    </row>
    <row r="61" spans="1:3">
      <c r="A61" s="616"/>
      <c r="B61" s="799" t="s">
        <v>389</v>
      </c>
      <c r="C61" s="800" t="s">
        <v>389</v>
      </c>
    </row>
    <row r="62" spans="1:3">
      <c r="A62" s="616"/>
      <c r="B62" s="799" t="s">
        <v>437</v>
      </c>
      <c r="C62" s="800" t="s">
        <v>390</v>
      </c>
    </row>
    <row r="63" spans="1:3">
      <c r="A63" s="616"/>
      <c r="B63" s="799" t="s">
        <v>391</v>
      </c>
      <c r="C63" s="800" t="s">
        <v>391</v>
      </c>
    </row>
    <row r="64" spans="1:3" ht="12" thickBot="1">
      <c r="A64" s="620"/>
      <c r="B64" s="822" t="s">
        <v>392</v>
      </c>
      <c r="C64" s="823" t="s">
        <v>392</v>
      </c>
    </row>
    <row r="65" spans="1:3" ht="11.25" customHeight="1" thickTop="1">
      <c r="A65" s="828" t="s">
        <v>431</v>
      </c>
      <c r="B65" s="829"/>
      <c r="C65" s="830"/>
    </row>
    <row r="66" spans="1:3" ht="12" thickBot="1">
      <c r="A66" s="620"/>
      <c r="B66" s="822" t="s">
        <v>393</v>
      </c>
      <c r="C66" s="823" t="s">
        <v>393</v>
      </c>
    </row>
    <row r="67" spans="1:3" ht="11.25" customHeight="1" thickTop="1" thickBot="1">
      <c r="A67" s="809" t="s">
        <v>432</v>
      </c>
      <c r="B67" s="810"/>
      <c r="C67" s="811"/>
    </row>
    <row r="68" spans="1:3" ht="12" thickTop="1">
      <c r="A68" s="619"/>
      <c r="B68" s="812" t="s">
        <v>394</v>
      </c>
      <c r="C68" s="813" t="s">
        <v>394</v>
      </c>
    </row>
    <row r="69" spans="1:3">
      <c r="A69" s="616"/>
      <c r="B69" s="799" t="s">
        <v>395</v>
      </c>
      <c r="C69" s="800" t="s">
        <v>395</v>
      </c>
    </row>
    <row r="70" spans="1:3">
      <c r="A70" s="616"/>
      <c r="B70" s="799" t="s">
        <v>396</v>
      </c>
      <c r="C70" s="800" t="s">
        <v>396</v>
      </c>
    </row>
    <row r="71" spans="1:3" ht="55.15" customHeight="1">
      <c r="A71" s="616"/>
      <c r="B71" s="826" t="s">
        <v>1016</v>
      </c>
      <c r="C71" s="827" t="s">
        <v>397</v>
      </c>
    </row>
    <row r="72" spans="1:3" ht="33.75" customHeight="1">
      <c r="A72" s="616"/>
      <c r="B72" s="826" t="s">
        <v>441</v>
      </c>
      <c r="C72" s="827" t="s">
        <v>398</v>
      </c>
    </row>
    <row r="73" spans="1:3" ht="15.75" customHeight="1">
      <c r="A73" s="616"/>
      <c r="B73" s="826" t="s">
        <v>438</v>
      </c>
      <c r="C73" s="827" t="s">
        <v>399</v>
      </c>
    </row>
    <row r="74" spans="1:3">
      <c r="A74" s="616"/>
      <c r="B74" s="799" t="s">
        <v>400</v>
      </c>
      <c r="C74" s="800" t="s">
        <v>400</v>
      </c>
    </row>
    <row r="75" spans="1:3" ht="12" thickBot="1">
      <c r="A75" s="620"/>
      <c r="B75" s="822" t="s">
        <v>401</v>
      </c>
      <c r="C75" s="823" t="s">
        <v>401</v>
      </c>
    </row>
    <row r="76" spans="1:3" ht="12" thickTop="1">
      <c r="A76" s="828" t="s">
        <v>465</v>
      </c>
      <c r="B76" s="829"/>
      <c r="C76" s="830"/>
    </row>
    <row r="77" spans="1:3">
      <c r="A77" s="616"/>
      <c r="B77" s="799" t="s">
        <v>393</v>
      </c>
      <c r="C77" s="800"/>
    </row>
    <row r="78" spans="1:3">
      <c r="A78" s="616"/>
      <c r="B78" s="799" t="s">
        <v>463</v>
      </c>
      <c r="C78" s="800"/>
    </row>
    <row r="79" spans="1:3">
      <c r="A79" s="616"/>
      <c r="B79" s="799" t="s">
        <v>464</v>
      </c>
      <c r="C79" s="800"/>
    </row>
    <row r="80" spans="1:3">
      <c r="A80" s="828" t="s">
        <v>466</v>
      </c>
      <c r="B80" s="829"/>
      <c r="C80" s="830"/>
    </row>
    <row r="81" spans="1:3">
      <c r="A81" s="616"/>
      <c r="B81" s="799" t="s">
        <v>393</v>
      </c>
      <c r="C81" s="800"/>
    </row>
    <row r="82" spans="1:3">
      <c r="A82" s="616"/>
      <c r="B82" s="799" t="s">
        <v>467</v>
      </c>
      <c r="C82" s="800"/>
    </row>
    <row r="83" spans="1:3" ht="76.5" customHeight="1">
      <c r="A83" s="616"/>
      <c r="B83" s="799" t="s">
        <v>481</v>
      </c>
      <c r="C83" s="800"/>
    </row>
    <row r="84" spans="1:3" ht="53.25" customHeight="1">
      <c r="A84" s="616"/>
      <c r="B84" s="799" t="s">
        <v>480</v>
      </c>
      <c r="C84" s="800"/>
    </row>
    <row r="85" spans="1:3">
      <c r="A85" s="616"/>
      <c r="B85" s="799" t="s">
        <v>468</v>
      </c>
      <c r="C85" s="800"/>
    </row>
    <row r="86" spans="1:3">
      <c r="A86" s="616"/>
      <c r="B86" s="799" t="s">
        <v>469</v>
      </c>
      <c r="C86" s="800"/>
    </row>
    <row r="87" spans="1:3">
      <c r="A87" s="616"/>
      <c r="B87" s="799" t="s">
        <v>470</v>
      </c>
      <c r="C87" s="800"/>
    </row>
    <row r="88" spans="1:3">
      <c r="A88" s="828" t="s">
        <v>471</v>
      </c>
      <c r="B88" s="829"/>
      <c r="C88" s="830"/>
    </row>
    <row r="89" spans="1:3">
      <c r="A89" s="616"/>
      <c r="B89" s="799" t="s">
        <v>393</v>
      </c>
      <c r="C89" s="800"/>
    </row>
    <row r="90" spans="1:3">
      <c r="A90" s="616"/>
      <c r="B90" s="799" t="s">
        <v>473</v>
      </c>
      <c r="C90" s="800"/>
    </row>
    <row r="91" spans="1:3" ht="12" customHeight="1">
      <c r="A91" s="616"/>
      <c r="B91" s="799" t="s">
        <v>474</v>
      </c>
      <c r="C91" s="800"/>
    </row>
    <row r="92" spans="1:3">
      <c r="A92" s="616"/>
      <c r="B92" s="799" t="s">
        <v>475</v>
      </c>
      <c r="C92" s="800"/>
    </row>
    <row r="93" spans="1:3" ht="24.75" customHeight="1">
      <c r="A93" s="616"/>
      <c r="B93" s="831" t="s">
        <v>517</v>
      </c>
      <c r="C93" s="832"/>
    </row>
    <row r="94" spans="1:3" ht="24" customHeight="1">
      <c r="A94" s="616"/>
      <c r="B94" s="831" t="s">
        <v>518</v>
      </c>
      <c r="C94" s="832"/>
    </row>
    <row r="95" spans="1:3" ht="13.5" customHeight="1">
      <c r="A95" s="616"/>
      <c r="B95" s="814" t="s">
        <v>476</v>
      </c>
      <c r="C95" s="815"/>
    </row>
    <row r="96" spans="1:3" ht="11.25" customHeight="1" thickBot="1">
      <c r="A96" s="833" t="s">
        <v>513</v>
      </c>
      <c r="B96" s="834"/>
      <c r="C96" s="835"/>
    </row>
    <row r="97" spans="1:3" ht="12.75" thickTop="1" thickBot="1">
      <c r="A97" s="842" t="s">
        <v>402</v>
      </c>
      <c r="B97" s="842"/>
      <c r="C97" s="842"/>
    </row>
    <row r="98" spans="1:3">
      <c r="A98" s="622">
        <v>2</v>
      </c>
      <c r="B98" s="623" t="s">
        <v>493</v>
      </c>
      <c r="C98" s="623" t="s">
        <v>514</v>
      </c>
    </row>
    <row r="99" spans="1:3">
      <c r="A99" s="624">
        <v>3</v>
      </c>
      <c r="B99" s="625" t="s">
        <v>494</v>
      </c>
      <c r="C99" s="626" t="s">
        <v>515</v>
      </c>
    </row>
    <row r="100" spans="1:3">
      <c r="A100" s="624">
        <v>4</v>
      </c>
      <c r="B100" s="625" t="s">
        <v>495</v>
      </c>
      <c r="C100" s="626" t="s">
        <v>519</v>
      </c>
    </row>
    <row r="101" spans="1:3" ht="11.25" customHeight="1">
      <c r="A101" s="624">
        <v>5</v>
      </c>
      <c r="B101" s="625" t="s">
        <v>496</v>
      </c>
      <c r="C101" s="626" t="s">
        <v>516</v>
      </c>
    </row>
    <row r="102" spans="1:3" ht="12" customHeight="1">
      <c r="A102" s="624">
        <v>6</v>
      </c>
      <c r="B102" s="625" t="s">
        <v>511</v>
      </c>
      <c r="C102" s="626" t="s">
        <v>497</v>
      </c>
    </row>
    <row r="103" spans="1:3" ht="12" customHeight="1">
      <c r="A103" s="624">
        <v>7</v>
      </c>
      <c r="B103" s="625" t="s">
        <v>498</v>
      </c>
      <c r="C103" s="626" t="s">
        <v>512</v>
      </c>
    </row>
    <row r="104" spans="1:3">
      <c r="A104" s="624">
        <v>8</v>
      </c>
      <c r="B104" s="625" t="s">
        <v>503</v>
      </c>
      <c r="C104" s="626" t="s">
        <v>523</v>
      </c>
    </row>
    <row r="105" spans="1:3" ht="11.25" customHeight="1">
      <c r="A105" s="828" t="s">
        <v>477</v>
      </c>
      <c r="B105" s="829"/>
      <c r="C105" s="830"/>
    </row>
    <row r="106" spans="1:3" ht="12" customHeight="1">
      <c r="A106" s="616"/>
      <c r="B106" s="799" t="s">
        <v>393</v>
      </c>
      <c r="C106" s="800"/>
    </row>
    <row r="107" spans="1:3">
      <c r="A107" s="828" t="s">
        <v>660</v>
      </c>
      <c r="B107" s="829"/>
      <c r="C107" s="830"/>
    </row>
    <row r="108" spans="1:3" ht="12" customHeight="1">
      <c r="A108" s="616"/>
      <c r="B108" s="799" t="s">
        <v>662</v>
      </c>
      <c r="C108" s="800"/>
    </row>
    <row r="109" spans="1:3">
      <c r="A109" s="616"/>
      <c r="B109" s="799" t="s">
        <v>663</v>
      </c>
      <c r="C109" s="800"/>
    </row>
    <row r="110" spans="1:3">
      <c r="A110" s="616"/>
      <c r="B110" s="799" t="s">
        <v>661</v>
      </c>
      <c r="C110" s="800"/>
    </row>
    <row r="111" spans="1:3">
      <c r="A111" s="836" t="s">
        <v>1017</v>
      </c>
      <c r="B111" s="836"/>
      <c r="C111" s="836"/>
    </row>
    <row r="112" spans="1:3">
      <c r="A112" s="837" t="s">
        <v>326</v>
      </c>
      <c r="B112" s="837"/>
      <c r="C112" s="837"/>
    </row>
    <row r="113" spans="1:3">
      <c r="A113" s="627">
        <v>1</v>
      </c>
      <c r="B113" s="838" t="s">
        <v>837</v>
      </c>
      <c r="C113" s="839"/>
    </row>
    <row r="114" spans="1:3">
      <c r="A114" s="627">
        <v>2</v>
      </c>
      <c r="B114" s="840" t="s">
        <v>838</v>
      </c>
      <c r="C114" s="841"/>
    </row>
    <row r="115" spans="1:3">
      <c r="A115" s="627">
        <v>3</v>
      </c>
      <c r="B115" s="838" t="s">
        <v>839</v>
      </c>
      <c r="C115" s="839"/>
    </row>
    <row r="116" spans="1:3">
      <c r="A116" s="627">
        <v>4</v>
      </c>
      <c r="B116" s="838" t="s">
        <v>840</v>
      </c>
      <c r="C116" s="839"/>
    </row>
    <row r="117" spans="1:3">
      <c r="A117" s="627">
        <v>5</v>
      </c>
      <c r="B117" s="838" t="s">
        <v>841</v>
      </c>
      <c r="C117" s="839"/>
    </row>
    <row r="118" spans="1:3" ht="55.5" customHeight="1">
      <c r="A118" s="627">
        <v>6</v>
      </c>
      <c r="B118" s="838" t="s">
        <v>949</v>
      </c>
      <c r="C118" s="839"/>
    </row>
    <row r="119" spans="1:3" ht="22.5">
      <c r="A119" s="627">
        <v>6.01</v>
      </c>
      <c r="B119" s="628" t="s">
        <v>696</v>
      </c>
      <c r="C119" s="629" t="s">
        <v>950</v>
      </c>
    </row>
    <row r="120" spans="1:3" ht="33.75">
      <c r="A120" s="627">
        <v>6.02</v>
      </c>
      <c r="B120" s="628" t="s">
        <v>697</v>
      </c>
      <c r="C120" s="629" t="s">
        <v>1018</v>
      </c>
    </row>
    <row r="121" spans="1:3">
      <c r="A121" s="627">
        <v>6.03</v>
      </c>
      <c r="B121" s="629" t="s">
        <v>698</v>
      </c>
      <c r="C121" s="629" t="s">
        <v>842</v>
      </c>
    </row>
    <row r="122" spans="1:3">
      <c r="A122" s="627">
        <v>6.04</v>
      </c>
      <c r="B122" s="628" t="s">
        <v>699</v>
      </c>
      <c r="C122" s="630" t="s">
        <v>843</v>
      </c>
    </row>
    <row r="123" spans="1:3">
      <c r="A123" s="627">
        <v>6.05</v>
      </c>
      <c r="B123" s="628" t="s">
        <v>700</v>
      </c>
      <c r="C123" s="630" t="s">
        <v>844</v>
      </c>
    </row>
    <row r="124" spans="1:3" ht="22.5">
      <c r="A124" s="627">
        <v>6.06</v>
      </c>
      <c r="B124" s="628" t="s">
        <v>701</v>
      </c>
      <c r="C124" s="630" t="s">
        <v>845</v>
      </c>
    </row>
    <row r="125" spans="1:3">
      <c r="A125" s="627">
        <v>6.07</v>
      </c>
      <c r="B125" s="631" t="s">
        <v>702</v>
      </c>
      <c r="C125" s="630" t="s">
        <v>846</v>
      </c>
    </row>
    <row r="126" spans="1:3" ht="22.5">
      <c r="A126" s="627">
        <v>6.08</v>
      </c>
      <c r="B126" s="628" t="s">
        <v>703</v>
      </c>
      <c r="C126" s="630" t="s">
        <v>847</v>
      </c>
    </row>
    <row r="127" spans="1:3" ht="22.5">
      <c r="A127" s="627">
        <v>6.09</v>
      </c>
      <c r="B127" s="632" t="s">
        <v>704</v>
      </c>
      <c r="C127" s="630" t="s">
        <v>848</v>
      </c>
    </row>
    <row r="128" spans="1:3">
      <c r="A128" s="479">
        <v>6.1</v>
      </c>
      <c r="B128" s="632" t="s">
        <v>705</v>
      </c>
      <c r="C128" s="630" t="s">
        <v>849</v>
      </c>
    </row>
    <row r="129" spans="1:3">
      <c r="A129" s="627">
        <v>6.11</v>
      </c>
      <c r="B129" s="632" t="s">
        <v>706</v>
      </c>
      <c r="C129" s="630" t="s">
        <v>850</v>
      </c>
    </row>
    <row r="130" spans="1:3">
      <c r="A130" s="627">
        <v>6.12</v>
      </c>
      <c r="B130" s="632" t="s">
        <v>707</v>
      </c>
      <c r="C130" s="630" t="s">
        <v>851</v>
      </c>
    </row>
    <row r="131" spans="1:3">
      <c r="A131" s="627">
        <v>6.13</v>
      </c>
      <c r="B131" s="632" t="s">
        <v>708</v>
      </c>
      <c r="C131" s="629" t="s">
        <v>852</v>
      </c>
    </row>
    <row r="132" spans="1:3">
      <c r="A132" s="627">
        <v>6.14</v>
      </c>
      <c r="B132" s="632" t="s">
        <v>709</v>
      </c>
      <c r="C132" s="629" t="s">
        <v>853</v>
      </c>
    </row>
    <row r="133" spans="1:3">
      <c r="A133" s="627">
        <v>6.15</v>
      </c>
      <c r="B133" s="632" t="s">
        <v>710</v>
      </c>
      <c r="C133" s="629" t="s">
        <v>854</v>
      </c>
    </row>
    <row r="134" spans="1:3" ht="22.5">
      <c r="A134" s="627">
        <v>6.16</v>
      </c>
      <c r="B134" s="632" t="s">
        <v>711</v>
      </c>
      <c r="C134" s="629" t="s">
        <v>855</v>
      </c>
    </row>
    <row r="135" spans="1:3">
      <c r="A135" s="627">
        <v>6.17</v>
      </c>
      <c r="B135" s="629" t="s">
        <v>712</v>
      </c>
      <c r="C135" s="629" t="s">
        <v>856</v>
      </c>
    </row>
    <row r="136" spans="1:3" ht="22.5">
      <c r="A136" s="627">
        <v>6.18</v>
      </c>
      <c r="B136" s="632" t="s">
        <v>713</v>
      </c>
      <c r="C136" s="629" t="s">
        <v>857</v>
      </c>
    </row>
    <row r="137" spans="1:3">
      <c r="A137" s="627">
        <v>6.19</v>
      </c>
      <c r="B137" s="632" t="s">
        <v>714</v>
      </c>
      <c r="C137" s="629" t="s">
        <v>858</v>
      </c>
    </row>
    <row r="138" spans="1:3">
      <c r="A138" s="479">
        <v>6.2</v>
      </c>
      <c r="B138" s="632" t="s">
        <v>715</v>
      </c>
      <c r="C138" s="629" t="s">
        <v>859</v>
      </c>
    </row>
    <row r="139" spans="1:3">
      <c r="A139" s="627">
        <v>6.21</v>
      </c>
      <c r="B139" s="632" t="s">
        <v>716</v>
      </c>
      <c r="C139" s="629" t="s">
        <v>860</v>
      </c>
    </row>
    <row r="140" spans="1:3">
      <c r="A140" s="627">
        <v>6.22</v>
      </c>
      <c r="B140" s="632" t="s">
        <v>717</v>
      </c>
      <c r="C140" s="629" t="s">
        <v>861</v>
      </c>
    </row>
    <row r="141" spans="1:3" ht="22.5">
      <c r="A141" s="627">
        <v>6.23</v>
      </c>
      <c r="B141" s="632" t="s">
        <v>718</v>
      </c>
      <c r="C141" s="629" t="s">
        <v>862</v>
      </c>
    </row>
    <row r="142" spans="1:3" ht="22.5">
      <c r="A142" s="627">
        <v>6.24</v>
      </c>
      <c r="B142" s="628" t="s">
        <v>719</v>
      </c>
      <c r="C142" s="629" t="s">
        <v>863</v>
      </c>
    </row>
    <row r="143" spans="1:3">
      <c r="A143" s="627">
        <v>6.2500000000000098</v>
      </c>
      <c r="B143" s="628" t="s">
        <v>720</v>
      </c>
      <c r="C143" s="629" t="s">
        <v>864</v>
      </c>
    </row>
    <row r="144" spans="1:3" ht="22.5">
      <c r="A144" s="627">
        <v>6.2600000000000202</v>
      </c>
      <c r="B144" s="628" t="s">
        <v>865</v>
      </c>
      <c r="C144" s="633" t="s">
        <v>866</v>
      </c>
    </row>
    <row r="145" spans="1:3" ht="22.5">
      <c r="A145" s="627">
        <v>6.2700000000000298</v>
      </c>
      <c r="B145" s="628" t="s">
        <v>165</v>
      </c>
      <c r="C145" s="633" t="s">
        <v>952</v>
      </c>
    </row>
    <row r="146" spans="1:3">
      <c r="A146" s="627"/>
      <c r="B146" s="843" t="s">
        <v>867</v>
      </c>
      <c r="C146" s="844"/>
    </row>
    <row r="147" spans="1:3" s="635" customFormat="1">
      <c r="A147" s="634">
        <v>7.1</v>
      </c>
      <c r="B147" s="628" t="s">
        <v>868</v>
      </c>
      <c r="C147" s="847" t="s">
        <v>869</v>
      </c>
    </row>
    <row r="148" spans="1:3" s="635" customFormat="1">
      <c r="A148" s="634">
        <v>7.2</v>
      </c>
      <c r="B148" s="628" t="s">
        <v>870</v>
      </c>
      <c r="C148" s="848"/>
    </row>
    <row r="149" spans="1:3" s="635" customFormat="1">
      <c r="A149" s="634">
        <v>7.3</v>
      </c>
      <c r="B149" s="628" t="s">
        <v>871</v>
      </c>
      <c r="C149" s="848"/>
    </row>
    <row r="150" spans="1:3" s="635" customFormat="1">
      <c r="A150" s="634">
        <v>7.4</v>
      </c>
      <c r="B150" s="628" t="s">
        <v>872</v>
      </c>
      <c r="C150" s="848"/>
    </row>
    <row r="151" spans="1:3" s="635" customFormat="1">
      <c r="A151" s="634">
        <v>7.5</v>
      </c>
      <c r="B151" s="628" t="s">
        <v>873</v>
      </c>
      <c r="C151" s="848"/>
    </row>
    <row r="152" spans="1:3" s="635" customFormat="1">
      <c r="A152" s="634">
        <v>7.6</v>
      </c>
      <c r="B152" s="628" t="s">
        <v>945</v>
      </c>
      <c r="C152" s="849"/>
    </row>
    <row r="153" spans="1:3" s="635" customFormat="1" ht="22.5">
      <c r="A153" s="634">
        <v>7.7</v>
      </c>
      <c r="B153" s="628" t="s">
        <v>874</v>
      </c>
      <c r="C153" s="636" t="s">
        <v>875</v>
      </c>
    </row>
    <row r="154" spans="1:3" s="635" customFormat="1" ht="22.5">
      <c r="A154" s="634">
        <v>7.8</v>
      </c>
      <c r="B154" s="628" t="s">
        <v>876</v>
      </c>
      <c r="C154" s="636" t="s">
        <v>877</v>
      </c>
    </row>
    <row r="155" spans="1:3">
      <c r="A155" s="616"/>
      <c r="B155" s="843" t="s">
        <v>878</v>
      </c>
      <c r="C155" s="844"/>
    </row>
    <row r="156" spans="1:3">
      <c r="A156" s="634">
        <v>1</v>
      </c>
      <c r="B156" s="799" t="s">
        <v>1019</v>
      </c>
      <c r="C156" s="800"/>
    </row>
    <row r="157" spans="1:3" ht="25.15" customHeight="1">
      <c r="A157" s="634">
        <v>2</v>
      </c>
      <c r="B157" s="799" t="s">
        <v>953</v>
      </c>
      <c r="C157" s="800"/>
    </row>
    <row r="158" spans="1:3">
      <c r="A158" s="634">
        <v>3</v>
      </c>
      <c r="B158" s="799" t="s">
        <v>944</v>
      </c>
      <c r="C158" s="800"/>
    </row>
    <row r="159" spans="1:3">
      <c r="A159" s="616"/>
      <c r="B159" s="843" t="s">
        <v>879</v>
      </c>
      <c r="C159" s="844"/>
    </row>
    <row r="160" spans="1:3" ht="39" customHeight="1">
      <c r="A160" s="634">
        <v>1</v>
      </c>
      <c r="B160" s="845" t="s">
        <v>1020</v>
      </c>
      <c r="C160" s="846"/>
    </row>
    <row r="161" spans="1:3" ht="22.5">
      <c r="A161" s="634">
        <v>3</v>
      </c>
      <c r="B161" s="628" t="s">
        <v>684</v>
      </c>
      <c r="C161" s="636" t="s">
        <v>880</v>
      </c>
    </row>
    <row r="162" spans="1:3" ht="22.5">
      <c r="A162" s="634">
        <v>4</v>
      </c>
      <c r="B162" s="628" t="s">
        <v>685</v>
      </c>
      <c r="C162" s="636" t="s">
        <v>881</v>
      </c>
    </row>
    <row r="163" spans="1:3" ht="33.75">
      <c r="A163" s="634">
        <v>5</v>
      </c>
      <c r="B163" s="628" t="s">
        <v>686</v>
      </c>
      <c r="C163" s="636" t="s">
        <v>882</v>
      </c>
    </row>
    <row r="164" spans="1:3">
      <c r="A164" s="634">
        <v>6</v>
      </c>
      <c r="B164" s="628" t="s">
        <v>687</v>
      </c>
      <c r="C164" s="628" t="s">
        <v>883</v>
      </c>
    </row>
    <row r="165" spans="1:3">
      <c r="A165" s="616"/>
      <c r="B165" s="843" t="s">
        <v>884</v>
      </c>
      <c r="C165" s="844"/>
    </row>
    <row r="166" spans="1:3" ht="45">
      <c r="A166" s="634"/>
      <c r="B166" s="628" t="s">
        <v>885</v>
      </c>
      <c r="C166" s="637" t="s">
        <v>1021</v>
      </c>
    </row>
    <row r="167" spans="1:3">
      <c r="A167" s="634"/>
      <c r="B167" s="628" t="s">
        <v>686</v>
      </c>
      <c r="C167" s="636" t="s">
        <v>886</v>
      </c>
    </row>
    <row r="168" spans="1:3">
      <c r="A168" s="616"/>
      <c r="B168" s="843" t="s">
        <v>887</v>
      </c>
      <c r="C168" s="844"/>
    </row>
    <row r="169" spans="1:3" ht="26.65" customHeight="1">
      <c r="A169" s="616"/>
      <c r="B169" s="799" t="s">
        <v>1022</v>
      </c>
      <c r="C169" s="800"/>
    </row>
    <row r="170" spans="1:3">
      <c r="A170" s="616" t="s">
        <v>888</v>
      </c>
      <c r="B170" s="480" t="s">
        <v>744</v>
      </c>
      <c r="C170" s="481" t="s">
        <v>889</v>
      </c>
    </row>
    <row r="171" spans="1:3">
      <c r="A171" s="616" t="s">
        <v>538</v>
      </c>
      <c r="B171" s="482" t="s">
        <v>745</v>
      </c>
      <c r="C171" s="636" t="s">
        <v>890</v>
      </c>
    </row>
    <row r="172" spans="1:3" ht="22.5">
      <c r="A172" s="616" t="s">
        <v>545</v>
      </c>
      <c r="B172" s="481" t="s">
        <v>746</v>
      </c>
      <c r="C172" s="636" t="s">
        <v>891</v>
      </c>
    </row>
    <row r="173" spans="1:3">
      <c r="A173" s="616" t="s">
        <v>892</v>
      </c>
      <c r="B173" s="482" t="s">
        <v>747</v>
      </c>
      <c r="C173" s="482" t="s">
        <v>893</v>
      </c>
    </row>
    <row r="174" spans="1:3" ht="22.5">
      <c r="A174" s="616" t="s">
        <v>894</v>
      </c>
      <c r="B174" s="483" t="s">
        <v>748</v>
      </c>
      <c r="C174" s="483" t="s">
        <v>895</v>
      </c>
    </row>
    <row r="175" spans="1:3" ht="22.5">
      <c r="A175" s="616" t="s">
        <v>546</v>
      </c>
      <c r="B175" s="483" t="s">
        <v>749</v>
      </c>
      <c r="C175" s="483" t="s">
        <v>896</v>
      </c>
    </row>
    <row r="176" spans="1:3" ht="22.5">
      <c r="A176" s="616" t="s">
        <v>897</v>
      </c>
      <c r="B176" s="483" t="s">
        <v>750</v>
      </c>
      <c r="C176" s="483" t="s">
        <v>898</v>
      </c>
    </row>
    <row r="177" spans="1:3" ht="22.5">
      <c r="A177" s="616" t="s">
        <v>899</v>
      </c>
      <c r="B177" s="483" t="s">
        <v>751</v>
      </c>
      <c r="C177" s="483" t="s">
        <v>901</v>
      </c>
    </row>
    <row r="178" spans="1:3" ht="22.5">
      <c r="A178" s="616" t="s">
        <v>900</v>
      </c>
      <c r="B178" s="483" t="s">
        <v>752</v>
      </c>
      <c r="C178" s="483" t="s">
        <v>903</v>
      </c>
    </row>
    <row r="179" spans="1:3" ht="22.5">
      <c r="A179" s="616" t="s">
        <v>902</v>
      </c>
      <c r="B179" s="483" t="s">
        <v>753</v>
      </c>
      <c r="C179" s="638" t="s">
        <v>905</v>
      </c>
    </row>
    <row r="180" spans="1:3" ht="22.5">
      <c r="A180" s="616" t="s">
        <v>904</v>
      </c>
      <c r="B180" s="490" t="s">
        <v>754</v>
      </c>
      <c r="C180" s="638" t="s">
        <v>907</v>
      </c>
    </row>
    <row r="181" spans="1:3" ht="22.5">
      <c r="A181" s="616" t="s">
        <v>906</v>
      </c>
      <c r="B181" s="483" t="s">
        <v>755</v>
      </c>
      <c r="C181" s="484" t="s">
        <v>909</v>
      </c>
    </row>
    <row r="182" spans="1:3">
      <c r="A182" s="639" t="s">
        <v>908</v>
      </c>
      <c r="B182" s="485" t="s">
        <v>756</v>
      </c>
      <c r="C182" s="481" t="s">
        <v>910</v>
      </c>
    </row>
    <row r="183" spans="1:3" ht="22.5">
      <c r="A183" s="616"/>
      <c r="B183" s="483" t="s">
        <v>911</v>
      </c>
      <c r="C183" s="630" t="s">
        <v>912</v>
      </c>
    </row>
    <row r="184" spans="1:3" ht="22.5">
      <c r="A184" s="616"/>
      <c r="B184" s="483" t="s">
        <v>913</v>
      </c>
      <c r="C184" s="630" t="s">
        <v>914</v>
      </c>
    </row>
    <row r="185" spans="1:3" ht="22.5">
      <c r="A185" s="616"/>
      <c r="B185" s="483" t="s">
        <v>915</v>
      </c>
      <c r="C185" s="630" t="s">
        <v>916</v>
      </c>
    </row>
    <row r="186" spans="1:3">
      <c r="A186" s="616"/>
      <c r="B186" s="843" t="s">
        <v>917</v>
      </c>
      <c r="C186" s="844"/>
    </row>
    <row r="187" spans="1:3" ht="49.9" customHeight="1">
      <c r="A187" s="616"/>
      <c r="B187" s="799" t="s">
        <v>1023</v>
      </c>
      <c r="C187" s="800"/>
    </row>
    <row r="188" spans="1:3">
      <c r="A188" s="634">
        <v>1</v>
      </c>
      <c r="B188" s="629" t="s">
        <v>776</v>
      </c>
      <c r="C188" s="629" t="s">
        <v>776</v>
      </c>
    </row>
    <row r="189" spans="1:3" ht="33.75">
      <c r="A189" s="634">
        <v>2</v>
      </c>
      <c r="B189" s="629" t="s">
        <v>918</v>
      </c>
      <c r="C189" s="629" t="s">
        <v>919</v>
      </c>
    </row>
    <row r="190" spans="1:3">
      <c r="A190" s="634">
        <v>3</v>
      </c>
      <c r="B190" s="629" t="s">
        <v>778</v>
      </c>
      <c r="C190" s="629" t="s">
        <v>920</v>
      </c>
    </row>
    <row r="191" spans="1:3" ht="22.5">
      <c r="A191" s="634">
        <v>4</v>
      </c>
      <c r="B191" s="629" t="s">
        <v>779</v>
      </c>
      <c r="C191" s="629" t="s">
        <v>921</v>
      </c>
    </row>
    <row r="192" spans="1:3" ht="22.5">
      <c r="A192" s="634">
        <v>5</v>
      </c>
      <c r="B192" s="629" t="s">
        <v>780</v>
      </c>
      <c r="C192" s="629" t="s">
        <v>1024</v>
      </c>
    </row>
    <row r="193" spans="1:4" ht="45">
      <c r="A193" s="634">
        <v>6</v>
      </c>
      <c r="B193" s="629" t="s">
        <v>781</v>
      </c>
      <c r="C193" s="629" t="s">
        <v>922</v>
      </c>
    </row>
    <row r="194" spans="1:4">
      <c r="A194" s="616"/>
      <c r="B194" s="843" t="s">
        <v>923</v>
      </c>
      <c r="C194" s="844"/>
    </row>
    <row r="195" spans="1:4" ht="25.9" customHeight="1">
      <c r="A195" s="616"/>
      <c r="B195" s="853" t="s">
        <v>946</v>
      </c>
      <c r="C195" s="845"/>
    </row>
    <row r="196" spans="1:4" ht="22.5">
      <c r="A196" s="616">
        <v>1.1000000000000001</v>
      </c>
      <c r="B196" s="486" t="s">
        <v>791</v>
      </c>
      <c r="C196" s="629" t="s">
        <v>924</v>
      </c>
      <c r="D196" s="640"/>
    </row>
    <row r="197" spans="1:4" ht="12.75">
      <c r="A197" s="616" t="s">
        <v>252</v>
      </c>
      <c r="B197" s="487" t="s">
        <v>792</v>
      </c>
      <c r="C197" s="629" t="s">
        <v>925</v>
      </c>
      <c r="D197" s="641"/>
    </row>
    <row r="198" spans="1:4" ht="12.75">
      <c r="A198" s="616" t="s">
        <v>793</v>
      </c>
      <c r="B198" s="642" t="s">
        <v>794</v>
      </c>
      <c r="C198" s="808" t="s">
        <v>947</v>
      </c>
      <c r="D198" s="643"/>
    </row>
    <row r="199" spans="1:4" ht="12.75">
      <c r="A199" s="616" t="s">
        <v>795</v>
      </c>
      <c r="B199" s="642" t="s">
        <v>796</v>
      </c>
      <c r="C199" s="808"/>
      <c r="D199" s="643"/>
    </row>
    <row r="200" spans="1:4" ht="12.75">
      <c r="A200" s="616" t="s">
        <v>797</v>
      </c>
      <c r="B200" s="642" t="s">
        <v>798</v>
      </c>
      <c r="C200" s="808"/>
      <c r="D200" s="643"/>
    </row>
    <row r="201" spans="1:4" ht="12.75">
      <c r="A201" s="616" t="s">
        <v>799</v>
      </c>
      <c r="B201" s="642" t="s">
        <v>800</v>
      </c>
      <c r="C201" s="808"/>
      <c r="D201" s="643"/>
    </row>
    <row r="202" spans="1:4" ht="22.5">
      <c r="A202" s="616">
        <v>1.2</v>
      </c>
      <c r="B202" s="644" t="s">
        <v>801</v>
      </c>
      <c r="C202" s="628" t="s">
        <v>926</v>
      </c>
      <c r="D202" s="645"/>
    </row>
    <row r="203" spans="1:4" ht="22.5">
      <c r="A203" s="616" t="s">
        <v>803</v>
      </c>
      <c r="B203" s="646" t="s">
        <v>804</v>
      </c>
      <c r="C203" s="647" t="s">
        <v>927</v>
      </c>
      <c r="D203" s="648"/>
    </row>
    <row r="204" spans="1:4" ht="23.25">
      <c r="A204" s="616" t="s">
        <v>805</v>
      </c>
      <c r="B204" s="649" t="s">
        <v>806</v>
      </c>
      <c r="C204" s="647" t="s">
        <v>928</v>
      </c>
      <c r="D204" s="650"/>
    </row>
    <row r="205" spans="1:4" ht="12.75">
      <c r="A205" s="616" t="s">
        <v>807</v>
      </c>
      <c r="B205" s="651" t="s">
        <v>808</v>
      </c>
      <c r="C205" s="628" t="s">
        <v>929</v>
      </c>
      <c r="D205" s="648"/>
    </row>
    <row r="206" spans="1:4" ht="18" customHeight="1">
      <c r="A206" s="616" t="s">
        <v>809</v>
      </c>
      <c r="B206" s="652" t="s">
        <v>810</v>
      </c>
      <c r="C206" s="628" t="s">
        <v>930</v>
      </c>
      <c r="D206" s="650"/>
    </row>
    <row r="207" spans="1:4" ht="22.5">
      <c r="A207" s="616">
        <v>1.4</v>
      </c>
      <c r="B207" s="646" t="s">
        <v>942</v>
      </c>
      <c r="C207" s="653" t="s">
        <v>931</v>
      </c>
      <c r="D207" s="654"/>
    </row>
    <row r="208" spans="1:4" ht="12.75">
      <c r="A208" s="616">
        <v>1.5</v>
      </c>
      <c r="B208" s="646" t="s">
        <v>943</v>
      </c>
      <c r="C208" s="653" t="s">
        <v>931</v>
      </c>
      <c r="D208" s="654"/>
    </row>
    <row r="209" spans="1:3">
      <c r="A209" s="616"/>
      <c r="B209" s="836" t="s">
        <v>932</v>
      </c>
      <c r="C209" s="836"/>
    </row>
    <row r="210" spans="1:3" ht="24.4" customHeight="1">
      <c r="A210" s="616"/>
      <c r="B210" s="853" t="s">
        <v>933</v>
      </c>
      <c r="C210" s="853"/>
    </row>
    <row r="211" spans="1:3" ht="22.5">
      <c r="A211" s="634"/>
      <c r="B211" s="628" t="s">
        <v>684</v>
      </c>
      <c r="C211" s="636" t="s">
        <v>880</v>
      </c>
    </row>
    <row r="212" spans="1:3" ht="22.5">
      <c r="A212" s="634"/>
      <c r="B212" s="628" t="s">
        <v>685</v>
      </c>
      <c r="C212" s="636" t="s">
        <v>881</v>
      </c>
    </row>
    <row r="213" spans="1:3" ht="22.5">
      <c r="A213" s="616"/>
      <c r="B213" s="628" t="s">
        <v>686</v>
      </c>
      <c r="C213" s="636" t="s">
        <v>934</v>
      </c>
    </row>
    <row r="214" spans="1:3">
      <c r="A214" s="616"/>
      <c r="B214" s="836" t="s">
        <v>935</v>
      </c>
      <c r="C214" s="836"/>
    </row>
    <row r="215" spans="1:3" ht="39.4" customHeight="1">
      <c r="A215" s="634"/>
      <c r="B215" s="853" t="s">
        <v>948</v>
      </c>
      <c r="C215" s="853"/>
    </row>
    <row r="216" spans="1:3">
      <c r="B216" s="836" t="s">
        <v>1025</v>
      </c>
      <c r="C216" s="836"/>
    </row>
    <row r="217" spans="1:3" ht="25.5">
      <c r="A217" s="606">
        <v>1</v>
      </c>
      <c r="B217" s="656" t="s">
        <v>1002</v>
      </c>
      <c r="C217" s="656" t="s">
        <v>1026</v>
      </c>
    </row>
    <row r="218" spans="1:3" ht="12.75">
      <c r="A218" s="606">
        <v>2</v>
      </c>
      <c r="B218" s="656" t="s">
        <v>1003</v>
      </c>
      <c r="C218" s="656" t="s">
        <v>1027</v>
      </c>
    </row>
    <row r="219" spans="1:3" ht="25.5">
      <c r="A219" s="606">
        <v>3</v>
      </c>
      <c r="B219" s="656" t="s">
        <v>1004</v>
      </c>
      <c r="C219" s="656" t="s">
        <v>1028</v>
      </c>
    </row>
    <row r="220" spans="1:3" ht="12.75">
      <c r="A220" s="606">
        <v>4</v>
      </c>
      <c r="B220" s="656" t="s">
        <v>1005</v>
      </c>
      <c r="C220" s="656" t="s">
        <v>1029</v>
      </c>
    </row>
    <row r="221" spans="1:3" ht="25.5">
      <c r="A221" s="606">
        <v>5</v>
      </c>
      <c r="B221" s="656" t="s">
        <v>1006</v>
      </c>
      <c r="C221" s="656" t="s">
        <v>1030</v>
      </c>
    </row>
    <row r="222" spans="1:3" ht="12.75">
      <c r="A222" s="606">
        <v>6</v>
      </c>
      <c r="B222" s="656" t="s">
        <v>1007</v>
      </c>
      <c r="C222" s="656" t="s">
        <v>1031</v>
      </c>
    </row>
    <row r="223" spans="1:3" ht="25.5">
      <c r="A223" s="606">
        <v>7</v>
      </c>
      <c r="B223" s="656" t="s">
        <v>1008</v>
      </c>
      <c r="C223" s="656" t="s">
        <v>1032</v>
      </c>
    </row>
    <row r="224" spans="1:3" ht="12.75">
      <c r="A224" s="606">
        <v>7.1</v>
      </c>
      <c r="B224" s="657" t="s">
        <v>1009</v>
      </c>
      <c r="C224" s="656" t="s">
        <v>1033</v>
      </c>
    </row>
    <row r="225" spans="1:3" ht="25.5">
      <c r="A225" s="606">
        <v>7.2</v>
      </c>
      <c r="B225" s="657" t="s">
        <v>1010</v>
      </c>
      <c r="C225" s="656" t="s">
        <v>1034</v>
      </c>
    </row>
    <row r="226" spans="1:3" ht="12.75">
      <c r="A226" s="606">
        <v>7.3</v>
      </c>
      <c r="B226" s="658" t="s">
        <v>1011</v>
      </c>
      <c r="C226" s="656" t="s">
        <v>1035</v>
      </c>
    </row>
    <row r="227" spans="1:3" ht="12.75">
      <c r="A227" s="606">
        <v>8</v>
      </c>
      <c r="B227" s="656" t="s">
        <v>1012</v>
      </c>
      <c r="C227" s="656" t="s">
        <v>1036</v>
      </c>
    </row>
    <row r="228" spans="1:3" ht="12.75">
      <c r="A228" s="606">
        <v>9</v>
      </c>
      <c r="B228" s="656" t="s">
        <v>1013</v>
      </c>
      <c r="C228" s="656" t="s">
        <v>1037</v>
      </c>
    </row>
    <row r="229" spans="1:3" ht="25.5">
      <c r="A229" s="606">
        <v>10.1</v>
      </c>
      <c r="B229" s="659" t="s">
        <v>1038</v>
      </c>
      <c r="C229" s="656" t="s">
        <v>1039</v>
      </c>
    </row>
    <row r="230" spans="1:3" ht="12.75">
      <c r="A230" s="850"/>
      <c r="B230" s="660" t="s">
        <v>786</v>
      </c>
      <c r="C230" s="656" t="s">
        <v>1040</v>
      </c>
    </row>
    <row r="231" spans="1:3" ht="25.5">
      <c r="A231" s="851"/>
      <c r="B231" s="660" t="s">
        <v>996</v>
      </c>
      <c r="C231" s="656" t="s">
        <v>1041</v>
      </c>
    </row>
    <row r="232" spans="1:3" ht="12.75">
      <c r="A232" s="851"/>
      <c r="B232" s="660" t="s">
        <v>997</v>
      </c>
      <c r="C232" s="656" t="s">
        <v>1042</v>
      </c>
    </row>
    <row r="233" spans="1:3" ht="24">
      <c r="A233" s="851"/>
      <c r="B233" s="660" t="s">
        <v>998</v>
      </c>
      <c r="C233" s="449" t="s">
        <v>1043</v>
      </c>
    </row>
    <row r="234" spans="1:3" ht="40.5" customHeight="1">
      <c r="A234" s="851"/>
      <c r="B234" s="660" t="s">
        <v>999</v>
      </c>
      <c r="C234" s="656" t="s">
        <v>1044</v>
      </c>
    </row>
    <row r="235" spans="1:3" ht="24" customHeight="1">
      <c r="A235" s="851"/>
      <c r="B235" s="660" t="s">
        <v>1000</v>
      </c>
      <c r="C235" s="656" t="s">
        <v>1045</v>
      </c>
    </row>
    <row r="236" spans="1:3" ht="25.5">
      <c r="A236" s="852"/>
      <c r="B236" s="660" t="s">
        <v>1001</v>
      </c>
      <c r="C236" s="656" t="s">
        <v>1046</v>
      </c>
    </row>
  </sheetData>
  <mergeCells count="133">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688">
        <f>'1. key ratios'!B2</f>
        <v>44834</v>
      </c>
      <c r="C2" s="13"/>
    </row>
    <row r="3" spans="1:8" ht="15.75">
      <c r="A3" s="14"/>
      <c r="B3" s="13"/>
      <c r="C3" s="13"/>
    </row>
    <row r="4" spans="1:8" ht="16.5" thickBot="1">
      <c r="A4" s="15" t="s">
        <v>407</v>
      </c>
      <c r="B4" s="24" t="s">
        <v>222</v>
      </c>
      <c r="C4" s="26"/>
      <c r="D4" s="26"/>
      <c r="E4" s="26"/>
      <c r="F4" s="15"/>
      <c r="G4" s="15"/>
      <c r="H4" s="40" t="s">
        <v>93</v>
      </c>
    </row>
    <row r="5" spans="1:8" ht="15.75">
      <c r="A5" s="111"/>
      <c r="B5" s="112"/>
      <c r="C5" s="696" t="s">
        <v>194</v>
      </c>
      <c r="D5" s="697"/>
      <c r="E5" s="698"/>
      <c r="F5" s="696" t="s">
        <v>195</v>
      </c>
      <c r="G5" s="697"/>
      <c r="H5" s="699"/>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673">
        <v>1841324</v>
      </c>
      <c r="D8" s="673">
        <v>949928</v>
      </c>
      <c r="E8" s="674">
        <f>C8+D8</f>
        <v>2791252</v>
      </c>
      <c r="F8" s="673">
        <v>1693035</v>
      </c>
      <c r="G8" s="673">
        <v>-446268</v>
      </c>
      <c r="H8" s="519">
        <f>F8+G8</f>
        <v>1246767</v>
      </c>
    </row>
    <row r="9" spans="1:8" ht="15.75">
      <c r="A9" s="115">
        <v>2</v>
      </c>
      <c r="B9" s="46" t="s">
        <v>98</v>
      </c>
      <c r="C9" s="675">
        <f>SUM(C10:C18)</f>
        <v>26894683</v>
      </c>
      <c r="D9" s="675">
        <f>SUM(D10:D18)</f>
        <v>26434062</v>
      </c>
      <c r="E9" s="674">
        <f t="shared" ref="E9:E67" si="0">C9+D9</f>
        <v>53328745</v>
      </c>
      <c r="F9" s="675">
        <f>SUM(F10:F18)</f>
        <v>20557144</v>
      </c>
      <c r="G9" s="675">
        <f>SUM(G10:G18)</f>
        <v>34020921</v>
      </c>
      <c r="H9" s="519">
        <f t="shared" ref="H9:H67" si="1">F9+G9</f>
        <v>54578065</v>
      </c>
    </row>
    <row r="10" spans="1:8" ht="15.75">
      <c r="A10" s="115">
        <v>2.1</v>
      </c>
      <c r="B10" s="47" t="s">
        <v>99</v>
      </c>
      <c r="C10" s="673">
        <v>0</v>
      </c>
      <c r="D10" s="673">
        <v>0</v>
      </c>
      <c r="E10" s="674">
        <f t="shared" si="0"/>
        <v>0</v>
      </c>
      <c r="F10" s="673">
        <v>0</v>
      </c>
      <c r="G10" s="673">
        <v>0</v>
      </c>
      <c r="H10" s="519">
        <f t="shared" si="1"/>
        <v>0</v>
      </c>
    </row>
    <row r="11" spans="1:8" ht="15.75">
      <c r="A11" s="115">
        <v>2.2000000000000002</v>
      </c>
      <c r="B11" s="47" t="s">
        <v>100</v>
      </c>
      <c r="C11" s="673">
        <v>11433921.110000001</v>
      </c>
      <c r="D11" s="673">
        <v>8698136.1400000006</v>
      </c>
      <c r="E11" s="674">
        <f t="shared" si="0"/>
        <v>20132057.25</v>
      </c>
      <c r="F11" s="673">
        <v>9630796.4199999999</v>
      </c>
      <c r="G11" s="673">
        <v>11048778.420000002</v>
      </c>
      <c r="H11" s="519">
        <f t="shared" si="1"/>
        <v>20679574.840000004</v>
      </c>
    </row>
    <row r="12" spans="1:8" ht="15.75">
      <c r="A12" s="115">
        <v>2.2999999999999998</v>
      </c>
      <c r="B12" s="47" t="s">
        <v>101</v>
      </c>
      <c r="C12" s="673">
        <v>0</v>
      </c>
      <c r="D12" s="673">
        <v>11092.39</v>
      </c>
      <c r="E12" s="674">
        <f t="shared" si="0"/>
        <v>11092.39</v>
      </c>
      <c r="F12" s="673">
        <v>0</v>
      </c>
      <c r="G12" s="673">
        <v>14026.2</v>
      </c>
      <c r="H12" s="519">
        <f t="shared" si="1"/>
        <v>14026.2</v>
      </c>
    </row>
    <row r="13" spans="1:8" ht="15.75">
      <c r="A13" s="115">
        <v>2.4</v>
      </c>
      <c r="B13" s="47" t="s">
        <v>102</v>
      </c>
      <c r="C13" s="673">
        <v>503934.62</v>
      </c>
      <c r="D13" s="673">
        <v>953672.58000000007</v>
      </c>
      <c r="E13" s="674">
        <f t="shared" si="0"/>
        <v>1457607.2000000002</v>
      </c>
      <c r="F13" s="673">
        <v>1243811.01</v>
      </c>
      <c r="G13" s="673">
        <v>3014879.56</v>
      </c>
      <c r="H13" s="519">
        <f t="shared" si="1"/>
        <v>4258690.57</v>
      </c>
    </row>
    <row r="14" spans="1:8" ht="15.75">
      <c r="A14" s="115">
        <v>2.5</v>
      </c>
      <c r="B14" s="47" t="s">
        <v>103</v>
      </c>
      <c r="C14" s="673">
        <v>2421628.4900000002</v>
      </c>
      <c r="D14" s="673">
        <v>5140741.84</v>
      </c>
      <c r="E14" s="674">
        <f t="shared" si="0"/>
        <v>7562370.3300000001</v>
      </c>
      <c r="F14" s="673">
        <v>2462708.9900000002</v>
      </c>
      <c r="G14" s="673">
        <v>4200889.09</v>
      </c>
      <c r="H14" s="519">
        <f t="shared" si="1"/>
        <v>6663598.0800000001</v>
      </c>
    </row>
    <row r="15" spans="1:8" ht="15.75">
      <c r="A15" s="115">
        <v>2.6</v>
      </c>
      <c r="B15" s="47" t="s">
        <v>104</v>
      </c>
      <c r="C15" s="673">
        <v>8564718.2400000002</v>
      </c>
      <c r="D15" s="673">
        <v>2878147.19</v>
      </c>
      <c r="E15" s="674">
        <f t="shared" si="0"/>
        <v>11442865.43</v>
      </c>
      <c r="F15" s="673">
        <v>4509216.88</v>
      </c>
      <c r="G15" s="673">
        <v>3078794.41</v>
      </c>
      <c r="H15" s="519">
        <f t="shared" si="1"/>
        <v>7588011.29</v>
      </c>
    </row>
    <row r="16" spans="1:8" ht="15.75">
      <c r="A16" s="115">
        <v>2.7</v>
      </c>
      <c r="B16" s="47" t="s">
        <v>105</v>
      </c>
      <c r="C16" s="673">
        <v>1905.01</v>
      </c>
      <c r="D16" s="673">
        <v>136731.07999999999</v>
      </c>
      <c r="E16" s="674">
        <f t="shared" si="0"/>
        <v>138636.09</v>
      </c>
      <c r="F16" s="673">
        <v>4338.76</v>
      </c>
      <c r="G16" s="673">
        <v>144857.53</v>
      </c>
      <c r="H16" s="519">
        <f t="shared" si="1"/>
        <v>149196.29</v>
      </c>
    </row>
    <row r="17" spans="1:8" ht="15.75">
      <c r="A17" s="115">
        <v>2.8</v>
      </c>
      <c r="B17" s="47" t="s">
        <v>106</v>
      </c>
      <c r="C17" s="673">
        <v>1442987</v>
      </c>
      <c r="D17" s="673">
        <v>2736540</v>
      </c>
      <c r="E17" s="674">
        <f t="shared" si="0"/>
        <v>4179527</v>
      </c>
      <c r="F17" s="673">
        <v>1144625</v>
      </c>
      <c r="G17" s="673">
        <v>2364327</v>
      </c>
      <c r="H17" s="519">
        <f t="shared" si="1"/>
        <v>3508952</v>
      </c>
    </row>
    <row r="18" spans="1:8" ht="15.75">
      <c r="A18" s="115">
        <v>2.9</v>
      </c>
      <c r="B18" s="47" t="s">
        <v>107</v>
      </c>
      <c r="C18" s="673">
        <v>2525588.5299999975</v>
      </c>
      <c r="D18" s="673">
        <v>5879000.7800000012</v>
      </c>
      <c r="E18" s="674">
        <f t="shared" si="0"/>
        <v>8404589.3099999987</v>
      </c>
      <c r="F18" s="673">
        <v>1561646.9399999976</v>
      </c>
      <c r="G18" s="673">
        <v>10154368.789999995</v>
      </c>
      <c r="H18" s="519">
        <f t="shared" si="1"/>
        <v>11716015.729999993</v>
      </c>
    </row>
    <row r="19" spans="1:8" ht="15.75">
      <c r="A19" s="115">
        <v>3</v>
      </c>
      <c r="B19" s="46" t="s">
        <v>108</v>
      </c>
      <c r="C19" s="673">
        <v>11463496</v>
      </c>
      <c r="D19" s="673">
        <v>777657</v>
      </c>
      <c r="E19" s="674">
        <f t="shared" si="0"/>
        <v>12241153</v>
      </c>
      <c r="F19" s="673">
        <v>661450</v>
      </c>
      <c r="G19" s="673">
        <v>2522233</v>
      </c>
      <c r="H19" s="519">
        <f t="shared" si="1"/>
        <v>3183683</v>
      </c>
    </row>
    <row r="20" spans="1:8" ht="15.75">
      <c r="A20" s="115">
        <v>4</v>
      </c>
      <c r="B20" s="46" t="s">
        <v>109</v>
      </c>
      <c r="C20" s="673">
        <v>327775</v>
      </c>
      <c r="D20" s="673">
        <v>136526</v>
      </c>
      <c r="E20" s="674">
        <f t="shared" si="0"/>
        <v>464301</v>
      </c>
      <c r="F20" s="673">
        <v>416759</v>
      </c>
      <c r="G20" s="673">
        <v>1346344</v>
      </c>
      <c r="H20" s="519">
        <f t="shared" si="1"/>
        <v>1763103</v>
      </c>
    </row>
    <row r="21" spans="1:8" ht="15.75">
      <c r="A21" s="115">
        <v>5</v>
      </c>
      <c r="B21" s="46" t="s">
        <v>110</v>
      </c>
      <c r="C21" s="673">
        <v>0</v>
      </c>
      <c r="D21" s="673">
        <v>27801</v>
      </c>
      <c r="E21" s="674">
        <f t="shared" si="0"/>
        <v>27801</v>
      </c>
      <c r="F21" s="673">
        <v>0</v>
      </c>
      <c r="G21" s="673">
        <v>1408</v>
      </c>
      <c r="H21" s="519">
        <f t="shared" si="1"/>
        <v>1408</v>
      </c>
    </row>
    <row r="22" spans="1:8" ht="15.75">
      <c r="A22" s="115">
        <v>6</v>
      </c>
      <c r="B22" s="48" t="s">
        <v>111</v>
      </c>
      <c r="C22" s="675">
        <f>C8+C9+C19+C20+C21</f>
        <v>40527278</v>
      </c>
      <c r="D22" s="675">
        <f>D8+D9+D19+D20+D21</f>
        <v>28325974</v>
      </c>
      <c r="E22" s="674">
        <f>C22+D22</f>
        <v>68853252</v>
      </c>
      <c r="F22" s="675">
        <f>F8+F9+F19+F20+F21</f>
        <v>23328388</v>
      </c>
      <c r="G22" s="675">
        <f>G8+G9+G19+G20+G21</f>
        <v>37444638</v>
      </c>
      <c r="H22" s="519">
        <f>F22+G22</f>
        <v>60773026</v>
      </c>
    </row>
    <row r="23" spans="1:8" ht="15.75">
      <c r="A23" s="115"/>
      <c r="B23" s="44" t="s">
        <v>90</v>
      </c>
      <c r="C23" s="673"/>
      <c r="D23" s="673"/>
      <c r="E23" s="676"/>
      <c r="F23" s="673"/>
      <c r="G23" s="673"/>
      <c r="H23" s="520"/>
    </row>
    <row r="24" spans="1:8" ht="15.75">
      <c r="A24" s="115">
        <v>7</v>
      </c>
      <c r="B24" s="46" t="s">
        <v>112</v>
      </c>
      <c r="C24" s="673">
        <v>835612</v>
      </c>
      <c r="D24" s="673">
        <v>68098</v>
      </c>
      <c r="E24" s="674">
        <f t="shared" si="0"/>
        <v>903710</v>
      </c>
      <c r="F24" s="673">
        <v>834341</v>
      </c>
      <c r="G24" s="673">
        <v>-219057</v>
      </c>
      <c r="H24" s="519">
        <f t="shared" si="1"/>
        <v>615284</v>
      </c>
    </row>
    <row r="25" spans="1:8" ht="15.75">
      <c r="A25" s="115">
        <v>8</v>
      </c>
      <c r="B25" s="46" t="s">
        <v>113</v>
      </c>
      <c r="C25" s="673">
        <v>7307013</v>
      </c>
      <c r="D25" s="673">
        <v>9089219</v>
      </c>
      <c r="E25" s="674">
        <f t="shared" si="0"/>
        <v>16396232</v>
      </c>
      <c r="F25" s="673">
        <v>6017831</v>
      </c>
      <c r="G25" s="673">
        <v>13266600</v>
      </c>
      <c r="H25" s="519">
        <f t="shared" si="1"/>
        <v>19284431</v>
      </c>
    </row>
    <row r="26" spans="1:8" ht="15.75">
      <c r="A26" s="115">
        <v>9</v>
      </c>
      <c r="B26" s="46" t="s">
        <v>114</v>
      </c>
      <c r="C26" s="673">
        <v>39714</v>
      </c>
      <c r="D26" s="673">
        <v>10027</v>
      </c>
      <c r="E26" s="674">
        <f t="shared" si="0"/>
        <v>49741</v>
      </c>
      <c r="F26" s="673">
        <v>1488</v>
      </c>
      <c r="G26" s="673">
        <v>389</v>
      </c>
      <c r="H26" s="519">
        <f t="shared" si="1"/>
        <v>1877</v>
      </c>
    </row>
    <row r="27" spans="1:8" ht="15.75">
      <c r="A27" s="115">
        <v>10</v>
      </c>
      <c r="B27" s="46" t="s">
        <v>115</v>
      </c>
      <c r="C27" s="673">
        <v>0</v>
      </c>
      <c r="D27" s="673">
        <v>0</v>
      </c>
      <c r="E27" s="674">
        <f t="shared" si="0"/>
        <v>0</v>
      </c>
      <c r="F27" s="673">
        <v>0</v>
      </c>
      <c r="G27" s="673">
        <v>0</v>
      </c>
      <c r="H27" s="519">
        <f t="shared" si="1"/>
        <v>0</v>
      </c>
    </row>
    <row r="28" spans="1:8" ht="15.75">
      <c r="A28" s="115">
        <v>11</v>
      </c>
      <c r="B28" s="46" t="s">
        <v>116</v>
      </c>
      <c r="C28" s="673">
        <v>0</v>
      </c>
      <c r="D28" s="673">
        <v>4775926</v>
      </c>
      <c r="E28" s="674">
        <f t="shared" si="0"/>
        <v>4775926</v>
      </c>
      <c r="F28" s="673">
        <v>0</v>
      </c>
      <c r="G28" s="673">
        <v>7601197</v>
      </c>
      <c r="H28" s="519">
        <f t="shared" si="1"/>
        <v>7601197</v>
      </c>
    </row>
    <row r="29" spans="1:8" ht="15.75">
      <c r="A29" s="115">
        <v>12</v>
      </c>
      <c r="B29" s="46" t="s">
        <v>117</v>
      </c>
      <c r="C29" s="673"/>
      <c r="D29" s="673"/>
      <c r="E29" s="674">
        <f t="shared" si="0"/>
        <v>0</v>
      </c>
      <c r="F29" s="673"/>
      <c r="G29" s="673"/>
      <c r="H29" s="519">
        <f t="shared" si="1"/>
        <v>0</v>
      </c>
    </row>
    <row r="30" spans="1:8" ht="15.75">
      <c r="A30" s="115">
        <v>13</v>
      </c>
      <c r="B30" s="49" t="s">
        <v>118</v>
      </c>
      <c r="C30" s="675">
        <f>SUM(C24:C29)</f>
        <v>8182339</v>
      </c>
      <c r="D30" s="675">
        <f>SUM(D24:D29)</f>
        <v>13943270</v>
      </c>
      <c r="E30" s="674">
        <f t="shared" si="0"/>
        <v>22125609</v>
      </c>
      <c r="F30" s="675">
        <f>SUM(F24:F29)</f>
        <v>6853660</v>
      </c>
      <c r="G30" s="675">
        <f>SUM(G24:G29)</f>
        <v>20649129</v>
      </c>
      <c r="H30" s="519">
        <f t="shared" si="1"/>
        <v>27502789</v>
      </c>
    </row>
    <row r="31" spans="1:8" ht="15.75">
      <c r="A31" s="115">
        <v>14</v>
      </c>
      <c r="B31" s="49" t="s">
        <v>119</v>
      </c>
      <c r="C31" s="675">
        <f>C22-C30</f>
        <v>32344939</v>
      </c>
      <c r="D31" s="675">
        <f>D22-D30</f>
        <v>14382704</v>
      </c>
      <c r="E31" s="674">
        <f t="shared" si="0"/>
        <v>46727643</v>
      </c>
      <c r="F31" s="675">
        <f>F22-F30</f>
        <v>16474728</v>
      </c>
      <c r="G31" s="675">
        <f>G22-G30</f>
        <v>16795509</v>
      </c>
      <c r="H31" s="519">
        <f t="shared" si="1"/>
        <v>33270237</v>
      </c>
    </row>
    <row r="32" spans="1:8">
      <c r="A32" s="115"/>
      <c r="B32" s="44"/>
      <c r="C32" s="677"/>
      <c r="D32" s="677"/>
      <c r="E32" s="677"/>
      <c r="F32" s="677"/>
      <c r="G32" s="677"/>
      <c r="H32" s="521"/>
    </row>
    <row r="33" spans="1:8" ht="15.75">
      <c r="A33" s="115"/>
      <c r="B33" s="44" t="s">
        <v>120</v>
      </c>
      <c r="C33" s="673"/>
      <c r="D33" s="673"/>
      <c r="E33" s="676"/>
      <c r="F33" s="673"/>
      <c r="G33" s="673"/>
      <c r="H33" s="520"/>
    </row>
    <row r="34" spans="1:8" ht="15.75">
      <c r="A34" s="115">
        <v>15</v>
      </c>
      <c r="B34" s="43" t="s">
        <v>91</v>
      </c>
      <c r="C34" s="675">
        <f>C35-C36</f>
        <v>-333978</v>
      </c>
      <c r="D34" s="675">
        <f>D35-D36</f>
        <v>-2214696</v>
      </c>
      <c r="E34" s="674">
        <f t="shared" si="0"/>
        <v>-2548674</v>
      </c>
      <c r="F34" s="675">
        <f>F35-F36</f>
        <v>-295335</v>
      </c>
      <c r="G34" s="675">
        <f>G35-G36</f>
        <v>-3327052</v>
      </c>
      <c r="H34" s="519">
        <f t="shared" si="1"/>
        <v>-3622387</v>
      </c>
    </row>
    <row r="35" spans="1:8" ht="15.75">
      <c r="A35" s="115">
        <v>15.1</v>
      </c>
      <c r="B35" s="47" t="s">
        <v>121</v>
      </c>
      <c r="C35" s="673">
        <v>2064874</v>
      </c>
      <c r="D35" s="673">
        <v>8146735</v>
      </c>
      <c r="E35" s="674">
        <f t="shared" si="0"/>
        <v>10211609</v>
      </c>
      <c r="F35" s="673">
        <v>2079557</v>
      </c>
      <c r="G35" s="673">
        <v>1445580</v>
      </c>
      <c r="H35" s="519">
        <f t="shared" si="1"/>
        <v>3525137</v>
      </c>
    </row>
    <row r="36" spans="1:8" ht="15.75">
      <c r="A36" s="115">
        <v>15.2</v>
      </c>
      <c r="B36" s="47" t="s">
        <v>122</v>
      </c>
      <c r="C36" s="673">
        <v>2398852</v>
      </c>
      <c r="D36" s="673">
        <v>10361431</v>
      </c>
      <c r="E36" s="674">
        <f t="shared" si="0"/>
        <v>12760283</v>
      </c>
      <c r="F36" s="673">
        <v>2374892</v>
      </c>
      <c r="G36" s="673">
        <v>4772632</v>
      </c>
      <c r="H36" s="519">
        <f t="shared" si="1"/>
        <v>7147524</v>
      </c>
    </row>
    <row r="37" spans="1:8" ht="15.75">
      <c r="A37" s="115">
        <v>16</v>
      </c>
      <c r="B37" s="46" t="s">
        <v>123</v>
      </c>
      <c r="C37" s="673">
        <v>0</v>
      </c>
      <c r="D37" s="673">
        <v>0</v>
      </c>
      <c r="E37" s="674">
        <f t="shared" si="0"/>
        <v>0</v>
      </c>
      <c r="F37" s="673">
        <v>138056</v>
      </c>
      <c r="G37" s="673">
        <v>0</v>
      </c>
      <c r="H37" s="519">
        <f t="shared" si="1"/>
        <v>138056</v>
      </c>
    </row>
    <row r="38" spans="1:8" ht="15.75">
      <c r="A38" s="115">
        <v>17</v>
      </c>
      <c r="B38" s="46" t="s">
        <v>124</v>
      </c>
      <c r="C38" s="673">
        <v>2011166</v>
      </c>
      <c r="D38" s="673">
        <v>0</v>
      </c>
      <c r="E38" s="674">
        <f t="shared" si="0"/>
        <v>2011166</v>
      </c>
      <c r="F38" s="673">
        <v>2480752</v>
      </c>
      <c r="G38" s="673">
        <v>0</v>
      </c>
      <c r="H38" s="519">
        <f t="shared" si="1"/>
        <v>2480752</v>
      </c>
    </row>
    <row r="39" spans="1:8" ht="15.75">
      <c r="A39" s="115">
        <v>18</v>
      </c>
      <c r="B39" s="46" t="s">
        <v>125</v>
      </c>
      <c r="C39" s="673">
        <v>-23397</v>
      </c>
      <c r="D39" s="673">
        <v>1083389</v>
      </c>
      <c r="E39" s="674">
        <f t="shared" si="0"/>
        <v>1059992</v>
      </c>
      <c r="F39" s="673">
        <v>-9238</v>
      </c>
      <c r="G39" s="673">
        <v>-4</v>
      </c>
      <c r="H39" s="519">
        <f t="shared" si="1"/>
        <v>-9242</v>
      </c>
    </row>
    <row r="40" spans="1:8" ht="15.75">
      <c r="A40" s="115">
        <v>19</v>
      </c>
      <c r="B40" s="46" t="s">
        <v>126</v>
      </c>
      <c r="C40" s="673">
        <v>6335099</v>
      </c>
      <c r="D40" s="673"/>
      <c r="E40" s="674">
        <f t="shared" si="0"/>
        <v>6335099</v>
      </c>
      <c r="F40" s="673">
        <v>2517991</v>
      </c>
      <c r="G40" s="673"/>
      <c r="H40" s="519">
        <f t="shared" si="1"/>
        <v>2517991</v>
      </c>
    </row>
    <row r="41" spans="1:8" ht="15.75">
      <c r="A41" s="115">
        <v>20</v>
      </c>
      <c r="B41" s="46" t="s">
        <v>127</v>
      </c>
      <c r="C41" s="673">
        <v>-4561174</v>
      </c>
      <c r="D41" s="673"/>
      <c r="E41" s="674">
        <f t="shared" si="0"/>
        <v>-4561174</v>
      </c>
      <c r="F41" s="673">
        <v>-3436329</v>
      </c>
      <c r="G41" s="673"/>
      <c r="H41" s="519">
        <f t="shared" si="1"/>
        <v>-3436329</v>
      </c>
    </row>
    <row r="42" spans="1:8" ht="15.75">
      <c r="A42" s="115">
        <v>21</v>
      </c>
      <c r="B42" s="46" t="s">
        <v>128</v>
      </c>
      <c r="C42" s="673">
        <v>10995</v>
      </c>
      <c r="D42" s="673">
        <v>0</v>
      </c>
      <c r="E42" s="674">
        <f t="shared" si="0"/>
        <v>10995</v>
      </c>
      <c r="F42" s="673">
        <v>12190</v>
      </c>
      <c r="G42" s="673">
        <v>0</v>
      </c>
      <c r="H42" s="519">
        <f t="shared" si="1"/>
        <v>12190</v>
      </c>
    </row>
    <row r="43" spans="1:8" ht="15.75">
      <c r="A43" s="115">
        <v>22</v>
      </c>
      <c r="B43" s="46" t="s">
        <v>129</v>
      </c>
      <c r="C43" s="673">
        <v>994034</v>
      </c>
      <c r="D43" s="673">
        <v>177032</v>
      </c>
      <c r="E43" s="674">
        <f t="shared" si="0"/>
        <v>1171066</v>
      </c>
      <c r="F43" s="673">
        <v>1162594</v>
      </c>
      <c r="G43" s="673">
        <v>168653</v>
      </c>
      <c r="H43" s="519">
        <f t="shared" si="1"/>
        <v>1331247</v>
      </c>
    </row>
    <row r="44" spans="1:8" ht="15.75">
      <c r="A44" s="115">
        <v>23</v>
      </c>
      <c r="B44" s="46" t="s">
        <v>130</v>
      </c>
      <c r="C44" s="673">
        <v>778648</v>
      </c>
      <c r="D44" s="673">
        <v>267</v>
      </c>
      <c r="E44" s="674">
        <f t="shared" si="0"/>
        <v>778915</v>
      </c>
      <c r="F44" s="673">
        <v>8493236</v>
      </c>
      <c r="G44" s="673">
        <v>239024</v>
      </c>
      <c r="H44" s="519">
        <f t="shared" si="1"/>
        <v>8732260</v>
      </c>
    </row>
    <row r="45" spans="1:8" ht="15.75">
      <c r="A45" s="115">
        <v>24</v>
      </c>
      <c r="B45" s="49" t="s">
        <v>131</v>
      </c>
      <c r="C45" s="675">
        <f>C34+C37+C38+C39+C40+C41+C42+C43+C44</f>
        <v>5211393</v>
      </c>
      <c r="D45" s="675">
        <f>D34+D37+D38+D39+D40+D41+D42+D43+D44</f>
        <v>-954008</v>
      </c>
      <c r="E45" s="674">
        <f t="shared" si="0"/>
        <v>4257385</v>
      </c>
      <c r="F45" s="675">
        <f>F34+F37+F38+F39+F40+F41+F42+F43+F44</f>
        <v>11063917</v>
      </c>
      <c r="G45" s="675">
        <f>G34+G37+G38+G39+G40+G41+G42+G43+G44</f>
        <v>-2919379</v>
      </c>
      <c r="H45" s="519">
        <f t="shared" si="1"/>
        <v>8144538</v>
      </c>
    </row>
    <row r="46" spans="1:8">
      <c r="A46" s="115"/>
      <c r="B46" s="44" t="s">
        <v>132</v>
      </c>
      <c r="C46" s="673"/>
      <c r="D46" s="673"/>
      <c r="E46" s="673"/>
      <c r="F46" s="673"/>
      <c r="G46" s="673"/>
      <c r="H46" s="522"/>
    </row>
    <row r="47" spans="1:8" ht="15.75">
      <c r="A47" s="115">
        <v>25</v>
      </c>
      <c r="B47" s="46" t="s">
        <v>133</v>
      </c>
      <c r="C47" s="673">
        <v>378119</v>
      </c>
      <c r="D47" s="673">
        <v>475</v>
      </c>
      <c r="E47" s="674">
        <f t="shared" si="0"/>
        <v>378594</v>
      </c>
      <c r="F47" s="673">
        <v>490370</v>
      </c>
      <c r="G47" s="673">
        <v>10550</v>
      </c>
      <c r="H47" s="519">
        <f t="shared" si="1"/>
        <v>500920</v>
      </c>
    </row>
    <row r="48" spans="1:8" ht="15.75">
      <c r="A48" s="115">
        <v>26</v>
      </c>
      <c r="B48" s="46" t="s">
        <v>134</v>
      </c>
      <c r="C48" s="673">
        <v>106317</v>
      </c>
      <c r="D48" s="673">
        <v>1923</v>
      </c>
      <c r="E48" s="674">
        <f t="shared" si="0"/>
        <v>108240</v>
      </c>
      <c r="F48" s="673">
        <v>164004</v>
      </c>
      <c r="G48" s="673">
        <v>1134</v>
      </c>
      <c r="H48" s="519">
        <f t="shared" si="1"/>
        <v>165138</v>
      </c>
    </row>
    <row r="49" spans="1:9" ht="15.75">
      <c r="A49" s="115">
        <v>27</v>
      </c>
      <c r="B49" s="46" t="s">
        <v>135</v>
      </c>
      <c r="C49" s="673">
        <v>11158172</v>
      </c>
      <c r="D49" s="673"/>
      <c r="E49" s="674">
        <f t="shared" si="0"/>
        <v>11158172</v>
      </c>
      <c r="F49" s="673">
        <v>9797458</v>
      </c>
      <c r="G49" s="673"/>
      <c r="H49" s="519">
        <f t="shared" si="1"/>
        <v>9797458</v>
      </c>
    </row>
    <row r="50" spans="1:9" ht="15.75">
      <c r="A50" s="115">
        <v>28</v>
      </c>
      <c r="B50" s="46" t="s">
        <v>271</v>
      </c>
      <c r="C50" s="673">
        <v>60321</v>
      </c>
      <c r="D50" s="673"/>
      <c r="E50" s="674">
        <f t="shared" si="0"/>
        <v>60321</v>
      </c>
      <c r="F50" s="673">
        <v>33746</v>
      </c>
      <c r="G50" s="673"/>
      <c r="H50" s="519">
        <f t="shared" si="1"/>
        <v>33746</v>
      </c>
    </row>
    <row r="51" spans="1:9" ht="15.75">
      <c r="A51" s="115">
        <v>29</v>
      </c>
      <c r="B51" s="46" t="s">
        <v>136</v>
      </c>
      <c r="C51" s="673">
        <v>3299975</v>
      </c>
      <c r="D51" s="673"/>
      <c r="E51" s="674">
        <f t="shared" si="0"/>
        <v>3299975</v>
      </c>
      <c r="F51" s="673">
        <v>3299973</v>
      </c>
      <c r="G51" s="673"/>
      <c r="H51" s="519">
        <f t="shared" si="1"/>
        <v>3299973</v>
      </c>
    </row>
    <row r="52" spans="1:9" ht="15.75">
      <c r="A52" s="115">
        <v>30</v>
      </c>
      <c r="B52" s="46" t="s">
        <v>137</v>
      </c>
      <c r="C52" s="673">
        <v>4338332</v>
      </c>
      <c r="D52" s="673">
        <v>168687</v>
      </c>
      <c r="E52" s="674">
        <f t="shared" si="0"/>
        <v>4507019</v>
      </c>
      <c r="F52" s="673">
        <v>3336084</v>
      </c>
      <c r="G52" s="673">
        <v>181462</v>
      </c>
      <c r="H52" s="519">
        <f t="shared" si="1"/>
        <v>3517546</v>
      </c>
    </row>
    <row r="53" spans="1:9" ht="15.75">
      <c r="A53" s="115">
        <v>31</v>
      </c>
      <c r="B53" s="49" t="s">
        <v>138</v>
      </c>
      <c r="C53" s="675">
        <f>C47+C48+C49+C50+C51+C52</f>
        <v>19341236</v>
      </c>
      <c r="D53" s="675">
        <f>D47+D48+D49+D50+D51+D52</f>
        <v>171085</v>
      </c>
      <c r="E53" s="674">
        <f t="shared" si="0"/>
        <v>19512321</v>
      </c>
      <c r="F53" s="675">
        <f>F47+F48+F49+F50+F51+F52</f>
        <v>17121635</v>
      </c>
      <c r="G53" s="675">
        <f>G47+G48+G49+G50+G51+G52</f>
        <v>193146</v>
      </c>
      <c r="H53" s="519">
        <f t="shared" si="1"/>
        <v>17314781</v>
      </c>
    </row>
    <row r="54" spans="1:9" ht="15.75">
      <c r="A54" s="115">
        <v>32</v>
      </c>
      <c r="B54" s="49" t="s">
        <v>139</v>
      </c>
      <c r="C54" s="675">
        <f>C45-C53</f>
        <v>-14129843</v>
      </c>
      <c r="D54" s="675">
        <f>D45-D53</f>
        <v>-1125093</v>
      </c>
      <c r="E54" s="674">
        <f t="shared" si="0"/>
        <v>-15254936</v>
      </c>
      <c r="F54" s="675">
        <f>F45-F53</f>
        <v>-6057718</v>
      </c>
      <c r="G54" s="675">
        <f>G45-G53</f>
        <v>-3112525</v>
      </c>
      <c r="H54" s="519">
        <f t="shared" si="1"/>
        <v>-9170243</v>
      </c>
    </row>
    <row r="55" spans="1:9">
      <c r="A55" s="115"/>
      <c r="B55" s="44"/>
      <c r="C55" s="677"/>
      <c r="D55" s="677"/>
      <c r="E55" s="677"/>
      <c r="F55" s="677"/>
      <c r="G55" s="677"/>
      <c r="H55" s="521"/>
    </row>
    <row r="56" spans="1:9" ht="15.75">
      <c r="A56" s="115">
        <v>33</v>
      </c>
      <c r="B56" s="49" t="s">
        <v>140</v>
      </c>
      <c r="C56" s="675">
        <f>C31+C54</f>
        <v>18215096</v>
      </c>
      <c r="D56" s="675">
        <f>D31+D54</f>
        <v>13257611</v>
      </c>
      <c r="E56" s="674">
        <f t="shared" si="0"/>
        <v>31472707</v>
      </c>
      <c r="F56" s="675">
        <f>F31+F54</f>
        <v>10417010</v>
      </c>
      <c r="G56" s="675">
        <f>G31+G54</f>
        <v>13682984</v>
      </c>
      <c r="H56" s="519">
        <f t="shared" si="1"/>
        <v>24099994</v>
      </c>
    </row>
    <row r="57" spans="1:9">
      <c r="A57" s="115"/>
      <c r="B57" s="44"/>
      <c r="C57" s="677"/>
      <c r="D57" s="677"/>
      <c r="E57" s="677"/>
      <c r="F57" s="677"/>
      <c r="G57" s="677"/>
      <c r="H57" s="521"/>
    </row>
    <row r="58" spans="1:9" ht="15.75">
      <c r="A58" s="115">
        <v>34</v>
      </c>
      <c r="B58" s="46" t="s">
        <v>141</v>
      </c>
      <c r="C58" s="673">
        <v>-24750122</v>
      </c>
      <c r="D58" s="673"/>
      <c r="E58" s="674">
        <f>C58</f>
        <v>-24750122</v>
      </c>
      <c r="F58" s="673">
        <v>-5742774</v>
      </c>
      <c r="G58" s="673"/>
      <c r="H58" s="519">
        <f>F58</f>
        <v>-5742774</v>
      </c>
    </row>
    <row r="59" spans="1:9" s="190" customFormat="1" ht="15.75">
      <c r="A59" s="115">
        <v>35</v>
      </c>
      <c r="B59" s="43" t="s">
        <v>142</v>
      </c>
      <c r="C59" s="673">
        <v>-309760</v>
      </c>
      <c r="D59" s="678"/>
      <c r="E59" s="679">
        <f>C59</f>
        <v>-309760</v>
      </c>
      <c r="F59" s="680">
        <v>-15380</v>
      </c>
      <c r="G59" s="680"/>
      <c r="H59" s="523">
        <f>F59</f>
        <v>-15380</v>
      </c>
      <c r="I59" s="189"/>
    </row>
    <row r="60" spans="1:9" ht="15.75">
      <c r="A60" s="115">
        <v>36</v>
      </c>
      <c r="B60" s="46" t="s">
        <v>143</v>
      </c>
      <c r="C60" s="673">
        <v>31521125</v>
      </c>
      <c r="D60" s="673"/>
      <c r="E60" s="674">
        <f>C60</f>
        <v>31521125</v>
      </c>
      <c r="F60" s="673">
        <v>2644057</v>
      </c>
      <c r="G60" s="673"/>
      <c r="H60" s="519">
        <f>F60</f>
        <v>2644057</v>
      </c>
    </row>
    <row r="61" spans="1:9" ht="15.75">
      <c r="A61" s="115">
        <v>37</v>
      </c>
      <c r="B61" s="49" t="s">
        <v>144</v>
      </c>
      <c r="C61" s="675">
        <f>C58+C59+C60</f>
        <v>6461243</v>
      </c>
      <c r="D61" s="675">
        <f>D58+D59+D60</f>
        <v>0</v>
      </c>
      <c r="E61" s="674">
        <f t="shared" si="0"/>
        <v>6461243</v>
      </c>
      <c r="F61" s="675">
        <f>F58+F59+F60</f>
        <v>-3114097</v>
      </c>
      <c r="G61" s="675">
        <f>G58+G59+G60</f>
        <v>0</v>
      </c>
      <c r="H61" s="519">
        <f t="shared" si="1"/>
        <v>-3114097</v>
      </c>
    </row>
    <row r="62" spans="1:9">
      <c r="A62" s="115"/>
      <c r="B62" s="50"/>
      <c r="C62" s="673"/>
      <c r="D62" s="673"/>
      <c r="E62" s="673"/>
      <c r="F62" s="673"/>
      <c r="G62" s="673"/>
      <c r="H62" s="522"/>
    </row>
    <row r="63" spans="1:9" ht="15.75">
      <c r="A63" s="115">
        <v>38</v>
      </c>
      <c r="B63" s="51" t="s">
        <v>272</v>
      </c>
      <c r="C63" s="675">
        <f>C56-C61</f>
        <v>11753853</v>
      </c>
      <c r="D63" s="675">
        <f>D56-D61</f>
        <v>13257611</v>
      </c>
      <c r="E63" s="674">
        <f t="shared" si="0"/>
        <v>25011464</v>
      </c>
      <c r="F63" s="675">
        <f>F56-F61</f>
        <v>13531107</v>
      </c>
      <c r="G63" s="675">
        <f>G56-G61</f>
        <v>13682984</v>
      </c>
      <c r="H63" s="519">
        <f t="shared" si="1"/>
        <v>27214091</v>
      </c>
    </row>
    <row r="64" spans="1:9" ht="15.75">
      <c r="A64" s="113">
        <v>39</v>
      </c>
      <c r="B64" s="46" t="s">
        <v>145</v>
      </c>
      <c r="C64" s="681">
        <v>3612278</v>
      </c>
      <c r="D64" s="681"/>
      <c r="E64" s="674">
        <f t="shared" si="0"/>
        <v>3612278</v>
      </c>
      <c r="F64" s="681">
        <v>4231910</v>
      </c>
      <c r="G64" s="681"/>
      <c r="H64" s="519">
        <f t="shared" si="1"/>
        <v>4231910</v>
      </c>
    </row>
    <row r="65" spans="1:8" ht="15.75">
      <c r="A65" s="115">
        <v>40</v>
      </c>
      <c r="B65" s="49" t="s">
        <v>146</v>
      </c>
      <c r="C65" s="675">
        <f>C63-C64</f>
        <v>8141575</v>
      </c>
      <c r="D65" s="675">
        <f>D63-D64</f>
        <v>13257611</v>
      </c>
      <c r="E65" s="674">
        <f t="shared" si="0"/>
        <v>21399186</v>
      </c>
      <c r="F65" s="675">
        <f>F63-F64</f>
        <v>9299197</v>
      </c>
      <c r="G65" s="675">
        <f>G63-G64</f>
        <v>13682984</v>
      </c>
      <c r="H65" s="519">
        <f t="shared" si="1"/>
        <v>22982181</v>
      </c>
    </row>
    <row r="66" spans="1:8" ht="15.75">
      <c r="A66" s="113">
        <v>41</v>
      </c>
      <c r="B66" s="46" t="s">
        <v>147</v>
      </c>
      <c r="C66" s="681">
        <v>0</v>
      </c>
      <c r="D66" s="681"/>
      <c r="E66" s="674">
        <f t="shared" si="0"/>
        <v>0</v>
      </c>
      <c r="F66" s="681">
        <v>0</v>
      </c>
      <c r="G66" s="681"/>
      <c r="H66" s="519">
        <f t="shared" si="1"/>
        <v>0</v>
      </c>
    </row>
    <row r="67" spans="1:8" ht="16.5" thickBot="1">
      <c r="A67" s="117">
        <v>42</v>
      </c>
      <c r="B67" s="118" t="s">
        <v>148</v>
      </c>
      <c r="C67" s="218">
        <f>C65+C66</f>
        <v>8141575</v>
      </c>
      <c r="D67" s="218">
        <f>D65+D66</f>
        <v>13257611</v>
      </c>
      <c r="E67" s="216">
        <f t="shared" si="0"/>
        <v>21399186</v>
      </c>
      <c r="F67" s="218">
        <f>F65+F66</f>
        <v>9299197</v>
      </c>
      <c r="G67" s="218">
        <f>G65+G66</f>
        <v>13682984</v>
      </c>
      <c r="H67" s="219">
        <f t="shared" si="1"/>
        <v>22982181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688">
        <f>'1. key ratios'!B2</f>
        <v>44834</v>
      </c>
    </row>
    <row r="3" spans="1:8">
      <c r="A3" s="1"/>
    </row>
    <row r="4" spans="1:8" ht="16.5" thickBot="1">
      <c r="A4" s="1" t="s">
        <v>408</v>
      </c>
      <c r="B4" s="1"/>
      <c r="C4" s="199"/>
      <c r="D4" s="199"/>
      <c r="E4" s="199"/>
      <c r="F4" s="199"/>
      <c r="G4" s="199"/>
      <c r="H4" s="200" t="s">
        <v>93</v>
      </c>
    </row>
    <row r="5" spans="1:8" ht="15.75">
      <c r="A5" s="700" t="s">
        <v>26</v>
      </c>
      <c r="B5" s="702" t="s">
        <v>245</v>
      </c>
      <c r="C5" s="704" t="s">
        <v>194</v>
      </c>
      <c r="D5" s="704"/>
      <c r="E5" s="704"/>
      <c r="F5" s="704" t="s">
        <v>195</v>
      </c>
      <c r="G5" s="704"/>
      <c r="H5" s="705"/>
    </row>
    <row r="6" spans="1:8">
      <c r="A6" s="701"/>
      <c r="B6" s="703"/>
      <c r="C6" s="32" t="s">
        <v>27</v>
      </c>
      <c r="D6" s="32" t="s">
        <v>94</v>
      </c>
      <c r="E6" s="32" t="s">
        <v>68</v>
      </c>
      <c r="F6" s="32" t="s">
        <v>27</v>
      </c>
      <c r="G6" s="32" t="s">
        <v>94</v>
      </c>
      <c r="H6" s="33" t="s">
        <v>68</v>
      </c>
    </row>
    <row r="7" spans="1:8" ht="15.75">
      <c r="A7" s="107">
        <v>1</v>
      </c>
      <c r="B7" s="201" t="s">
        <v>483</v>
      </c>
      <c r="C7" s="214"/>
      <c r="D7" s="214"/>
      <c r="E7" s="220">
        <f>C7+D7</f>
        <v>0</v>
      </c>
      <c r="F7" s="214"/>
      <c r="G7" s="214"/>
      <c r="H7" s="215">
        <f t="shared" ref="H7:H53" si="0">F7+G7</f>
        <v>0</v>
      </c>
    </row>
    <row r="8" spans="1:8" ht="15.75">
      <c r="A8" s="107">
        <v>1.1000000000000001</v>
      </c>
      <c r="B8" s="202" t="s">
        <v>276</v>
      </c>
      <c r="C8" s="511">
        <v>29143923</v>
      </c>
      <c r="D8" s="511">
        <v>9083369</v>
      </c>
      <c r="E8" s="524">
        <f>C8+D8</f>
        <v>38227292</v>
      </c>
      <c r="F8" s="511">
        <v>41152177</v>
      </c>
      <c r="G8" s="511">
        <v>16126263</v>
      </c>
      <c r="H8" s="512">
        <f t="shared" si="0"/>
        <v>57278440</v>
      </c>
    </row>
    <row r="9" spans="1:8" ht="15.75">
      <c r="A9" s="107">
        <v>1.2</v>
      </c>
      <c r="B9" s="202" t="s">
        <v>277</v>
      </c>
      <c r="C9" s="511"/>
      <c r="D9" s="511">
        <v>0</v>
      </c>
      <c r="E9" s="524">
        <f t="shared" ref="E9:E52" si="1">C9+D9</f>
        <v>0</v>
      </c>
      <c r="F9" s="511"/>
      <c r="G9" s="511">
        <v>0</v>
      </c>
      <c r="H9" s="512">
        <f t="shared" si="0"/>
        <v>0</v>
      </c>
    </row>
    <row r="10" spans="1:8" ht="15.75">
      <c r="A10" s="107">
        <v>1.3</v>
      </c>
      <c r="B10" s="202" t="s">
        <v>278</v>
      </c>
      <c r="C10" s="511">
        <v>14672812</v>
      </c>
      <c r="D10" s="511">
        <v>14355317</v>
      </c>
      <c r="E10" s="524">
        <f t="shared" si="1"/>
        <v>29028129</v>
      </c>
      <c r="F10" s="511">
        <v>11971172</v>
      </c>
      <c r="G10" s="511">
        <v>11819369</v>
      </c>
      <c r="H10" s="512">
        <f t="shared" si="0"/>
        <v>23790541</v>
      </c>
    </row>
    <row r="11" spans="1:8" ht="15.75">
      <c r="A11" s="107">
        <v>1.4</v>
      </c>
      <c r="B11" s="202" t="s">
        <v>279</v>
      </c>
      <c r="C11" s="511">
        <v>8648</v>
      </c>
      <c r="D11" s="511">
        <v>0</v>
      </c>
      <c r="E11" s="524">
        <f t="shared" si="1"/>
        <v>8648</v>
      </c>
      <c r="F11" s="511">
        <v>11710</v>
      </c>
      <c r="G11" s="511">
        <v>0</v>
      </c>
      <c r="H11" s="512">
        <f t="shared" si="0"/>
        <v>11710</v>
      </c>
    </row>
    <row r="12" spans="1:8" ht="29.25" customHeight="1">
      <c r="A12" s="107">
        <v>2</v>
      </c>
      <c r="B12" s="201" t="s">
        <v>280</v>
      </c>
      <c r="C12" s="511"/>
      <c r="D12" s="511"/>
      <c r="E12" s="524">
        <f t="shared" si="1"/>
        <v>0</v>
      </c>
      <c r="F12" s="511"/>
      <c r="G12" s="511"/>
      <c r="H12" s="512">
        <f t="shared" si="0"/>
        <v>0</v>
      </c>
    </row>
    <row r="13" spans="1:8" ht="25.5">
      <c r="A13" s="107">
        <v>3</v>
      </c>
      <c r="B13" s="201" t="s">
        <v>281</v>
      </c>
      <c r="C13" s="511"/>
      <c r="D13" s="511"/>
      <c r="E13" s="524">
        <f t="shared" si="1"/>
        <v>0</v>
      </c>
      <c r="F13" s="511"/>
      <c r="G13" s="511"/>
      <c r="H13" s="512">
        <f t="shared" si="0"/>
        <v>0</v>
      </c>
    </row>
    <row r="14" spans="1:8" ht="15.75">
      <c r="A14" s="107">
        <v>3.1</v>
      </c>
      <c r="B14" s="202" t="s">
        <v>282</v>
      </c>
      <c r="C14" s="511"/>
      <c r="D14" s="511"/>
      <c r="E14" s="524">
        <f t="shared" si="1"/>
        <v>0</v>
      </c>
      <c r="F14" s="511"/>
      <c r="G14" s="511"/>
      <c r="H14" s="512">
        <f t="shared" si="0"/>
        <v>0</v>
      </c>
    </row>
    <row r="15" spans="1:8" ht="15.75">
      <c r="A15" s="107">
        <v>3.2</v>
      </c>
      <c r="B15" s="202" t="s">
        <v>283</v>
      </c>
      <c r="C15" s="511"/>
      <c r="D15" s="511"/>
      <c r="E15" s="524">
        <f t="shared" si="1"/>
        <v>0</v>
      </c>
      <c r="F15" s="511"/>
      <c r="G15" s="511"/>
      <c r="H15" s="512">
        <f t="shared" si="0"/>
        <v>0</v>
      </c>
    </row>
    <row r="16" spans="1:8" ht="15.75">
      <c r="A16" s="107">
        <v>4</v>
      </c>
      <c r="B16" s="201" t="s">
        <v>284</v>
      </c>
      <c r="C16" s="511"/>
      <c r="D16" s="511"/>
      <c r="E16" s="524">
        <f t="shared" si="1"/>
        <v>0</v>
      </c>
      <c r="F16" s="511"/>
      <c r="G16" s="511"/>
      <c r="H16" s="512">
        <f t="shared" si="0"/>
        <v>0</v>
      </c>
    </row>
    <row r="17" spans="1:8" ht="15.75">
      <c r="A17" s="107">
        <v>4.0999999999999996</v>
      </c>
      <c r="B17" s="202" t="s">
        <v>285</v>
      </c>
      <c r="C17" s="511">
        <v>5535103.2000000002</v>
      </c>
      <c r="D17" s="511">
        <v>2985457.3529999997</v>
      </c>
      <c r="E17" s="524">
        <f t="shared" si="1"/>
        <v>8520560.5529999994</v>
      </c>
      <c r="F17" s="511">
        <v>10092886.250000002</v>
      </c>
      <c r="G17" s="511">
        <v>3286638.9546519998</v>
      </c>
      <c r="H17" s="512">
        <f t="shared" si="0"/>
        <v>13379525.204652002</v>
      </c>
    </row>
    <row r="18" spans="1:8" ht="15.75">
      <c r="A18" s="107">
        <v>4.2</v>
      </c>
      <c r="B18" s="202" t="s">
        <v>286</v>
      </c>
      <c r="C18" s="511">
        <v>102529717.09356183</v>
      </c>
      <c r="D18" s="511">
        <v>318696507.5942027</v>
      </c>
      <c r="E18" s="524">
        <f t="shared" si="1"/>
        <v>421226224.68776453</v>
      </c>
      <c r="F18" s="511">
        <v>132561316.3346967</v>
      </c>
      <c r="G18" s="511">
        <v>395237030.78288585</v>
      </c>
      <c r="H18" s="512">
        <f t="shared" si="0"/>
        <v>527798347.11758256</v>
      </c>
    </row>
    <row r="19" spans="1:8" ht="25.5">
      <c r="A19" s="107">
        <v>5</v>
      </c>
      <c r="B19" s="201" t="s">
        <v>287</v>
      </c>
      <c r="C19" s="511"/>
      <c r="D19" s="511"/>
      <c r="E19" s="524">
        <f t="shared" si="1"/>
        <v>0</v>
      </c>
      <c r="F19" s="511"/>
      <c r="G19" s="511"/>
      <c r="H19" s="512">
        <f t="shared" si="0"/>
        <v>0</v>
      </c>
    </row>
    <row r="20" spans="1:8" ht="15.75">
      <c r="A20" s="107">
        <v>5.0999999999999996</v>
      </c>
      <c r="B20" s="202" t="s">
        <v>288</v>
      </c>
      <c r="C20" s="511">
        <v>32013160.399999999</v>
      </c>
      <c r="D20" s="511">
        <v>15576636.828544</v>
      </c>
      <c r="E20" s="524">
        <f t="shared" si="1"/>
        <v>47589797.228543997</v>
      </c>
      <c r="F20" s="511">
        <v>2690799.33</v>
      </c>
      <c r="G20" s="511">
        <v>35408506.412600003</v>
      </c>
      <c r="H20" s="512">
        <f t="shared" si="0"/>
        <v>38099305.742600001</v>
      </c>
    </row>
    <row r="21" spans="1:8" ht="15.75">
      <c r="A21" s="107">
        <v>5.2</v>
      </c>
      <c r="B21" s="202" t="s">
        <v>289</v>
      </c>
      <c r="C21" s="511">
        <v>0</v>
      </c>
      <c r="D21" s="511">
        <v>0</v>
      </c>
      <c r="E21" s="524">
        <f t="shared" si="1"/>
        <v>0</v>
      </c>
      <c r="F21" s="511">
        <v>0</v>
      </c>
      <c r="G21" s="511">
        <v>0</v>
      </c>
      <c r="H21" s="512">
        <f t="shared" si="0"/>
        <v>0</v>
      </c>
    </row>
    <row r="22" spans="1:8" ht="15.75">
      <c r="A22" s="107">
        <v>5.3</v>
      </c>
      <c r="B22" s="202" t="s">
        <v>290</v>
      </c>
      <c r="C22" s="511">
        <v>17236364.800000001</v>
      </c>
      <c r="D22" s="511">
        <v>1423188722.9261014</v>
      </c>
      <c r="E22" s="524">
        <f t="shared" si="1"/>
        <v>1440425087.7261014</v>
      </c>
      <c r="F22" s="511">
        <v>16744453.599999998</v>
      </c>
      <c r="G22" s="511">
        <v>1762158453.3560596</v>
      </c>
      <c r="H22" s="512">
        <f t="shared" si="0"/>
        <v>1778902906.9560595</v>
      </c>
    </row>
    <row r="23" spans="1:8" ht="15.75">
      <c r="A23" s="107" t="s">
        <v>291</v>
      </c>
      <c r="B23" s="203" t="s">
        <v>292</v>
      </c>
      <c r="C23" s="511">
        <v>102067.2</v>
      </c>
      <c r="D23" s="511">
        <v>167346316.23870346</v>
      </c>
      <c r="E23" s="524">
        <f t="shared" si="1"/>
        <v>167448383.43870345</v>
      </c>
      <c r="F23" s="511">
        <v>312280</v>
      </c>
      <c r="G23" s="511">
        <v>208611860.10264289</v>
      </c>
      <c r="H23" s="512">
        <f t="shared" si="0"/>
        <v>208924140.10264289</v>
      </c>
    </row>
    <row r="24" spans="1:8" ht="15.75">
      <c r="A24" s="107" t="s">
        <v>293</v>
      </c>
      <c r="B24" s="203" t="s">
        <v>294</v>
      </c>
      <c r="C24" s="511">
        <v>686118.40000000002</v>
      </c>
      <c r="D24" s="511">
        <v>678509476.03762782</v>
      </c>
      <c r="E24" s="524">
        <f t="shared" si="1"/>
        <v>679195594.43762779</v>
      </c>
      <c r="F24" s="511">
        <v>740103.6</v>
      </c>
      <c r="G24" s="511">
        <v>961420677.67804754</v>
      </c>
      <c r="H24" s="512">
        <f t="shared" si="0"/>
        <v>962160781.27804756</v>
      </c>
    </row>
    <row r="25" spans="1:8" ht="15.75">
      <c r="A25" s="107" t="s">
        <v>295</v>
      </c>
      <c r="B25" s="204" t="s">
        <v>296</v>
      </c>
      <c r="C25" s="511">
        <v>0</v>
      </c>
      <c r="D25" s="511">
        <v>174807043.78166348</v>
      </c>
      <c r="E25" s="524">
        <f t="shared" si="1"/>
        <v>174807043.78166348</v>
      </c>
      <c r="F25" s="511">
        <v>0</v>
      </c>
      <c r="G25" s="511">
        <v>142093487.90909797</v>
      </c>
      <c r="H25" s="512">
        <f t="shared" si="0"/>
        <v>142093487.90909797</v>
      </c>
    </row>
    <row r="26" spans="1:8" ht="15.75">
      <c r="A26" s="107" t="s">
        <v>297</v>
      </c>
      <c r="B26" s="203" t="s">
        <v>298</v>
      </c>
      <c r="C26" s="511">
        <v>16448179.199999999</v>
      </c>
      <c r="D26" s="511">
        <v>366805661.40685534</v>
      </c>
      <c r="E26" s="524">
        <f t="shared" si="1"/>
        <v>383253840.60685533</v>
      </c>
      <c r="F26" s="511">
        <v>15692069.999999998</v>
      </c>
      <c r="G26" s="511">
        <v>396359168.47190034</v>
      </c>
      <c r="H26" s="512">
        <f t="shared" si="0"/>
        <v>412051238.47190034</v>
      </c>
    </row>
    <row r="27" spans="1:8" ht="15.75">
      <c r="A27" s="107" t="s">
        <v>299</v>
      </c>
      <c r="B27" s="203" t="s">
        <v>300</v>
      </c>
      <c r="C27" s="511">
        <v>0</v>
      </c>
      <c r="D27" s="511">
        <v>35720225.461251274</v>
      </c>
      <c r="E27" s="524">
        <f t="shared" si="1"/>
        <v>35720225.461251274</v>
      </c>
      <c r="F27" s="511">
        <v>0</v>
      </c>
      <c r="G27" s="511">
        <v>53673259.194370702</v>
      </c>
      <c r="H27" s="512">
        <f t="shared" si="0"/>
        <v>53673259.194370702</v>
      </c>
    </row>
    <row r="28" spans="1:8" ht="15.75">
      <c r="A28" s="107">
        <v>5.4</v>
      </c>
      <c r="B28" s="202" t="s">
        <v>301</v>
      </c>
      <c r="C28" s="511">
        <v>151596406.89721063</v>
      </c>
      <c r="D28" s="511">
        <v>302357193.78178942</v>
      </c>
      <c r="E28" s="524">
        <f t="shared" si="1"/>
        <v>453953600.67900002</v>
      </c>
      <c r="F28" s="511">
        <v>177479892.69858277</v>
      </c>
      <c r="G28" s="511">
        <v>368542063.29968226</v>
      </c>
      <c r="H28" s="512">
        <f t="shared" si="0"/>
        <v>546021955.99826503</v>
      </c>
    </row>
    <row r="29" spans="1:8" ht="15.75">
      <c r="A29" s="107">
        <v>5.5</v>
      </c>
      <c r="B29" s="202" t="s">
        <v>302</v>
      </c>
      <c r="C29" s="511">
        <v>22753825.710000001</v>
      </c>
      <c r="D29" s="511">
        <v>163907216.21059999</v>
      </c>
      <c r="E29" s="524">
        <f t="shared" si="1"/>
        <v>186661041.9206</v>
      </c>
      <c r="F29" s="511">
        <v>10726543.02</v>
      </c>
      <c r="G29" s="511">
        <v>202544808.39050001</v>
      </c>
      <c r="H29" s="512">
        <f t="shared" si="0"/>
        <v>213271351.41050002</v>
      </c>
    </row>
    <row r="30" spans="1:8" ht="15.75">
      <c r="A30" s="107">
        <v>5.6</v>
      </c>
      <c r="B30" s="202" t="s">
        <v>303</v>
      </c>
      <c r="C30" s="511">
        <v>0</v>
      </c>
      <c r="D30" s="511">
        <v>4394560</v>
      </c>
      <c r="E30" s="524">
        <f t="shared" si="1"/>
        <v>4394560</v>
      </c>
      <c r="F30" s="511">
        <v>0</v>
      </c>
      <c r="G30" s="511">
        <v>4840340</v>
      </c>
      <c r="H30" s="512">
        <f t="shared" si="0"/>
        <v>4840340</v>
      </c>
    </row>
    <row r="31" spans="1:8" ht="15.75">
      <c r="A31" s="107">
        <v>5.7</v>
      </c>
      <c r="B31" s="202" t="s">
        <v>304</v>
      </c>
      <c r="C31" s="511">
        <v>92801</v>
      </c>
      <c r="D31" s="511">
        <v>27580825.599999994</v>
      </c>
      <c r="E31" s="524">
        <f t="shared" si="1"/>
        <v>27673626.599999994</v>
      </c>
      <c r="F31" s="511">
        <v>13986587.449999999</v>
      </c>
      <c r="G31" s="511">
        <v>30578457.619999975</v>
      </c>
      <c r="H31" s="512">
        <f t="shared" si="0"/>
        <v>44565045.069999978</v>
      </c>
    </row>
    <row r="32" spans="1:8" ht="15.75">
      <c r="A32" s="107">
        <v>6</v>
      </c>
      <c r="B32" s="201" t="s">
        <v>305</v>
      </c>
      <c r="C32" s="511"/>
      <c r="D32" s="511"/>
      <c r="E32" s="524">
        <f t="shared" si="1"/>
        <v>0</v>
      </c>
      <c r="F32" s="511"/>
      <c r="G32" s="511"/>
      <c r="H32" s="512">
        <f t="shared" si="0"/>
        <v>0</v>
      </c>
    </row>
    <row r="33" spans="1:8" ht="25.5">
      <c r="A33" s="107">
        <v>6.1</v>
      </c>
      <c r="B33" s="202" t="s">
        <v>484</v>
      </c>
      <c r="C33" s="511"/>
      <c r="D33" s="511"/>
      <c r="E33" s="524">
        <f t="shared" si="1"/>
        <v>0</v>
      </c>
      <c r="F33" s="511"/>
      <c r="G33" s="511">
        <v>41921151.090000004</v>
      </c>
      <c r="H33" s="512">
        <f t="shared" si="0"/>
        <v>41921151.090000004</v>
      </c>
    </row>
    <row r="34" spans="1:8" ht="25.5">
      <c r="A34" s="107">
        <v>6.2</v>
      </c>
      <c r="B34" s="202" t="s">
        <v>306</v>
      </c>
      <c r="C34" s="511"/>
      <c r="D34" s="511"/>
      <c r="E34" s="524">
        <f t="shared" si="1"/>
        <v>0</v>
      </c>
      <c r="F34" s="511">
        <v>12562800</v>
      </c>
      <c r="G34" s="511">
        <v>29127200</v>
      </c>
      <c r="H34" s="512">
        <f t="shared" si="0"/>
        <v>41690000</v>
      </c>
    </row>
    <row r="35" spans="1:8" ht="25.5">
      <c r="A35" s="107">
        <v>6.3</v>
      </c>
      <c r="B35" s="202" t="s">
        <v>307</v>
      </c>
      <c r="C35" s="511"/>
      <c r="D35" s="511"/>
      <c r="E35" s="524">
        <f t="shared" si="1"/>
        <v>0</v>
      </c>
      <c r="F35" s="511"/>
      <c r="G35" s="511"/>
      <c r="H35" s="512">
        <f t="shared" si="0"/>
        <v>0</v>
      </c>
    </row>
    <row r="36" spans="1:8" ht="15.75">
      <c r="A36" s="107">
        <v>6.4</v>
      </c>
      <c r="B36" s="202" t="s">
        <v>308</v>
      </c>
      <c r="C36" s="511"/>
      <c r="D36" s="511"/>
      <c r="E36" s="524">
        <f t="shared" si="1"/>
        <v>0</v>
      </c>
      <c r="F36" s="511"/>
      <c r="G36" s="511"/>
      <c r="H36" s="512">
        <f t="shared" si="0"/>
        <v>0</v>
      </c>
    </row>
    <row r="37" spans="1:8" ht="15.75">
      <c r="A37" s="107">
        <v>6.5</v>
      </c>
      <c r="B37" s="202" t="s">
        <v>309</v>
      </c>
      <c r="C37" s="511"/>
      <c r="D37" s="511"/>
      <c r="E37" s="524">
        <f t="shared" si="1"/>
        <v>0</v>
      </c>
      <c r="F37" s="511"/>
      <c r="G37" s="511"/>
      <c r="H37" s="512">
        <f t="shared" si="0"/>
        <v>0</v>
      </c>
    </row>
    <row r="38" spans="1:8" ht="25.5">
      <c r="A38" s="107">
        <v>6.6</v>
      </c>
      <c r="B38" s="202" t="s">
        <v>310</v>
      </c>
      <c r="C38" s="511"/>
      <c r="D38" s="511"/>
      <c r="E38" s="524">
        <f t="shared" si="1"/>
        <v>0</v>
      </c>
      <c r="F38" s="511"/>
      <c r="G38" s="511"/>
      <c r="H38" s="512">
        <f t="shared" si="0"/>
        <v>0</v>
      </c>
    </row>
    <row r="39" spans="1:8" ht="25.5">
      <c r="A39" s="107">
        <v>6.7</v>
      </c>
      <c r="B39" s="202" t="s">
        <v>311</v>
      </c>
      <c r="C39" s="511"/>
      <c r="D39" s="511"/>
      <c r="E39" s="524">
        <f t="shared" si="1"/>
        <v>0</v>
      </c>
      <c r="F39" s="511"/>
      <c r="G39" s="511"/>
      <c r="H39" s="512">
        <f t="shared" si="0"/>
        <v>0</v>
      </c>
    </row>
    <row r="40" spans="1:8" ht="15.75">
      <c r="A40" s="107">
        <v>7</v>
      </c>
      <c r="B40" s="201" t="s">
        <v>312</v>
      </c>
      <c r="C40" s="511"/>
      <c r="D40" s="511"/>
      <c r="E40" s="524">
        <f t="shared" si="1"/>
        <v>0</v>
      </c>
      <c r="F40" s="511"/>
      <c r="G40" s="511"/>
      <c r="H40" s="512">
        <f t="shared" si="0"/>
        <v>0</v>
      </c>
    </row>
    <row r="41" spans="1:8" ht="25.5">
      <c r="A41" s="107">
        <v>7.1</v>
      </c>
      <c r="B41" s="202" t="s">
        <v>313</v>
      </c>
      <c r="C41" s="511">
        <v>0</v>
      </c>
      <c r="D41" s="511">
        <v>0</v>
      </c>
      <c r="E41" s="524">
        <f t="shared" si="1"/>
        <v>0</v>
      </c>
      <c r="F41" s="511">
        <v>25832.460000000021</v>
      </c>
      <c r="G41" s="511">
        <v>1637011.91</v>
      </c>
      <c r="H41" s="512">
        <f t="shared" si="0"/>
        <v>1662844.3699999999</v>
      </c>
    </row>
    <row r="42" spans="1:8" ht="25.5">
      <c r="A42" s="107">
        <v>7.2</v>
      </c>
      <c r="B42" s="202" t="s">
        <v>314</v>
      </c>
      <c r="C42" s="511">
        <v>1654572.3699999792</v>
      </c>
      <c r="D42" s="511">
        <v>4036840.24000001</v>
      </c>
      <c r="E42" s="524">
        <f t="shared" si="1"/>
        <v>5691412.6099999892</v>
      </c>
      <c r="F42" s="511">
        <v>2828089.8800000129</v>
      </c>
      <c r="G42" s="511">
        <v>4954332.5599999866</v>
      </c>
      <c r="H42" s="512">
        <f t="shared" si="0"/>
        <v>7782422.4399999995</v>
      </c>
    </row>
    <row r="43" spans="1:8" ht="25.5">
      <c r="A43" s="107">
        <v>7.3</v>
      </c>
      <c r="B43" s="202" t="s">
        <v>315</v>
      </c>
      <c r="C43" s="511">
        <v>11803735.139999999</v>
      </c>
      <c r="D43" s="511">
        <v>9392410.7400000021</v>
      </c>
      <c r="E43" s="524">
        <f t="shared" si="1"/>
        <v>21196145.880000003</v>
      </c>
      <c r="F43" s="511">
        <v>4913062.4899999993</v>
      </c>
      <c r="G43" s="511">
        <v>9394483.1100000013</v>
      </c>
      <c r="H43" s="512">
        <f t="shared" si="0"/>
        <v>14307545.600000001</v>
      </c>
    </row>
    <row r="44" spans="1:8" ht="25.5">
      <c r="A44" s="107">
        <v>7.4</v>
      </c>
      <c r="B44" s="202" t="s">
        <v>316</v>
      </c>
      <c r="C44" s="511">
        <v>58360425.939996392</v>
      </c>
      <c r="D44" s="511">
        <v>123530788.22000259</v>
      </c>
      <c r="E44" s="524">
        <f t="shared" si="1"/>
        <v>181891214.15999898</v>
      </c>
      <c r="F44" s="511">
        <v>60473206.619997665</v>
      </c>
      <c r="G44" s="511">
        <v>136563381.57000548</v>
      </c>
      <c r="H44" s="512">
        <f t="shared" si="0"/>
        <v>197036588.19000316</v>
      </c>
    </row>
    <row r="45" spans="1:8" ht="15.75">
      <c r="A45" s="107">
        <v>8</v>
      </c>
      <c r="B45" s="201" t="s">
        <v>317</v>
      </c>
      <c r="C45" s="511">
        <v>749796.987968</v>
      </c>
      <c r="D45" s="511">
        <v>0</v>
      </c>
      <c r="E45" s="524">
        <f>SUM(E46:E52)</f>
        <v>749796.987968</v>
      </c>
      <c r="F45" s="511">
        <v>733993.55375199998</v>
      </c>
      <c r="G45" s="511">
        <v>0</v>
      </c>
      <c r="H45" s="512">
        <f t="shared" si="0"/>
        <v>733993.55375199998</v>
      </c>
    </row>
    <row r="46" spans="1:8" ht="15.75">
      <c r="A46" s="107">
        <v>8.1</v>
      </c>
      <c r="B46" s="202" t="s">
        <v>318</v>
      </c>
      <c r="C46" s="511">
        <v>93065.539967999997</v>
      </c>
      <c r="D46" s="511">
        <v>0</v>
      </c>
      <c r="E46" s="524">
        <f t="shared" si="1"/>
        <v>93065.539967999997</v>
      </c>
      <c r="F46" s="511">
        <v>101278.97875200001</v>
      </c>
      <c r="G46" s="511">
        <v>0</v>
      </c>
      <c r="H46" s="512">
        <f t="shared" si="0"/>
        <v>101278.97875200001</v>
      </c>
    </row>
    <row r="47" spans="1:8" ht="15.75">
      <c r="A47" s="107">
        <v>8.1999999999999993</v>
      </c>
      <c r="B47" s="202" t="s">
        <v>319</v>
      </c>
      <c r="C47" s="511">
        <v>579135.09399999992</v>
      </c>
      <c r="D47" s="511">
        <v>0</v>
      </c>
      <c r="E47" s="524">
        <f t="shared" si="1"/>
        <v>579135.09399999992</v>
      </c>
      <c r="F47" s="511">
        <v>579707.61499999999</v>
      </c>
      <c r="G47" s="511">
        <v>0</v>
      </c>
      <c r="H47" s="512">
        <f t="shared" si="0"/>
        <v>579707.61499999999</v>
      </c>
    </row>
    <row r="48" spans="1:8" ht="15.75">
      <c r="A48" s="107">
        <v>8.3000000000000007</v>
      </c>
      <c r="B48" s="202" t="s">
        <v>320</v>
      </c>
      <c r="C48" s="511">
        <v>52747.864000000001</v>
      </c>
      <c r="D48" s="511">
        <v>0</v>
      </c>
      <c r="E48" s="524">
        <f t="shared" si="1"/>
        <v>52747.864000000001</v>
      </c>
      <c r="F48" s="511">
        <v>36559.599999999999</v>
      </c>
      <c r="G48" s="511">
        <v>0</v>
      </c>
      <c r="H48" s="512">
        <f t="shared" si="0"/>
        <v>36559.599999999999</v>
      </c>
    </row>
    <row r="49" spans="1:8" ht="15.75">
      <c r="A49" s="107">
        <v>8.4</v>
      </c>
      <c r="B49" s="202" t="s">
        <v>321</v>
      </c>
      <c r="C49" s="511">
        <v>23997.929999999997</v>
      </c>
      <c r="D49" s="511">
        <v>0</v>
      </c>
      <c r="E49" s="524">
        <f t="shared" si="1"/>
        <v>23997.929999999997</v>
      </c>
      <c r="F49" s="511">
        <v>14347.36</v>
      </c>
      <c r="G49" s="511">
        <v>0</v>
      </c>
      <c r="H49" s="512">
        <f t="shared" si="0"/>
        <v>14347.36</v>
      </c>
    </row>
    <row r="50" spans="1:8" ht="15.75">
      <c r="A50" s="107">
        <v>8.5</v>
      </c>
      <c r="B50" s="202" t="s">
        <v>322</v>
      </c>
      <c r="C50" s="511">
        <v>850.56</v>
      </c>
      <c r="D50" s="511">
        <v>0</v>
      </c>
      <c r="E50" s="524">
        <f t="shared" si="1"/>
        <v>850.56</v>
      </c>
      <c r="F50" s="511">
        <v>2100</v>
      </c>
      <c r="G50" s="511">
        <v>0</v>
      </c>
      <c r="H50" s="512">
        <f t="shared" si="0"/>
        <v>2100</v>
      </c>
    </row>
    <row r="51" spans="1:8" ht="15.75">
      <c r="A51" s="107">
        <v>8.6</v>
      </c>
      <c r="B51" s="202" t="s">
        <v>323</v>
      </c>
      <c r="C51" s="511">
        <v>0</v>
      </c>
      <c r="D51" s="511">
        <v>0</v>
      </c>
      <c r="E51" s="524">
        <f t="shared" si="1"/>
        <v>0</v>
      </c>
      <c r="F51" s="511">
        <v>0</v>
      </c>
      <c r="G51" s="511">
        <v>0</v>
      </c>
      <c r="H51" s="512">
        <f t="shared" si="0"/>
        <v>0</v>
      </c>
    </row>
    <row r="52" spans="1:8" ht="15.75">
      <c r="A52" s="107">
        <v>8.6999999999999993</v>
      </c>
      <c r="B52" s="202" t="s">
        <v>324</v>
      </c>
      <c r="C52" s="511">
        <v>0</v>
      </c>
      <c r="D52" s="511">
        <v>0</v>
      </c>
      <c r="E52" s="524">
        <f t="shared" si="1"/>
        <v>0</v>
      </c>
      <c r="F52" s="511">
        <v>0</v>
      </c>
      <c r="G52" s="511">
        <v>0</v>
      </c>
      <c r="H52" s="512">
        <f t="shared" si="0"/>
        <v>0</v>
      </c>
    </row>
    <row r="53" spans="1:8" ht="16.5" thickBot="1">
      <c r="A53" s="205">
        <v>9</v>
      </c>
      <c r="B53" s="206" t="s">
        <v>325</v>
      </c>
      <c r="C53" s="221"/>
      <c r="D53" s="221"/>
      <c r="E53" s="222">
        <f t="shared" ref="E53" si="2">C53+D53</f>
        <v>0</v>
      </c>
      <c r="F53" s="221"/>
      <c r="G53" s="221"/>
      <c r="H53" s="2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691">
        <f>'1. key ratios'!B2</f>
        <v>44834</v>
      </c>
      <c r="C2" s="13"/>
    </row>
    <row r="3" spans="1:7" ht="15">
      <c r="A3" s="14"/>
      <c r="B3" s="13"/>
      <c r="C3" s="13"/>
    </row>
    <row r="4" spans="1:7" ht="15" customHeight="1" thickBot="1">
      <c r="A4" s="196" t="s">
        <v>409</v>
      </c>
      <c r="B4" s="197" t="s">
        <v>187</v>
      </c>
      <c r="C4" s="198" t="s">
        <v>93</v>
      </c>
    </row>
    <row r="5" spans="1:7" ht="15" customHeight="1">
      <c r="A5" s="194" t="s">
        <v>26</v>
      </c>
      <c r="B5" s="195"/>
      <c r="C5" s="378" t="str">
        <f>INT((MONTH($B$2))/3)&amp;"Q"&amp;"-"&amp;YEAR($B$2)</f>
        <v>3Q-2022</v>
      </c>
      <c r="D5" s="378" t="str">
        <f>IF(INT(MONTH($B$2))=3, "4"&amp;"Q"&amp;"-"&amp;YEAR($B$2)-1, IF(INT(MONTH($B$2))=6, "1"&amp;"Q"&amp;"-"&amp;YEAR($B$2), IF(INT(MONTH($B$2))=9, "2"&amp;"Q"&amp;"-"&amp;YEAR($B$2),IF(INT(MONTH($B$2))=12, "3"&amp;"Q"&amp;"-"&amp;YEAR($B$2), 0))))</f>
        <v>2Q-2022</v>
      </c>
      <c r="E5" s="378" t="str">
        <f>IF(INT(MONTH($B$2))=3, "3"&amp;"Q"&amp;"-"&amp;YEAR($B$2)-1, IF(INT(MONTH($B$2))=6, "4"&amp;"Q"&amp;"-"&amp;YEAR($B$2)-1, IF(INT(MONTH($B$2))=9, "1"&amp;"Q"&amp;"-"&amp;YEAR($B$2),IF(INT(MONTH($B$2))=12, "2"&amp;"Q"&amp;"-"&amp;YEAR($B$2), 0))))</f>
        <v>1Q-2022</v>
      </c>
      <c r="F5" s="378" t="str">
        <f>IF(INT(MONTH($B$2))=3, "2"&amp;"Q"&amp;"-"&amp;YEAR($B$2)-1, IF(INT(MONTH($B$2))=6, "3"&amp;"Q"&amp;"-"&amp;YEAR($B$2)-1, IF(INT(MONTH($B$2))=9, "4"&amp;"Q"&amp;"-"&amp;YEAR($B$2)-1,IF(INT(MONTH($B$2))=12, "1"&amp;"Q"&amp;"-"&amp;YEAR($B$2), 0))))</f>
        <v>4Q-2021</v>
      </c>
      <c r="G5" s="378" t="str">
        <f>IF(INT(MONTH($B$2))=3, "1"&amp;"Q"&amp;"-"&amp;YEAR($B$2)-1, IF(INT(MONTH($B$2))=6, "2"&amp;"Q"&amp;"-"&amp;YEAR($B$2)-1, IF(INT(MONTH($B$2))=9, "3"&amp;"Q"&amp;"-"&amp;YEAR($B$2)-1,IF(INT(MONTH($B$2))=12, "4"&amp;"Q"&amp;"-"&amp;YEAR($B$2)-1, 0))))</f>
        <v>3Q-2021</v>
      </c>
    </row>
    <row r="6" spans="1:7" ht="15" customHeight="1">
      <c r="A6" s="317">
        <v>1</v>
      </c>
      <c r="B6" s="363" t="s">
        <v>192</v>
      </c>
      <c r="C6" s="318">
        <f>C7+C9+C10</f>
        <v>1227247102.8135364</v>
      </c>
      <c r="D6" s="365">
        <f>D7+D9+D10</f>
        <v>1193624491.8101244</v>
      </c>
      <c r="E6" s="365">
        <f t="shared" ref="E6:G6" si="0">E7+E9+E10</f>
        <v>1214652459.9997916</v>
      </c>
      <c r="F6" s="318">
        <f t="shared" si="0"/>
        <v>1161153557.2589002</v>
      </c>
      <c r="G6" s="366">
        <f t="shared" si="0"/>
        <v>1174630332.3047283</v>
      </c>
    </row>
    <row r="7" spans="1:7" ht="15" customHeight="1">
      <c r="A7" s="317">
        <v>1.1000000000000001</v>
      </c>
      <c r="B7" s="319" t="s">
        <v>605</v>
      </c>
      <c r="C7" s="320">
        <v>1196535923.7659338</v>
      </c>
      <c r="D7" s="367">
        <v>1164932546.5300364</v>
      </c>
      <c r="E7" s="367">
        <v>1189270401.6807432</v>
      </c>
      <c r="F7" s="320">
        <v>1128092368.3730202</v>
      </c>
      <c r="G7" s="368">
        <v>1131607065.0510361</v>
      </c>
    </row>
    <row r="8" spans="1:7" ht="25.5">
      <c r="A8" s="317" t="s">
        <v>252</v>
      </c>
      <c r="B8" s="321" t="s">
        <v>403</v>
      </c>
      <c r="C8" s="320">
        <v>52418607.5</v>
      </c>
      <c r="D8" s="367">
        <v>43188477.5</v>
      </c>
      <c r="E8" s="367">
        <v>39590050</v>
      </c>
      <c r="F8" s="320">
        <v>40402657.5</v>
      </c>
      <c r="G8" s="368">
        <v>40152727.5</v>
      </c>
    </row>
    <row r="9" spans="1:7" ht="15" customHeight="1">
      <c r="A9" s="317">
        <v>1.2</v>
      </c>
      <c r="B9" s="319" t="s">
        <v>22</v>
      </c>
      <c r="C9" s="320">
        <v>30711179.047602732</v>
      </c>
      <c r="D9" s="367">
        <v>28691945.280088007</v>
      </c>
      <c r="E9" s="367">
        <v>24906790.31904849</v>
      </c>
      <c r="F9" s="320">
        <v>32460740.885879934</v>
      </c>
      <c r="G9" s="368">
        <v>42189467.253692165</v>
      </c>
    </row>
    <row r="10" spans="1:7" ht="15" customHeight="1">
      <c r="A10" s="317">
        <v>1.3</v>
      </c>
      <c r="B10" s="364" t="s">
        <v>77</v>
      </c>
      <c r="C10" s="320">
        <v>0</v>
      </c>
      <c r="D10" s="367">
        <v>0</v>
      </c>
      <c r="E10" s="367">
        <v>475268</v>
      </c>
      <c r="F10" s="320">
        <v>600448</v>
      </c>
      <c r="G10" s="368">
        <v>833800</v>
      </c>
    </row>
    <row r="11" spans="1:7" ht="15" customHeight="1">
      <c r="A11" s="317">
        <v>2</v>
      </c>
      <c r="B11" s="363" t="s">
        <v>193</v>
      </c>
      <c r="C11" s="320">
        <v>39539895.108680919</v>
      </c>
      <c r="D11" s="367">
        <v>55215475.841529138</v>
      </c>
      <c r="E11" s="367">
        <v>41213261.31616801</v>
      </c>
      <c r="F11" s="320">
        <v>32703895.311471444</v>
      </c>
      <c r="G11" s="368">
        <v>43545013.770006515</v>
      </c>
    </row>
    <row r="12" spans="1:7" ht="15" customHeight="1">
      <c r="A12" s="317">
        <v>3</v>
      </c>
      <c r="B12" s="363" t="s">
        <v>191</v>
      </c>
      <c r="C12" s="320">
        <v>105286124.37499999</v>
      </c>
      <c r="D12" s="367">
        <v>105286124.37499999</v>
      </c>
      <c r="E12" s="367">
        <v>105286124.37499999</v>
      </c>
      <c r="F12" s="320">
        <v>105286124.37499999</v>
      </c>
      <c r="G12" s="368">
        <v>100202502.49999999</v>
      </c>
    </row>
    <row r="13" spans="1:7" ht="15" customHeight="1" thickBot="1">
      <c r="A13" s="120">
        <v>4</v>
      </c>
      <c r="B13" s="371" t="s">
        <v>253</v>
      </c>
      <c r="C13" s="223">
        <f>C6+C11+C12</f>
        <v>1372073122.2972174</v>
      </c>
      <c r="D13" s="369">
        <f>D6+D11+D12</f>
        <v>1354126092.0266535</v>
      </c>
      <c r="E13" s="369">
        <f t="shared" ref="E13:G13" si="1">E6+E11+E12</f>
        <v>1361151845.6909597</v>
      </c>
      <c r="F13" s="223">
        <f t="shared" si="1"/>
        <v>1299143576.9453716</v>
      </c>
      <c r="G13" s="370">
        <f t="shared" si="1"/>
        <v>1318377848.5747347</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1" bestFit="1" customWidth="1"/>
    <col min="2" max="2" width="58.7109375" style="1" customWidth="1"/>
    <col min="3" max="3" width="76.85546875" style="1" bestFit="1" customWidth="1"/>
  </cols>
  <sheetData>
    <row r="1" spans="1:8">
      <c r="A1" s="1" t="s">
        <v>188</v>
      </c>
      <c r="B1" s="1" t="str">
        <f>Info!C2</f>
        <v>სს "ბანკი ქართუ"</v>
      </c>
    </row>
    <row r="2" spans="1:8">
      <c r="A2" s="1" t="s">
        <v>189</v>
      </c>
      <c r="B2" s="688">
        <f>'1. key ratios'!B2</f>
        <v>44834</v>
      </c>
    </row>
    <row r="4" spans="1:8" ht="25.5" customHeight="1" thickBot="1">
      <c r="A4" s="207" t="s">
        <v>410</v>
      </c>
      <c r="B4" s="53" t="s">
        <v>149</v>
      </c>
      <c r="C4" s="10"/>
    </row>
    <row r="5" spans="1:8" ht="15.75">
      <c r="A5" s="8"/>
      <c r="B5" s="359" t="s">
        <v>150</v>
      </c>
      <c r="C5" s="376" t="s">
        <v>620</v>
      </c>
    </row>
    <row r="6" spans="1:8">
      <c r="A6" s="11">
        <v>1</v>
      </c>
      <c r="B6" s="525" t="s">
        <v>961</v>
      </c>
      <c r="C6" s="372" t="s">
        <v>962</v>
      </c>
    </row>
    <row r="7" spans="1:8">
      <c r="A7" s="11">
        <v>2</v>
      </c>
      <c r="B7" s="525" t="s">
        <v>963</v>
      </c>
      <c r="C7" s="372" t="s">
        <v>964</v>
      </c>
    </row>
    <row r="8" spans="1:8">
      <c r="A8" s="11">
        <v>3</v>
      </c>
      <c r="B8" s="525" t="s">
        <v>965</v>
      </c>
      <c r="C8" s="372" t="s">
        <v>966</v>
      </c>
    </row>
    <row r="9" spans="1:8">
      <c r="A9" s="11">
        <v>4</v>
      </c>
      <c r="B9" s="525" t="s">
        <v>967</v>
      </c>
      <c r="C9" s="372" t="s">
        <v>966</v>
      </c>
    </row>
    <row r="10" spans="1:8">
      <c r="A10" s="11">
        <v>5</v>
      </c>
      <c r="B10" s="525" t="s">
        <v>968</v>
      </c>
      <c r="C10" s="372" t="s">
        <v>969</v>
      </c>
    </row>
    <row r="11" spans="1:8">
      <c r="A11" s="11">
        <v>6</v>
      </c>
      <c r="B11" s="54"/>
      <c r="C11" s="372"/>
    </row>
    <row r="12" spans="1:8">
      <c r="A12" s="11">
        <v>7</v>
      </c>
      <c r="B12" s="54"/>
      <c r="C12" s="372"/>
      <c r="H12" s="2"/>
    </row>
    <row r="13" spans="1:8">
      <c r="A13" s="11">
        <v>8</v>
      </c>
      <c r="B13" s="54"/>
      <c r="C13" s="372"/>
    </row>
    <row r="14" spans="1:8">
      <c r="A14" s="11">
        <v>9</v>
      </c>
      <c r="B14" s="54"/>
      <c r="C14" s="372"/>
    </row>
    <row r="15" spans="1:8">
      <c r="A15" s="11">
        <v>10</v>
      </c>
      <c r="B15" s="54"/>
      <c r="C15" s="372"/>
    </row>
    <row r="16" spans="1:8">
      <c r="A16" s="11"/>
      <c r="B16" s="706"/>
      <c r="C16" s="707"/>
    </row>
    <row r="17" spans="1:3" ht="30">
      <c r="A17" s="11"/>
      <c r="B17" s="360" t="s">
        <v>151</v>
      </c>
      <c r="C17" s="377" t="s">
        <v>621</v>
      </c>
    </row>
    <row r="18" spans="1:3" ht="15.75">
      <c r="A18" s="11">
        <v>1</v>
      </c>
      <c r="B18" s="526" t="s">
        <v>970</v>
      </c>
      <c r="C18" s="374" t="s">
        <v>971</v>
      </c>
    </row>
    <row r="19" spans="1:3" ht="15.75">
      <c r="A19" s="11">
        <v>2</v>
      </c>
      <c r="B19" s="526" t="s">
        <v>972</v>
      </c>
      <c r="C19" s="374" t="s">
        <v>1051</v>
      </c>
    </row>
    <row r="20" spans="1:3" ht="15.75">
      <c r="A20" s="11">
        <v>3</v>
      </c>
      <c r="B20" s="526" t="s">
        <v>973</v>
      </c>
      <c r="C20" s="374" t="s">
        <v>1052</v>
      </c>
    </row>
    <row r="21" spans="1:3" ht="15.75">
      <c r="A21" s="11">
        <v>4</v>
      </c>
      <c r="B21" s="526" t="s">
        <v>974</v>
      </c>
      <c r="C21" s="374" t="s">
        <v>1053</v>
      </c>
    </row>
    <row r="22" spans="1:3" ht="15.75">
      <c r="A22" s="11">
        <v>5</v>
      </c>
      <c r="B22" s="526" t="s">
        <v>975</v>
      </c>
      <c r="C22" s="374" t="s">
        <v>1054</v>
      </c>
    </row>
    <row r="23" spans="1:3" ht="15.75">
      <c r="A23" s="11">
        <v>6</v>
      </c>
      <c r="B23" s="22" t="s">
        <v>1050</v>
      </c>
      <c r="C23" s="374" t="s">
        <v>1055</v>
      </c>
    </row>
    <row r="24" spans="1:3" ht="15.75">
      <c r="A24" s="11">
        <v>7</v>
      </c>
      <c r="B24" s="22" t="s">
        <v>1056</v>
      </c>
      <c r="C24" s="374" t="s">
        <v>1057</v>
      </c>
    </row>
    <row r="25" spans="1:3" ht="15.75">
      <c r="A25" s="11">
        <v>8</v>
      </c>
      <c r="B25" s="22"/>
      <c r="C25" s="374"/>
    </row>
    <row r="26" spans="1:3" ht="15.75">
      <c r="A26" s="11">
        <v>9</v>
      </c>
      <c r="B26" s="22"/>
      <c r="C26" s="374"/>
    </row>
    <row r="27" spans="1:3" ht="15.75" customHeight="1">
      <c r="A27" s="11">
        <v>10</v>
      </c>
      <c r="B27" s="22"/>
      <c r="C27" s="375"/>
    </row>
    <row r="28" spans="1:3" ht="15.75" customHeight="1">
      <c r="A28" s="11"/>
      <c r="B28" s="22"/>
      <c r="C28" s="23"/>
    </row>
    <row r="29" spans="1:3" ht="30" customHeight="1">
      <c r="A29" s="11"/>
      <c r="B29" s="708" t="s">
        <v>152</v>
      </c>
      <c r="C29" s="709"/>
    </row>
    <row r="30" spans="1:3">
      <c r="A30" s="11">
        <v>1</v>
      </c>
      <c r="B30" s="527" t="s">
        <v>976</v>
      </c>
      <c r="C30" s="528">
        <v>1</v>
      </c>
    </row>
    <row r="31" spans="1:3" ht="15.75" customHeight="1">
      <c r="A31" s="11"/>
      <c r="B31" s="54"/>
      <c r="C31" s="55"/>
    </row>
    <row r="32" spans="1:3" ht="29.25" customHeight="1">
      <c r="A32" s="11"/>
      <c r="B32" s="708" t="s">
        <v>273</v>
      </c>
      <c r="C32" s="709"/>
    </row>
    <row r="33" spans="1:3">
      <c r="A33" s="11">
        <v>1</v>
      </c>
      <c r="B33" s="525" t="s">
        <v>977</v>
      </c>
      <c r="C33" s="529">
        <v>1</v>
      </c>
    </row>
    <row r="34" spans="1:3" ht="16.5" thickBot="1">
      <c r="A34" s="12"/>
      <c r="B34" s="56"/>
      <c r="C34" s="37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688">
        <f>'1. key ratios'!B2</f>
        <v>44834</v>
      </c>
    </row>
    <row r="3" spans="1:5" s="14" customFormat="1" ht="15.75" customHeight="1"/>
    <row r="4" spans="1:5" s="14" customFormat="1" ht="15.75" customHeight="1" thickBot="1">
      <c r="A4" s="208" t="s">
        <v>411</v>
      </c>
      <c r="B4" s="209" t="s">
        <v>263</v>
      </c>
      <c r="C4" s="173"/>
      <c r="D4" s="173"/>
      <c r="E4" s="174" t="s">
        <v>93</v>
      </c>
    </row>
    <row r="5" spans="1:5" s="108" customFormat="1" ht="17.649999999999999" customHeight="1">
      <c r="A5" s="288"/>
      <c r="B5" s="289"/>
      <c r="C5" s="172" t="s">
        <v>0</v>
      </c>
      <c r="D5" s="172" t="s">
        <v>1</v>
      </c>
      <c r="E5" s="290" t="s">
        <v>2</v>
      </c>
    </row>
    <row r="6" spans="1:5" ht="14.65" customHeight="1">
      <c r="A6" s="291"/>
      <c r="B6" s="710" t="s">
        <v>231</v>
      </c>
      <c r="C6" s="710" t="s">
        <v>230</v>
      </c>
      <c r="D6" s="711" t="s">
        <v>229</v>
      </c>
      <c r="E6" s="712"/>
    </row>
    <row r="7" spans="1:5" ht="99.6" customHeight="1">
      <c r="A7" s="291"/>
      <c r="B7" s="710"/>
      <c r="C7" s="710"/>
      <c r="D7" s="286" t="s">
        <v>228</v>
      </c>
      <c r="E7" s="287" t="s">
        <v>522</v>
      </c>
    </row>
    <row r="8" spans="1:5">
      <c r="A8" s="292">
        <v>1</v>
      </c>
      <c r="B8" s="293" t="s">
        <v>154</v>
      </c>
      <c r="C8" s="294">
        <f>'2. RC'!E7</f>
        <v>32172552</v>
      </c>
      <c r="D8" s="294"/>
      <c r="E8" s="295">
        <f>C8-D8</f>
        <v>32172552</v>
      </c>
    </row>
    <row r="9" spans="1:5">
      <c r="A9" s="292">
        <v>2</v>
      </c>
      <c r="B9" s="293" t="s">
        <v>155</v>
      </c>
      <c r="C9" s="294">
        <f>'2. RC'!E8</f>
        <v>287145308</v>
      </c>
      <c r="D9" s="294"/>
      <c r="E9" s="295">
        <f t="shared" ref="E9:E20" si="0">C9-D9</f>
        <v>287145308</v>
      </c>
    </row>
    <row r="10" spans="1:5">
      <c r="A10" s="292">
        <v>3</v>
      </c>
      <c r="B10" s="293" t="s">
        <v>227</v>
      </c>
      <c r="C10" s="294">
        <f>'2. RC'!E9</f>
        <v>368584536.43000001</v>
      </c>
      <c r="D10" s="294"/>
      <c r="E10" s="295">
        <f t="shared" si="0"/>
        <v>368584536.43000001</v>
      </c>
    </row>
    <row r="11" spans="1:5">
      <c r="A11" s="292">
        <v>4</v>
      </c>
      <c r="B11" s="293" t="s">
        <v>185</v>
      </c>
      <c r="C11" s="294">
        <f>'2. RC'!E10</f>
        <v>0</v>
      </c>
      <c r="D11" s="294"/>
      <c r="E11" s="295">
        <f t="shared" si="0"/>
        <v>0</v>
      </c>
    </row>
    <row r="12" spans="1:5">
      <c r="A12" s="292">
        <v>5</v>
      </c>
      <c r="B12" s="293" t="s">
        <v>157</v>
      </c>
      <c r="C12" s="294">
        <f>'2. RC'!E11</f>
        <v>30951490</v>
      </c>
      <c r="D12" s="294">
        <f>'2. RC'!E39</f>
        <v>-41510</v>
      </c>
      <c r="E12" s="295">
        <f t="shared" si="0"/>
        <v>30993000</v>
      </c>
    </row>
    <row r="13" spans="1:5">
      <c r="A13" s="292">
        <v>6.1</v>
      </c>
      <c r="B13" s="293" t="s">
        <v>158</v>
      </c>
      <c r="C13" s="296">
        <f>'2. RC'!E12</f>
        <v>785513654</v>
      </c>
      <c r="D13" s="294"/>
      <c r="E13" s="295">
        <f>C13-D13</f>
        <v>785513654</v>
      </c>
    </row>
    <row r="14" spans="1:5">
      <c r="A14" s="292">
        <v>6.2</v>
      </c>
      <c r="B14" s="297" t="s">
        <v>159</v>
      </c>
      <c r="C14" s="530">
        <f>'2. RC'!E13</f>
        <v>-123594480</v>
      </c>
      <c r="D14" s="531"/>
      <c r="E14" s="532">
        <f>C14</f>
        <v>-123594480</v>
      </c>
    </row>
    <row r="15" spans="1:5">
      <c r="A15" s="292">
        <v>6</v>
      </c>
      <c r="B15" s="293" t="s">
        <v>226</v>
      </c>
      <c r="C15" s="294">
        <f>'2. RC'!E14</f>
        <v>661919174</v>
      </c>
      <c r="D15" s="294"/>
      <c r="E15" s="295">
        <f>SUM(E13:E14)</f>
        <v>661919174</v>
      </c>
    </row>
    <row r="16" spans="1:5">
      <c r="A16" s="292">
        <v>7</v>
      </c>
      <c r="B16" s="293" t="s">
        <v>161</v>
      </c>
      <c r="C16" s="294">
        <f>'2. RC'!E15</f>
        <v>29521030</v>
      </c>
      <c r="D16" s="294"/>
      <c r="E16" s="295">
        <f t="shared" si="0"/>
        <v>29521030</v>
      </c>
    </row>
    <row r="17" spans="1:7">
      <c r="A17" s="292">
        <v>8</v>
      </c>
      <c r="B17" s="293" t="s">
        <v>162</v>
      </c>
      <c r="C17" s="294">
        <f>'2. RC'!E16</f>
        <v>22389016</v>
      </c>
      <c r="D17" s="294"/>
      <c r="E17" s="295">
        <f t="shared" si="0"/>
        <v>22389016</v>
      </c>
      <c r="F17" s="3"/>
      <c r="G17" s="3"/>
    </row>
    <row r="18" spans="1:7">
      <c r="A18" s="292">
        <v>9</v>
      </c>
      <c r="B18" s="293" t="s">
        <v>163</v>
      </c>
      <c r="C18" s="294">
        <f>'2. RC'!E17</f>
        <v>7793239</v>
      </c>
      <c r="D18" s="294"/>
      <c r="E18" s="295">
        <f t="shared" si="0"/>
        <v>7793239</v>
      </c>
      <c r="G18" s="3"/>
    </row>
    <row r="19" spans="1:7" ht="25.5">
      <c r="A19" s="292">
        <v>10</v>
      </c>
      <c r="B19" s="293" t="s">
        <v>164</v>
      </c>
      <c r="C19" s="294">
        <f>'2. RC'!E18</f>
        <v>19652282</v>
      </c>
      <c r="D19" s="294">
        <f>'9. Capital'!C15</f>
        <v>3267540</v>
      </c>
      <c r="E19" s="295">
        <f t="shared" si="0"/>
        <v>16384742</v>
      </c>
      <c r="G19" s="3"/>
    </row>
    <row r="20" spans="1:7">
      <c r="A20" s="292">
        <v>11</v>
      </c>
      <c r="B20" s="293" t="s">
        <v>165</v>
      </c>
      <c r="C20" s="294">
        <f>'2. RC'!E19</f>
        <v>34382274.57</v>
      </c>
      <c r="D20" s="294">
        <f>'9. Capital'!C20</f>
        <v>0</v>
      </c>
      <c r="E20" s="295">
        <f t="shared" si="0"/>
        <v>34382274.57</v>
      </c>
    </row>
    <row r="21" spans="1:7" ht="39" thickBot="1">
      <c r="A21" s="298"/>
      <c r="B21" s="299" t="s">
        <v>485</v>
      </c>
      <c r="C21" s="257">
        <f>SUM(C8:C12, C15:C20)</f>
        <v>1494510902</v>
      </c>
      <c r="D21" s="257">
        <f>SUM(D8:D12, D15:D20)</f>
        <v>3226030</v>
      </c>
      <c r="E21" s="300">
        <f>SUM(E8:E12, E15:E20)</f>
        <v>1491284872</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688">
        <f>'1. key ratios'!B2</f>
        <v>44834</v>
      </c>
      <c r="C2"/>
      <c r="D2"/>
      <c r="E2"/>
      <c r="F2"/>
    </row>
    <row r="3" spans="1:6" s="14" customFormat="1" ht="15.75" customHeight="1">
      <c r="C3"/>
      <c r="D3"/>
      <c r="E3"/>
      <c r="F3"/>
    </row>
    <row r="4" spans="1:6" s="14" customFormat="1" ht="26.25" thickBot="1">
      <c r="A4" s="14" t="s">
        <v>412</v>
      </c>
      <c r="B4" s="180" t="s">
        <v>266</v>
      </c>
      <c r="C4" s="174" t="s">
        <v>93</v>
      </c>
      <c r="D4"/>
      <c r="E4"/>
      <c r="F4"/>
    </row>
    <row r="5" spans="1:6" ht="26.25">
      <c r="A5" s="175">
        <v>1</v>
      </c>
      <c r="B5" s="176" t="s">
        <v>434</v>
      </c>
      <c r="C5" s="224">
        <f>'7. LI1'!E21</f>
        <v>1491284872</v>
      </c>
    </row>
    <row r="6" spans="1:6">
      <c r="A6" s="107">
        <v>2.1</v>
      </c>
      <c r="B6" s="182" t="s">
        <v>267</v>
      </c>
      <c r="C6" s="533">
        <f>'13. CRME'!D22</f>
        <v>66030677.244751886</v>
      </c>
    </row>
    <row r="7" spans="1:6" s="2" customFormat="1" ht="25.5" outlineLevel="1">
      <c r="A7" s="181">
        <v>2.2000000000000002</v>
      </c>
      <c r="B7" s="177" t="s">
        <v>268</v>
      </c>
      <c r="C7" s="534">
        <f>'15. CCR'!C21</f>
        <v>0</v>
      </c>
    </row>
    <row r="8" spans="1:6" s="2" customFormat="1" ht="26.25">
      <c r="A8" s="181">
        <v>3</v>
      </c>
      <c r="B8" s="178" t="s">
        <v>435</v>
      </c>
      <c r="C8" s="227">
        <f>SUM(C5:C7)</f>
        <v>1557315549.2447519</v>
      </c>
    </row>
    <row r="9" spans="1:6">
      <c r="A9" s="107">
        <v>4</v>
      </c>
      <c r="B9" s="185" t="s">
        <v>264</v>
      </c>
      <c r="C9" s="225">
        <v>9620013</v>
      </c>
    </row>
    <row r="10" spans="1:6" s="2" customFormat="1" ht="25.5" outlineLevel="1">
      <c r="A10" s="181">
        <v>5.0999999999999996</v>
      </c>
      <c r="B10" s="177" t="s">
        <v>274</v>
      </c>
      <c r="C10" s="226">
        <f>'13. CRME'!E22-'13. CRME'!D22</f>
        <v>-29998979.129863948</v>
      </c>
    </row>
    <row r="11" spans="1:6" s="2" customFormat="1" ht="25.5" outlineLevel="1">
      <c r="A11" s="181">
        <v>5.2</v>
      </c>
      <c r="B11" s="177" t="s">
        <v>275</v>
      </c>
      <c r="C11" s="226">
        <f>'15. CCR'!E21-'15. CCR'!C21</f>
        <v>0</v>
      </c>
    </row>
    <row r="12" spans="1:6" s="2" customFormat="1">
      <c r="A12" s="181">
        <v>6</v>
      </c>
      <c r="B12" s="183" t="s">
        <v>607</v>
      </c>
      <c r="C12" s="226">
        <v>8272882.8499999996</v>
      </c>
    </row>
    <row r="13" spans="1:6" s="2" customFormat="1" ht="15.75" thickBot="1">
      <c r="A13" s="184">
        <v>7</v>
      </c>
      <c r="B13" s="179" t="s">
        <v>265</v>
      </c>
      <c r="C13" s="228">
        <f>SUM(C8:C12)</f>
        <v>1545209465.9648879</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uQiz6dtKxXSQxEanljqSlvhzT64MQaWZ2/DUnHA5qvc=</DigestValue>
    </Reference>
    <Reference Type="http://www.w3.org/2000/09/xmldsig#Object" URI="#idOfficeObject">
      <DigestMethod Algorithm="http://www.w3.org/2001/04/xmlenc#sha256"/>
      <DigestValue>jICzzwpWFHmkVsskXXMGMmt6QdDM8SHDY/4jnOkykNM=</DigestValue>
    </Reference>
    <Reference Type="http://uri.etsi.org/01903#SignedProperties" URI="#idSignedProperties">
      <Transforms>
        <Transform Algorithm="http://www.w3.org/TR/2001/REC-xml-c14n-20010315"/>
      </Transforms>
      <DigestMethod Algorithm="http://www.w3.org/2001/04/xmlenc#sha256"/>
      <DigestValue>S8PErxxvtARqjcAkR8JXplU3p4iha5uH1lTJbqZ0MX8=</DigestValue>
    </Reference>
  </SignedInfo>
  <SignatureValue>dz4BHtZs3n5r2dukVGOStmB2VKHQTXTkZHwmF71dj8YUAm1z9E0gIGsAn/TrnFZlhVXSvLKQXBE3
DJZJ7+kGY44IAd9UVM0BlAanrAoUz//G/JrTTPqbej194byiZtqfHWWVX2YrVqC93AxAqhzcBIEx
ki4P4sqJ3NTmxFSdhLDiJH2kvi6cNW2Bd4PtyU6vOPh0XIHElpmSDr7e4SG3o0z/xC5I/TqJuLct
kEhbvl/6ZUeRwVAzv0k7s080Qeu7EF5Mult4Gb/wwtEi6v7dR+TewSN5EeXadLPsnNNW5J08JxlG
VebomIJMKy3CbzajYPLo3iy/WpU6qqOSGYkX5g==</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j60zlu80twNCkYhSlFkZbpq9s5WLBX6T0uhGroQo2Qw=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DBvJGijycg087RU/PYXzsqr7Op2wp4jVP4Jdkh5gblE=</DigestValue>
      </Reference>
      <Reference URI="/xl/styles.xml?ContentType=application/vnd.openxmlformats-officedocument.spreadsheetml.styles+xml">
        <DigestMethod Algorithm="http://www.w3.org/2001/04/xmlenc#sha256"/>
        <DigestValue>EuU0sTQd4FPY/em9h9+unYr/7X6qxTGYDYz7aqthZVI=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UXwzrz5C+4VTu1KBDh+izKPqyMoLl2w7Lm8lGyItjMw=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fcPqrBl25VuECirsTyjjdSKThntMX6ClUCaw+SszcnM=</DigestValue>
      </Reference>
      <Reference URI="/xl/worksheets/sheet10.xml?ContentType=application/vnd.openxmlformats-officedocument.spreadsheetml.worksheet+xml">
        <DigestMethod Algorithm="http://www.w3.org/2001/04/xmlenc#sha256"/>
        <DigestValue>fybBigpbFF9T5niPXTaa1F9fpxaF1S99myE39R/DRNo=</DigestValue>
      </Reference>
      <Reference URI="/xl/worksheets/sheet11.xml?ContentType=application/vnd.openxmlformats-officedocument.spreadsheetml.worksheet+xml">
        <DigestMethod Algorithm="http://www.w3.org/2001/04/xmlenc#sha256"/>
        <DigestValue>s/Nv+doBDARWH/G+3HWe0l737LyH1uH2JnnPq1xl6ew=</DigestValue>
      </Reference>
      <Reference URI="/xl/worksheets/sheet12.xml?ContentType=application/vnd.openxmlformats-officedocument.spreadsheetml.worksheet+xml">
        <DigestMethod Algorithm="http://www.w3.org/2001/04/xmlenc#sha256"/>
        <DigestValue>hnxA2t/mu9oJtLBn48L7owBBSj7LIacDkLMC8JNoiAk=</DigestValue>
      </Reference>
      <Reference URI="/xl/worksheets/sheet13.xml?ContentType=application/vnd.openxmlformats-officedocument.spreadsheetml.worksheet+xml">
        <DigestMethod Algorithm="http://www.w3.org/2001/04/xmlenc#sha256"/>
        <DigestValue>fETFXdqR9IpLeUwtJtBCtXR5NptkMHkz9PENkGwNDS0=</DigestValue>
      </Reference>
      <Reference URI="/xl/worksheets/sheet14.xml?ContentType=application/vnd.openxmlformats-officedocument.spreadsheetml.worksheet+xml">
        <DigestMethod Algorithm="http://www.w3.org/2001/04/xmlenc#sha256"/>
        <DigestValue>M8n5GPbVYDLLk8dYdMCgbRwXWVAWXmTGYVCGi/WoEGA=</DigestValue>
      </Reference>
      <Reference URI="/xl/worksheets/sheet15.xml?ContentType=application/vnd.openxmlformats-officedocument.spreadsheetml.worksheet+xml">
        <DigestMethod Algorithm="http://www.w3.org/2001/04/xmlenc#sha256"/>
        <DigestValue>S9dihJoI3DETJYCGh3Gt9x2g+VCMvdQJpk1GJ+Pmdc8=</DigestValue>
      </Reference>
      <Reference URI="/xl/worksheets/sheet16.xml?ContentType=application/vnd.openxmlformats-officedocument.spreadsheetml.worksheet+xml">
        <DigestMethod Algorithm="http://www.w3.org/2001/04/xmlenc#sha256"/>
        <DigestValue>ETWxE25bnYX6/iJP6Soxe5qoqJqXG+3bFjgSPvWcq9c=</DigestValue>
      </Reference>
      <Reference URI="/xl/worksheets/sheet17.xml?ContentType=application/vnd.openxmlformats-officedocument.spreadsheetml.worksheet+xml">
        <DigestMethod Algorithm="http://www.w3.org/2001/04/xmlenc#sha256"/>
        <DigestValue>WdVAOxLIQwR8aDTgVxBuXb2sAjYklS6lK+TkrLodlIo=</DigestValue>
      </Reference>
      <Reference URI="/xl/worksheets/sheet18.xml?ContentType=application/vnd.openxmlformats-officedocument.spreadsheetml.worksheet+xml">
        <DigestMethod Algorithm="http://www.w3.org/2001/04/xmlenc#sha256"/>
        <DigestValue>+FJiht1nAghEpSfmsmnvmvundtNPoR2KDuLX4D+Pvco=</DigestValue>
      </Reference>
      <Reference URI="/xl/worksheets/sheet19.xml?ContentType=application/vnd.openxmlformats-officedocument.spreadsheetml.worksheet+xml">
        <DigestMethod Algorithm="http://www.w3.org/2001/04/xmlenc#sha256"/>
        <DigestValue>4pTL81XLGNqH1NusVjaTl+X7MFFBgYi053MMchPbIVM=</DigestValue>
      </Reference>
      <Reference URI="/xl/worksheets/sheet2.xml?ContentType=application/vnd.openxmlformats-officedocument.spreadsheetml.worksheet+xml">
        <DigestMethod Algorithm="http://www.w3.org/2001/04/xmlenc#sha256"/>
        <DigestValue>AVt0dtybC1OtHnqCR7S3lV2JP/jGp3AGaKaQkqxs/Is=</DigestValue>
      </Reference>
      <Reference URI="/xl/worksheets/sheet20.xml?ContentType=application/vnd.openxmlformats-officedocument.spreadsheetml.worksheet+xml">
        <DigestMethod Algorithm="http://www.w3.org/2001/04/xmlenc#sha256"/>
        <DigestValue>DCrX864S597y2nfxa0Gl+hcWpv+RhmR319DT4ew5zrc=</DigestValue>
      </Reference>
      <Reference URI="/xl/worksheets/sheet21.xml?ContentType=application/vnd.openxmlformats-officedocument.spreadsheetml.worksheet+xml">
        <DigestMethod Algorithm="http://www.w3.org/2001/04/xmlenc#sha256"/>
        <DigestValue>AUphsFfo4C/hB2cVrzoyQ0tOJwuPQADLWH9VkVG8taU=</DigestValue>
      </Reference>
      <Reference URI="/xl/worksheets/sheet22.xml?ContentType=application/vnd.openxmlformats-officedocument.spreadsheetml.worksheet+xml">
        <DigestMethod Algorithm="http://www.w3.org/2001/04/xmlenc#sha256"/>
        <DigestValue>jsH3gBURJd5YbFtWDdzYIhKREjPQgNEOE76s2MGGNos=</DigestValue>
      </Reference>
      <Reference URI="/xl/worksheets/sheet23.xml?ContentType=application/vnd.openxmlformats-officedocument.spreadsheetml.worksheet+xml">
        <DigestMethod Algorithm="http://www.w3.org/2001/04/xmlenc#sha256"/>
        <DigestValue>O5RlQ+66MNeHLqTAYL1E+WTSxYXY9NcXkT/1BnupgyQ=</DigestValue>
      </Reference>
      <Reference URI="/xl/worksheets/sheet24.xml?ContentType=application/vnd.openxmlformats-officedocument.spreadsheetml.worksheet+xml">
        <DigestMethod Algorithm="http://www.w3.org/2001/04/xmlenc#sha256"/>
        <DigestValue>lgSHfKtE/EF/lOC2LKUsOg5HMbChLtV2QE1/y82kQM8=</DigestValue>
      </Reference>
      <Reference URI="/xl/worksheets/sheet25.xml?ContentType=application/vnd.openxmlformats-officedocument.spreadsheetml.worksheet+xml">
        <DigestMethod Algorithm="http://www.w3.org/2001/04/xmlenc#sha256"/>
        <DigestValue>m4YeTL11HL3pXajc+K+uGX8ikET4LrIFftUORcSsOYE=</DigestValue>
      </Reference>
      <Reference URI="/xl/worksheets/sheet26.xml?ContentType=application/vnd.openxmlformats-officedocument.spreadsheetml.worksheet+xml">
        <DigestMethod Algorithm="http://www.w3.org/2001/04/xmlenc#sha256"/>
        <DigestValue>GM8WLGWLNXvyT/SMHkdWEPnWB86fU1un8UGp9VXpUU0=</DigestValue>
      </Reference>
      <Reference URI="/xl/worksheets/sheet27.xml?ContentType=application/vnd.openxmlformats-officedocument.spreadsheetml.worksheet+xml">
        <DigestMethod Algorithm="http://www.w3.org/2001/04/xmlenc#sha256"/>
        <DigestValue>sjcqkHqwNzvy3A/RLUEo66qO/6FVUrctvF81+R9QGiA=</DigestValue>
      </Reference>
      <Reference URI="/xl/worksheets/sheet28.xml?ContentType=application/vnd.openxmlformats-officedocument.spreadsheetml.worksheet+xml">
        <DigestMethod Algorithm="http://www.w3.org/2001/04/xmlenc#sha256"/>
        <DigestValue>C078hdFTpERk9uQ0yLY/PNrgbNb3uSCjcNyXmLozrBM=</DigestValue>
      </Reference>
      <Reference URI="/xl/worksheets/sheet29.xml?ContentType=application/vnd.openxmlformats-officedocument.spreadsheetml.worksheet+xml">
        <DigestMethod Algorithm="http://www.w3.org/2001/04/xmlenc#sha256"/>
        <DigestValue>RnZaMDgIVSteJCM+SU9iMoBFgB+G80us3ayq7vj/zsA=</DigestValue>
      </Reference>
      <Reference URI="/xl/worksheets/sheet3.xml?ContentType=application/vnd.openxmlformats-officedocument.spreadsheetml.worksheet+xml">
        <DigestMethod Algorithm="http://www.w3.org/2001/04/xmlenc#sha256"/>
        <DigestValue>s4OsgAsO4L6usLA2PO6IlCUKA6Bzff0+Uz0J0vmQREU=</DigestValue>
      </Reference>
      <Reference URI="/xl/worksheets/sheet30.xml?ContentType=application/vnd.openxmlformats-officedocument.spreadsheetml.worksheet+xml">
        <DigestMethod Algorithm="http://www.w3.org/2001/04/xmlenc#sha256"/>
        <DigestValue>vDw8dy25uFufrC9L+riil0utsjwQVmoD+T9Iv9/ZXDM=</DigestValue>
      </Reference>
      <Reference URI="/xl/worksheets/sheet4.xml?ContentType=application/vnd.openxmlformats-officedocument.spreadsheetml.worksheet+xml">
        <DigestMethod Algorithm="http://www.w3.org/2001/04/xmlenc#sha256"/>
        <DigestValue>86QKZbClP9QMdiVRiDlwa3HIxf/wBZPF0t4tSNB4Cdc=</DigestValue>
      </Reference>
      <Reference URI="/xl/worksheets/sheet5.xml?ContentType=application/vnd.openxmlformats-officedocument.spreadsheetml.worksheet+xml">
        <DigestMethod Algorithm="http://www.w3.org/2001/04/xmlenc#sha256"/>
        <DigestValue>YDpXQIGRrVKnJb/4vxePiSxsSq5i5Ekaq/9posB1c5M=</DigestValue>
      </Reference>
      <Reference URI="/xl/worksheets/sheet6.xml?ContentType=application/vnd.openxmlformats-officedocument.spreadsheetml.worksheet+xml">
        <DigestMethod Algorithm="http://www.w3.org/2001/04/xmlenc#sha256"/>
        <DigestValue>vLMQW9SJ8lsNw/BowtVoBWi9J1jauPmsd9R10ypCseI=</DigestValue>
      </Reference>
      <Reference URI="/xl/worksheets/sheet7.xml?ContentType=application/vnd.openxmlformats-officedocument.spreadsheetml.worksheet+xml">
        <DigestMethod Algorithm="http://www.w3.org/2001/04/xmlenc#sha256"/>
        <DigestValue>ehxv2l7AgFqjdBGmByRreBU8aGiJjL5Cjg8pX2Y3Y2k=</DigestValue>
      </Reference>
      <Reference URI="/xl/worksheets/sheet8.xml?ContentType=application/vnd.openxmlformats-officedocument.spreadsheetml.worksheet+xml">
        <DigestMethod Algorithm="http://www.w3.org/2001/04/xmlenc#sha256"/>
        <DigestValue>MQRx0t+GiCntCuX/x/LGfmIQ4ouFicGjvJk/qrYhXik=</DigestValue>
      </Reference>
      <Reference URI="/xl/worksheets/sheet9.xml?ContentType=application/vnd.openxmlformats-officedocument.spreadsheetml.worksheet+xml">
        <DigestMethod Algorithm="http://www.w3.org/2001/04/xmlenc#sha256"/>
        <DigestValue>AlO+U6RgHIR7twxWivdUrQzq7zsl36d8HFf+ukrkzcc=</DigestValue>
      </Reference>
    </Manifest>
    <SignatureProperties>
      <SignatureProperty Id="idSignatureTime" Target="#idPackageSignature">
        <mdssi:SignatureTime xmlns:mdssi="http://schemas.openxmlformats.org/package/2006/digital-signature">
          <mdssi:Format>YYYY-MM-DDThh:mm:ssTZD</mdssi:Format>
          <mdssi:Value>2023-02-27T07:56:18Z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13</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2023-02-27T07:56:18Z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r8BhU0hY607b8l8NfxczOFrA7SmhDlYZR8AixHLlcjU=</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7T2tG6CdsA31AcY2SEmp/hsvz03p+3J9sRWBOEjskfE=</DigestValue>
    </Reference>
  </SignedInfo>
  <SignatureValue>WknoeIb/LrCOX2kXuO1aDa/AgdbTzxh/4/kGa+wE94Y2SkdqZaHK7vOMHXW4BSt+E1SlWt4yJLZk
bnuTvdyFotT8WJOx8ni6YzWCzW0V7lo47mCgCRw4IZuZsYdHNKWUiomfG//B4W8HWK71kaSBDkY6
N4RYGT27/W33FhJvHl9v/qweamNDStTggTQyapF4rzjGKiqp0G0Avqd8pmcHFx+DgpYzMTCvK+m8
TTOOkpiPo21hc5Cs0cR2yBSKsxTYU4QH4ldk57fwqlwf6qP1Z2+ZfvxLLoyDkEq6geXw8NG/pYHf
nqi2Uwo5FyugOzOuaHrqzKXVmjgSRRNGkYphvA==</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j60zlu80twNCkYhSlFkZbpq9s5WLBX6T0uhGroQo2Qw=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DBvJGijycg087RU/PYXzsqr7Op2wp4jVP4Jdkh5gblE=</DigestValue>
      </Reference>
      <Reference URI="/xl/styles.xml?ContentType=application/vnd.openxmlformats-officedocument.spreadsheetml.styles+xml">
        <DigestMethod Algorithm="http://www.w3.org/2001/04/xmlenc#sha256"/>
        <DigestValue>EuU0sTQd4FPY/em9h9+unYr/7X6qxTGYDYz7aqthZVI=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UXwzrz5C+4VTu1KBDh+izKPqyMoLl2w7Lm8lGyItjMw=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fcPqrBl25VuECirsTyjjdSKThntMX6ClUCaw+SszcnM=</DigestValue>
      </Reference>
      <Reference URI="/xl/worksheets/sheet10.xml?ContentType=application/vnd.openxmlformats-officedocument.spreadsheetml.worksheet+xml">
        <DigestMethod Algorithm="http://www.w3.org/2001/04/xmlenc#sha256"/>
        <DigestValue>fybBigpbFF9T5niPXTaa1F9fpxaF1S99myE39R/DRNo=</DigestValue>
      </Reference>
      <Reference URI="/xl/worksheets/sheet11.xml?ContentType=application/vnd.openxmlformats-officedocument.spreadsheetml.worksheet+xml">
        <DigestMethod Algorithm="http://www.w3.org/2001/04/xmlenc#sha256"/>
        <DigestValue>s/Nv+doBDARWH/G+3HWe0l737LyH1uH2JnnPq1xl6ew=</DigestValue>
      </Reference>
      <Reference URI="/xl/worksheets/sheet12.xml?ContentType=application/vnd.openxmlformats-officedocument.spreadsheetml.worksheet+xml">
        <DigestMethod Algorithm="http://www.w3.org/2001/04/xmlenc#sha256"/>
        <DigestValue>hnxA2t/mu9oJtLBn48L7owBBSj7LIacDkLMC8JNoiAk=</DigestValue>
      </Reference>
      <Reference URI="/xl/worksheets/sheet13.xml?ContentType=application/vnd.openxmlformats-officedocument.spreadsheetml.worksheet+xml">
        <DigestMethod Algorithm="http://www.w3.org/2001/04/xmlenc#sha256"/>
        <DigestValue>fETFXdqR9IpLeUwtJtBCtXR5NptkMHkz9PENkGwNDS0=</DigestValue>
      </Reference>
      <Reference URI="/xl/worksheets/sheet14.xml?ContentType=application/vnd.openxmlformats-officedocument.spreadsheetml.worksheet+xml">
        <DigestMethod Algorithm="http://www.w3.org/2001/04/xmlenc#sha256"/>
        <DigestValue>M8n5GPbVYDLLk8dYdMCgbRwXWVAWXmTGYVCGi/WoEGA=</DigestValue>
      </Reference>
      <Reference URI="/xl/worksheets/sheet15.xml?ContentType=application/vnd.openxmlformats-officedocument.spreadsheetml.worksheet+xml">
        <DigestMethod Algorithm="http://www.w3.org/2001/04/xmlenc#sha256"/>
        <DigestValue>S9dihJoI3DETJYCGh3Gt9x2g+VCMvdQJpk1GJ+Pmdc8=</DigestValue>
      </Reference>
      <Reference URI="/xl/worksheets/sheet16.xml?ContentType=application/vnd.openxmlformats-officedocument.spreadsheetml.worksheet+xml">
        <DigestMethod Algorithm="http://www.w3.org/2001/04/xmlenc#sha256"/>
        <DigestValue>ETWxE25bnYX6/iJP6Soxe5qoqJqXG+3bFjgSPvWcq9c=</DigestValue>
      </Reference>
      <Reference URI="/xl/worksheets/sheet17.xml?ContentType=application/vnd.openxmlformats-officedocument.spreadsheetml.worksheet+xml">
        <DigestMethod Algorithm="http://www.w3.org/2001/04/xmlenc#sha256"/>
        <DigestValue>WdVAOxLIQwR8aDTgVxBuXb2sAjYklS6lK+TkrLodlIo=</DigestValue>
      </Reference>
      <Reference URI="/xl/worksheets/sheet18.xml?ContentType=application/vnd.openxmlformats-officedocument.spreadsheetml.worksheet+xml">
        <DigestMethod Algorithm="http://www.w3.org/2001/04/xmlenc#sha256"/>
        <DigestValue>+FJiht1nAghEpSfmsmnvmvundtNPoR2KDuLX4D+Pvco=</DigestValue>
      </Reference>
      <Reference URI="/xl/worksheets/sheet19.xml?ContentType=application/vnd.openxmlformats-officedocument.spreadsheetml.worksheet+xml">
        <DigestMethod Algorithm="http://www.w3.org/2001/04/xmlenc#sha256"/>
        <DigestValue>4pTL81XLGNqH1NusVjaTl+X7MFFBgYi053MMchPbIVM=</DigestValue>
      </Reference>
      <Reference URI="/xl/worksheets/sheet2.xml?ContentType=application/vnd.openxmlformats-officedocument.spreadsheetml.worksheet+xml">
        <DigestMethod Algorithm="http://www.w3.org/2001/04/xmlenc#sha256"/>
        <DigestValue>AVt0dtybC1OtHnqCR7S3lV2JP/jGp3AGaKaQkqxs/Is=</DigestValue>
      </Reference>
      <Reference URI="/xl/worksheets/sheet20.xml?ContentType=application/vnd.openxmlformats-officedocument.spreadsheetml.worksheet+xml">
        <DigestMethod Algorithm="http://www.w3.org/2001/04/xmlenc#sha256"/>
        <DigestValue>DCrX864S597y2nfxa0Gl+hcWpv+RhmR319DT4ew5zrc=</DigestValue>
      </Reference>
      <Reference URI="/xl/worksheets/sheet21.xml?ContentType=application/vnd.openxmlformats-officedocument.spreadsheetml.worksheet+xml">
        <DigestMethod Algorithm="http://www.w3.org/2001/04/xmlenc#sha256"/>
        <DigestValue>AUphsFfo4C/hB2cVrzoyQ0tOJwuPQADLWH9VkVG8taU=</DigestValue>
      </Reference>
      <Reference URI="/xl/worksheets/sheet22.xml?ContentType=application/vnd.openxmlformats-officedocument.spreadsheetml.worksheet+xml">
        <DigestMethod Algorithm="http://www.w3.org/2001/04/xmlenc#sha256"/>
        <DigestValue>jsH3gBURJd5YbFtWDdzYIhKREjPQgNEOE76s2MGGNos=</DigestValue>
      </Reference>
      <Reference URI="/xl/worksheets/sheet23.xml?ContentType=application/vnd.openxmlformats-officedocument.spreadsheetml.worksheet+xml">
        <DigestMethod Algorithm="http://www.w3.org/2001/04/xmlenc#sha256"/>
        <DigestValue>O5RlQ+66MNeHLqTAYL1E+WTSxYXY9NcXkT/1BnupgyQ=</DigestValue>
      </Reference>
      <Reference URI="/xl/worksheets/sheet24.xml?ContentType=application/vnd.openxmlformats-officedocument.spreadsheetml.worksheet+xml">
        <DigestMethod Algorithm="http://www.w3.org/2001/04/xmlenc#sha256"/>
        <DigestValue>lgSHfKtE/EF/lOC2LKUsOg5HMbChLtV2QE1/y82kQM8=</DigestValue>
      </Reference>
      <Reference URI="/xl/worksheets/sheet25.xml?ContentType=application/vnd.openxmlformats-officedocument.spreadsheetml.worksheet+xml">
        <DigestMethod Algorithm="http://www.w3.org/2001/04/xmlenc#sha256"/>
        <DigestValue>m4YeTL11HL3pXajc+K+uGX8ikET4LrIFftUORcSsOYE=</DigestValue>
      </Reference>
      <Reference URI="/xl/worksheets/sheet26.xml?ContentType=application/vnd.openxmlformats-officedocument.spreadsheetml.worksheet+xml">
        <DigestMethod Algorithm="http://www.w3.org/2001/04/xmlenc#sha256"/>
        <DigestValue>GM8WLGWLNXvyT/SMHkdWEPnWB86fU1un8UGp9VXpUU0=</DigestValue>
      </Reference>
      <Reference URI="/xl/worksheets/sheet27.xml?ContentType=application/vnd.openxmlformats-officedocument.spreadsheetml.worksheet+xml">
        <DigestMethod Algorithm="http://www.w3.org/2001/04/xmlenc#sha256"/>
        <DigestValue>sjcqkHqwNzvy3A/RLUEo66qO/6FVUrctvF81+R9QGiA=</DigestValue>
      </Reference>
      <Reference URI="/xl/worksheets/sheet28.xml?ContentType=application/vnd.openxmlformats-officedocument.spreadsheetml.worksheet+xml">
        <DigestMethod Algorithm="http://www.w3.org/2001/04/xmlenc#sha256"/>
        <DigestValue>C078hdFTpERk9uQ0yLY/PNrgbNb3uSCjcNyXmLozrBM=</DigestValue>
      </Reference>
      <Reference URI="/xl/worksheets/sheet29.xml?ContentType=application/vnd.openxmlformats-officedocument.spreadsheetml.worksheet+xml">
        <DigestMethod Algorithm="http://www.w3.org/2001/04/xmlenc#sha256"/>
        <DigestValue>RnZaMDgIVSteJCM+SU9iMoBFgB+G80us3ayq7vj/zsA=</DigestValue>
      </Reference>
      <Reference URI="/xl/worksheets/sheet3.xml?ContentType=application/vnd.openxmlformats-officedocument.spreadsheetml.worksheet+xml">
        <DigestMethod Algorithm="http://www.w3.org/2001/04/xmlenc#sha256"/>
        <DigestValue>s4OsgAsO4L6usLA2PO6IlCUKA6Bzff0+Uz0J0vmQREU=</DigestValue>
      </Reference>
      <Reference URI="/xl/worksheets/sheet30.xml?ContentType=application/vnd.openxmlformats-officedocument.spreadsheetml.worksheet+xml">
        <DigestMethod Algorithm="http://www.w3.org/2001/04/xmlenc#sha256"/>
        <DigestValue>vDw8dy25uFufrC9L+riil0utsjwQVmoD+T9Iv9/ZXDM=</DigestValue>
      </Reference>
      <Reference URI="/xl/worksheets/sheet4.xml?ContentType=application/vnd.openxmlformats-officedocument.spreadsheetml.worksheet+xml">
        <DigestMethod Algorithm="http://www.w3.org/2001/04/xmlenc#sha256"/>
        <DigestValue>86QKZbClP9QMdiVRiDlwa3HIxf/wBZPF0t4tSNB4Cdc=</DigestValue>
      </Reference>
      <Reference URI="/xl/worksheets/sheet5.xml?ContentType=application/vnd.openxmlformats-officedocument.spreadsheetml.worksheet+xml">
        <DigestMethod Algorithm="http://www.w3.org/2001/04/xmlenc#sha256"/>
        <DigestValue>YDpXQIGRrVKnJb/4vxePiSxsSq5i5Ekaq/9posB1c5M=</DigestValue>
      </Reference>
      <Reference URI="/xl/worksheets/sheet6.xml?ContentType=application/vnd.openxmlformats-officedocument.spreadsheetml.worksheet+xml">
        <DigestMethod Algorithm="http://www.w3.org/2001/04/xmlenc#sha256"/>
        <DigestValue>vLMQW9SJ8lsNw/BowtVoBWi9J1jauPmsd9R10ypCseI=</DigestValue>
      </Reference>
      <Reference URI="/xl/worksheets/sheet7.xml?ContentType=application/vnd.openxmlformats-officedocument.spreadsheetml.worksheet+xml">
        <DigestMethod Algorithm="http://www.w3.org/2001/04/xmlenc#sha256"/>
        <DigestValue>ehxv2l7AgFqjdBGmByRreBU8aGiJjL5Cjg8pX2Y3Y2k=</DigestValue>
      </Reference>
      <Reference URI="/xl/worksheets/sheet8.xml?ContentType=application/vnd.openxmlformats-officedocument.spreadsheetml.worksheet+xml">
        <DigestMethod Algorithm="http://www.w3.org/2001/04/xmlenc#sha256"/>
        <DigestValue>MQRx0t+GiCntCuX/x/LGfmIQ4ouFicGjvJk/qrYhXik=</DigestValue>
      </Reference>
      <Reference URI="/xl/worksheets/sheet9.xml?ContentType=application/vnd.openxmlformats-officedocument.spreadsheetml.worksheet+xml">
        <DigestMethod Algorithm="http://www.w3.org/2001/04/xmlenc#sha256"/>
        <DigestValue>AlO+U6RgHIR7twxWivdUrQzq7zsl36d8HFf+ukrkzcc=</DigestValue>
      </Reference>
    </Manifest>
    <SignatureProperties>
      <SignatureProperty Id="idSignatureTime" Target="#idPackageSignature">
        <mdssi:SignatureTime xmlns:mdssi="http://schemas.openxmlformats.org/package/2006/digital-signature">
          <mdssi:Format>YYYY-MM-DDThh:mm:ssTZD</mdssi:Format>
          <mdssi:Value>2023-02-27T08:08:26Z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2023-02-27T08:08:26Z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2023-02-24T14:45:31Z</dcterms:modified>
</cp:coreProperties>
</file>