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CA6C71BD-BBB4-488C-AE48-D82AA8997835}" xr6:coauthVersionLast="47" xr6:coauthVersionMax="47" xr10:uidLastSave="{00000000-0000-0000-0000-000000000000}"/>
  <bookViews>
    <workbookView xWindow="28680" yWindow="-120" windowWidth="29040" windowHeight="1599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28">[3]Sheet2!$H$5:$H$31</definedName>
    <definedName name="Sheet">[3]Sheet2!$H$5:$H$31</definedName>
    <definedName name="საკრედიტო" localSheetId="28">[3]Sheet2!$B$6:$B$8</definedName>
    <definedName name="საკრედიტო">[3]Sheet2!$B$6:$B$8</definedName>
    <definedName name="ფაილი" localSheetId="28">[3]Sheet2!$B$2:$B$3</definedName>
    <definedName name="ფაილი">[3]Sheet2!$B$2:$B$3</definedName>
    <definedName name="ცვლილება_კორექტირება_რეგულაციაში" localSheetId="28">[3]Sheet2!$K$5:$K$9</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62" l="1"/>
  <c r="H15" i="62"/>
  <c r="V7" i="64" l="1"/>
  <c r="V8" i="64"/>
  <c r="V9" i="64"/>
  <c r="V10" i="64"/>
  <c r="V11" i="64"/>
  <c r="V12" i="64"/>
  <c r="V13" i="64"/>
  <c r="V14" i="64"/>
  <c r="V15" i="64"/>
  <c r="V16" i="64"/>
  <c r="V17" i="64"/>
  <c r="V18" i="64"/>
  <c r="V19" i="64"/>
  <c r="V20" i="64"/>
  <c r="S8" i="35"/>
  <c r="S9" i="35"/>
  <c r="S10" i="35"/>
  <c r="S11" i="35"/>
  <c r="S12" i="35"/>
  <c r="S13" i="35"/>
  <c r="S14" i="35"/>
  <c r="S15" i="35"/>
  <c r="S16" i="35"/>
  <c r="S17" i="35"/>
  <c r="S18" i="35"/>
  <c r="S19" i="35"/>
  <c r="S20" i="35"/>
  <c r="S21" i="35"/>
  <c r="H66" i="53"/>
  <c r="E66" i="53"/>
  <c r="H64" i="53"/>
  <c r="E64" i="53"/>
  <c r="G61" i="53"/>
  <c r="F61" i="53"/>
  <c r="D61" i="53"/>
  <c r="C61" i="53"/>
  <c r="H60" i="53"/>
  <c r="E60" i="53"/>
  <c r="H59" i="53"/>
  <c r="E59" i="53"/>
  <c r="H58" i="53"/>
  <c r="E58" i="53"/>
  <c r="G53" i="53"/>
  <c r="F53" i="53"/>
  <c r="D53" i="53"/>
  <c r="C53" i="53"/>
  <c r="E53" i="53" s="1"/>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D45" i="53" s="1"/>
  <c r="D54" i="53" s="1"/>
  <c r="C34" i="53"/>
  <c r="E34" i="53" s="1"/>
  <c r="G30" i="53"/>
  <c r="F30" i="53"/>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F9" i="53"/>
  <c r="H9" i="53" s="1"/>
  <c r="D9" i="53"/>
  <c r="D22" i="53" s="1"/>
  <c r="D31" i="53" s="1"/>
  <c r="D56" i="53" s="1"/>
  <c r="D63" i="53" s="1"/>
  <c r="D65" i="53" s="1"/>
  <c r="D67" i="53" s="1"/>
  <c r="C9" i="53"/>
  <c r="C22" i="53" s="1"/>
  <c r="H8" i="53"/>
  <c r="E8" i="53"/>
  <c r="G31" i="62"/>
  <c r="G41" i="62" s="1"/>
  <c r="F31" i="62"/>
  <c r="F41" i="62" s="1"/>
  <c r="G14" i="62"/>
  <c r="G20" i="62" s="1"/>
  <c r="F14" i="62"/>
  <c r="C40" i="62"/>
  <c r="E40" i="62" s="1"/>
  <c r="D31" i="62"/>
  <c r="D41" i="62" s="1"/>
  <c r="C31" i="62"/>
  <c r="D14" i="62"/>
  <c r="D20" i="62" s="1"/>
  <c r="C14" i="62"/>
  <c r="C20" i="62" s="1"/>
  <c r="E7" i="62"/>
  <c r="H7" i="62"/>
  <c r="E8" i="62"/>
  <c r="H8" i="62"/>
  <c r="E9" i="62"/>
  <c r="H9" i="62"/>
  <c r="E10" i="62"/>
  <c r="H10" i="62"/>
  <c r="E11" i="62"/>
  <c r="H11" i="62"/>
  <c r="E12" i="62"/>
  <c r="H12" i="62"/>
  <c r="E13" i="62"/>
  <c r="H13" i="62"/>
  <c r="E15" i="62"/>
  <c r="E16" i="62"/>
  <c r="H16" i="62"/>
  <c r="E17" i="62"/>
  <c r="H17" i="62"/>
  <c r="E18" i="62"/>
  <c r="H18" i="62"/>
  <c r="E19" i="62"/>
  <c r="E22" i="62"/>
  <c r="H22" i="62"/>
  <c r="E23" i="62"/>
  <c r="H23" i="62"/>
  <c r="E24" i="62"/>
  <c r="H24" i="62"/>
  <c r="E25" i="62"/>
  <c r="H25" i="62"/>
  <c r="E26" i="62"/>
  <c r="H26" i="62"/>
  <c r="E27" i="62"/>
  <c r="H27" i="62"/>
  <c r="E28" i="62"/>
  <c r="H28" i="62"/>
  <c r="E29" i="62"/>
  <c r="H29" i="62"/>
  <c r="E30" i="62"/>
  <c r="H30" i="62"/>
  <c r="E33" i="62"/>
  <c r="H33" i="62"/>
  <c r="E34" i="62"/>
  <c r="H34" i="62"/>
  <c r="E35" i="62"/>
  <c r="H35" i="62"/>
  <c r="E36" i="62"/>
  <c r="H36" i="62"/>
  <c r="E37" i="62"/>
  <c r="H37" i="62"/>
  <c r="E38" i="62"/>
  <c r="H38" i="62"/>
  <c r="E39" i="62"/>
  <c r="H39" i="62"/>
  <c r="H40" i="62"/>
  <c r="C41" i="62" l="1"/>
  <c r="E61" i="53"/>
  <c r="E20" i="62"/>
  <c r="G31" i="53"/>
  <c r="G56" i="53" s="1"/>
  <c r="G63" i="53" s="1"/>
  <c r="G65" i="53" s="1"/>
  <c r="G67" i="53" s="1"/>
  <c r="H30" i="53"/>
  <c r="C45" i="53"/>
  <c r="C54" i="53" s="1"/>
  <c r="E54" i="53" s="1"/>
  <c r="H53" i="53"/>
  <c r="H14" i="62"/>
  <c r="E9" i="53"/>
  <c r="H61" i="53"/>
  <c r="E45" i="53"/>
  <c r="F54" i="53"/>
  <c r="H54" i="53" s="1"/>
  <c r="H45" i="53"/>
  <c r="E22" i="53"/>
  <c r="C31" i="53"/>
  <c r="F22" i="53"/>
  <c r="H34" i="53"/>
  <c r="H41" i="62"/>
  <c r="F20" i="62"/>
  <c r="H20" i="62" s="1"/>
  <c r="E41" i="62"/>
  <c r="E31" i="62"/>
  <c r="H31" i="62"/>
  <c r="E14" i="62"/>
  <c r="H8" i="81"/>
  <c r="H9" i="81"/>
  <c r="H10" i="81"/>
  <c r="H11" i="81"/>
  <c r="H12" i="81"/>
  <c r="H13" i="81"/>
  <c r="H14" i="81"/>
  <c r="H15" i="81"/>
  <c r="H16" i="81"/>
  <c r="H17" i="81"/>
  <c r="H18" i="81"/>
  <c r="H19" i="81"/>
  <c r="H20" i="81"/>
  <c r="H21" i="81"/>
  <c r="H22" i="53" l="1"/>
  <c r="F31" i="53"/>
  <c r="E31" i="53"/>
  <c r="C56" i="53"/>
  <c r="D19" i="72"/>
  <c r="D20" i="72"/>
  <c r="F56" i="53" l="1"/>
  <c r="H31" i="53"/>
  <c r="E56" i="53"/>
  <c r="C63" i="53"/>
  <c r="C12" i="84"/>
  <c r="C65" i="53" l="1"/>
  <c r="E63" i="53"/>
  <c r="F63" i="53"/>
  <c r="H56" i="53"/>
  <c r="B2" i="91"/>
  <c r="F65" i="53" l="1"/>
  <c r="H63" i="53"/>
  <c r="C67" i="53"/>
  <c r="E67" i="53" s="1"/>
  <c r="E65" i="53"/>
  <c r="N33" i="88"/>
  <c r="M33" i="88"/>
  <c r="L33" i="88"/>
  <c r="K33" i="88"/>
  <c r="J33" i="88"/>
  <c r="I33" i="88"/>
  <c r="H33" i="88"/>
  <c r="G33" i="88"/>
  <c r="F33" i="88"/>
  <c r="E33" i="88"/>
  <c r="D33" i="88"/>
  <c r="C33" i="88"/>
  <c r="U22" i="86"/>
  <c r="L22" i="86"/>
  <c r="G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C10" i="85"/>
  <c r="C19" i="85" s="1"/>
  <c r="D12" i="84"/>
  <c r="D7" i="84"/>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F21" i="82"/>
  <c r="E21" i="82"/>
  <c r="D21" i="82"/>
  <c r="C21" i="82"/>
  <c r="I20" i="82"/>
  <c r="I19" i="82"/>
  <c r="I18" i="82"/>
  <c r="I17" i="82"/>
  <c r="I16" i="82"/>
  <c r="I15" i="82"/>
  <c r="I14" i="82"/>
  <c r="I13" i="82"/>
  <c r="I12" i="82"/>
  <c r="I11" i="82"/>
  <c r="I10" i="82"/>
  <c r="I9" i="82"/>
  <c r="I8" i="82"/>
  <c r="I7" i="82"/>
  <c r="B2" i="89"/>
  <c r="B2" i="88"/>
  <c r="B2" i="87"/>
  <c r="B2" i="86"/>
  <c r="B2" i="85"/>
  <c r="B2" i="84"/>
  <c r="B2" i="83"/>
  <c r="B2" i="82"/>
  <c r="B2" i="81"/>
  <c r="C35" i="79"/>
  <c r="G22" i="81"/>
  <c r="F22" i="81"/>
  <c r="E22" i="81"/>
  <c r="D22" i="81"/>
  <c r="C22" i="81"/>
  <c r="G33"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C30" i="79"/>
  <c r="C26" i="79"/>
  <c r="C8" i="79"/>
  <c r="K23" i="36"/>
  <c r="J23" i="36"/>
  <c r="I23" i="36"/>
  <c r="H23" i="36"/>
  <c r="G23" i="36"/>
  <c r="F23" i="36"/>
  <c r="K21" i="36"/>
  <c r="J21" i="36"/>
  <c r="I21" i="36"/>
  <c r="H21" i="36"/>
  <c r="G21" i="36"/>
  <c r="F21" i="36"/>
  <c r="E21" i="36"/>
  <c r="D21" i="36"/>
  <c r="C21" i="36"/>
  <c r="K16" i="36"/>
  <c r="J16" i="36"/>
  <c r="I16" i="36"/>
  <c r="H16" i="36"/>
  <c r="G16" i="36"/>
  <c r="F16" i="36"/>
  <c r="E16" i="36"/>
  <c r="D16" i="36"/>
  <c r="C16" i="36"/>
  <c r="G22" i="74"/>
  <c r="F22" i="74"/>
  <c r="E22" i="74"/>
  <c r="D22" i="74"/>
  <c r="C6" i="73" s="1"/>
  <c r="C22" i="74"/>
  <c r="H21" i="74"/>
  <c r="H20" i="74"/>
  <c r="H19" i="74"/>
  <c r="H18" i="74"/>
  <c r="H17" i="74"/>
  <c r="H16" i="74"/>
  <c r="H15" i="74"/>
  <c r="H14" i="74"/>
  <c r="H13" i="74"/>
  <c r="H12" i="74"/>
  <c r="H11" i="74"/>
  <c r="H10" i="74"/>
  <c r="H9" i="74"/>
  <c r="H8" i="74"/>
  <c r="U21" i="64"/>
  <c r="T21" i="64"/>
  <c r="S21" i="64"/>
  <c r="R21" i="64"/>
  <c r="Q21" i="64"/>
  <c r="P21" i="64"/>
  <c r="O21" i="64"/>
  <c r="N21" i="64"/>
  <c r="M21" i="64"/>
  <c r="L21" i="64"/>
  <c r="K21" i="64"/>
  <c r="J21" i="64"/>
  <c r="I21" i="64"/>
  <c r="H21" i="64"/>
  <c r="G21" i="64"/>
  <c r="F21" i="64"/>
  <c r="E21" i="64"/>
  <c r="D21" i="64"/>
  <c r="C21" i="64"/>
  <c r="R22" i="35"/>
  <c r="Q22" i="35"/>
  <c r="P22" i="35"/>
  <c r="O22" i="35"/>
  <c r="N22" i="35"/>
  <c r="M22" i="35"/>
  <c r="L22" i="35"/>
  <c r="K22" i="35"/>
  <c r="J22" i="35"/>
  <c r="I22" i="35"/>
  <c r="H22" i="35"/>
  <c r="G22" i="35"/>
  <c r="F22" i="35"/>
  <c r="E22" i="35"/>
  <c r="D22" i="35"/>
  <c r="C22" i="35"/>
  <c r="C29" i="69"/>
  <c r="C27" i="69"/>
  <c r="C20" i="69"/>
  <c r="C47" i="28"/>
  <c r="C43" i="28"/>
  <c r="C52" i="28" s="1"/>
  <c r="C35" i="28"/>
  <c r="C31" i="28"/>
  <c r="C30" i="28" s="1"/>
  <c r="C12" i="28"/>
  <c r="C6" i="28"/>
  <c r="G6" i="71"/>
  <c r="G13" i="71" s="1"/>
  <c r="F6" i="71"/>
  <c r="F13" i="71" s="1"/>
  <c r="E6" i="71"/>
  <c r="E13" i="71" s="1"/>
  <c r="D6" i="71"/>
  <c r="D13" i="71" s="1"/>
  <c r="C6" i="71"/>
  <c r="C13" i="71" s="1"/>
  <c r="B2" i="71"/>
  <c r="H52" i="75"/>
  <c r="E52" i="75"/>
  <c r="H51" i="75"/>
  <c r="E51" i="75"/>
  <c r="H50" i="75"/>
  <c r="E50" i="75"/>
  <c r="H49" i="75"/>
  <c r="E49" i="75"/>
  <c r="H48" i="75"/>
  <c r="E48" i="75"/>
  <c r="H47" i="75"/>
  <c r="E47" i="75"/>
  <c r="H46" i="75"/>
  <c r="E46" i="75"/>
  <c r="H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C53" i="69"/>
  <c r="C50" i="69"/>
  <c r="C49" i="69"/>
  <c r="C48" i="69"/>
  <c r="C47" i="69"/>
  <c r="C46" i="69"/>
  <c r="C43" i="69"/>
  <c r="C44" i="69" s="1"/>
  <c r="C41" i="69"/>
  <c r="C40" i="69"/>
  <c r="C39" i="69"/>
  <c r="C38" i="69"/>
  <c r="C37" i="69"/>
  <c r="C36" i="69"/>
  <c r="C35" i="69"/>
  <c r="C34" i="69"/>
  <c r="C20" i="72"/>
  <c r="E20" i="72" s="1"/>
  <c r="C18" i="72"/>
  <c r="E18" i="72" s="1"/>
  <c r="C16" i="72"/>
  <c r="E16" i="72" s="1"/>
  <c r="C14" i="72"/>
  <c r="E14" i="72" s="1"/>
  <c r="C12" i="72"/>
  <c r="C11" i="72"/>
  <c r="E11" i="72" s="1"/>
  <c r="C10" i="72"/>
  <c r="E10" i="72" s="1"/>
  <c r="C9" i="72"/>
  <c r="E9" i="72" s="1"/>
  <c r="C8" i="72"/>
  <c r="E8" i="72" s="1"/>
  <c r="G5" i="6"/>
  <c r="F5" i="6"/>
  <c r="E5" i="6"/>
  <c r="D5" i="6"/>
  <c r="C5" i="6"/>
  <c r="F67" i="53" l="1"/>
  <c r="H67" i="53" s="1"/>
  <c r="H65" i="53"/>
  <c r="C19" i="69"/>
  <c r="C17" i="72"/>
  <c r="E17" i="72" s="1"/>
  <c r="C26" i="69"/>
  <c r="C19" i="72"/>
  <c r="E19" i="72" s="1"/>
  <c r="C54" i="69"/>
  <c r="C55" i="69" s="1"/>
  <c r="D12" i="72"/>
  <c r="E12" i="72" s="1"/>
  <c r="C13" i="69"/>
  <c r="C17" i="69" s="1"/>
  <c r="C13" i="72"/>
  <c r="E13" i="72" s="1"/>
  <c r="E15" i="72" s="1"/>
  <c r="G21" i="80"/>
  <c r="H22" i="81"/>
  <c r="D19" i="84"/>
  <c r="F24" i="36"/>
  <c r="F25" i="36" s="1"/>
  <c r="C41" i="28"/>
  <c r="I21" i="82"/>
  <c r="I24" i="36"/>
  <c r="I25" i="36" s="1"/>
  <c r="S22" i="35"/>
  <c r="E45" i="75"/>
  <c r="C28" i="69"/>
  <c r="C32" i="69" s="1"/>
  <c r="C6" i="69"/>
  <c r="C45" i="69"/>
  <c r="C7" i="69"/>
  <c r="C18" i="69"/>
  <c r="V21" i="64"/>
  <c r="I34" i="83"/>
  <c r="C8" i="69"/>
  <c r="G24" i="36"/>
  <c r="G25" i="36" s="1"/>
  <c r="J24" i="36"/>
  <c r="J25" i="36" s="1"/>
  <c r="G37" i="80"/>
  <c r="C28" i="28"/>
  <c r="C9" i="69"/>
  <c r="H22" i="74"/>
  <c r="H24" i="36"/>
  <c r="H25" i="36" s="1"/>
  <c r="K24" i="36"/>
  <c r="K25" i="36" s="1"/>
  <c r="C10" i="69"/>
  <c r="C12" i="69" s="1"/>
  <c r="C19" i="84"/>
  <c r="D21" i="72" l="1"/>
  <c r="C15" i="72"/>
  <c r="C21" i="72" s="1"/>
  <c r="G39" i="80"/>
  <c r="C33" i="69"/>
  <c r="E21" i="72"/>
  <c r="C5" i="73" s="1"/>
  <c r="B2" i="80" l="1"/>
  <c r="B1" i="80"/>
  <c r="B2" i="79" l="1"/>
  <c r="B2" i="37"/>
  <c r="B2" i="36"/>
  <c r="B2" i="74"/>
  <c r="B2" i="64"/>
  <c r="B2" i="35"/>
  <c r="B2" i="69"/>
  <c r="B2" i="77"/>
  <c r="B2" i="28"/>
  <c r="B2" i="73"/>
  <c r="B2" i="72"/>
  <c r="B2" i="52"/>
  <c r="B2" i="75"/>
  <c r="B2" i="53"/>
  <c r="B2" i="62"/>
  <c r="G5" i="71" l="1"/>
  <c r="F5" i="71"/>
  <c r="E5" i="71"/>
  <c r="D5" i="71"/>
  <c r="C5" i="71"/>
  <c r="B1" i="79" l="1"/>
  <c r="B1" i="37"/>
  <c r="B1" i="36"/>
  <c r="B1" i="74"/>
  <c r="B1" i="64"/>
  <c r="B1" i="35"/>
  <c r="B1" i="69"/>
  <c r="B1" i="77"/>
  <c r="B1" i="28"/>
  <c r="B1" i="73"/>
  <c r="B1" i="72"/>
  <c r="B1" i="52"/>
  <c r="B1" i="71"/>
  <c r="B1" i="75"/>
  <c r="B1" i="53"/>
  <c r="B1" i="62"/>
  <c r="B1" i="6"/>
  <c r="B1" i="91" s="1"/>
  <c r="B1" i="87" l="1"/>
  <c r="B1" i="84"/>
  <c r="B1" i="81"/>
  <c r="B1" i="89"/>
  <c r="B1" i="86"/>
  <c r="B1" i="83"/>
  <c r="B1" i="88"/>
  <c r="B1" i="85"/>
  <c r="B1" i="82"/>
  <c r="C21" i="77"/>
  <c r="D16" i="77"/>
  <c r="D17" i="77"/>
  <c r="D15" i="77"/>
  <c r="D12" i="77"/>
  <c r="D13" i="77"/>
  <c r="D11" i="77"/>
  <c r="D8" i="77"/>
  <c r="D9" i="77"/>
  <c r="D7" i="77"/>
  <c r="C20" i="77"/>
  <c r="C19" i="77"/>
  <c r="D21" i="77" l="1"/>
  <c r="D19" i="77"/>
  <c r="D20" i="77"/>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I21" i="37" s="1"/>
  <c r="H7" i="37"/>
  <c r="H21" i="37" s="1"/>
  <c r="G7" i="37"/>
  <c r="F7" i="37"/>
  <c r="C7" i="37"/>
  <c r="F21" i="37" l="1"/>
  <c r="G21" i="37"/>
  <c r="L21" i="37"/>
  <c r="M21" i="37"/>
  <c r="N14" i="37"/>
  <c r="E14" i="37"/>
  <c r="E7" i="37"/>
  <c r="C21" i="37"/>
  <c r="C7" i="73" s="1"/>
  <c r="C8" i="73" s="1"/>
  <c r="C13" i="73" s="1"/>
  <c r="N8" i="37"/>
  <c r="E21" i="37" l="1"/>
  <c r="C12" i="79" s="1"/>
  <c r="C18" i="79" s="1"/>
  <c r="C36" i="79" s="1"/>
  <c r="C38" i="79" s="1"/>
  <c r="N7" i="37"/>
  <c r="N21" i="37" s="1"/>
  <c r="K7" i="37"/>
  <c r="K21" i="37" s="1"/>
  <c r="H53" i="75" l="1"/>
  <c r="E53" i="75"/>
  <c r="H7" i="75"/>
  <c r="E7" i="75"/>
</calcChain>
</file>

<file path=xl/sharedStrings.xml><?xml version="1.0" encoding="utf-8"?>
<sst xmlns="http://schemas.openxmlformats.org/spreadsheetml/2006/main" count="1591" uniqueCount="1054">
  <si>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</si>
  <si>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</si>
  <si>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</si>
  <si>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</si>
  <si>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</si>
  <si>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</si>
  <si>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</si>
  <si>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</si>
  <si>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</si>
  <si>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</si>
  <si>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</si>
  <si>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</si>
  <si>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</si>
  <si>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</si>
  <si>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</si>
  <si>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</si>
  <si>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</si>
  <si>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</si>
  <si>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</si>
  <si>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</si>
  <si>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</si>
  <si>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</si>
  <si>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</si>
  <si>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</si>
  <si>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</si>
  <si>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</si>
  <si>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</si>
  <si>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</si>
  <si>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</si>
  <si>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</si>
  <si>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</si>
  <si>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</si>
  <si>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</si>
  <si>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</si>
  <si>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</si>
  <si>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</si>
  <si>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</si>
  <si>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</si>
  <si>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</si>
  <si>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</si>
  <si>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</si>
  <si>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</si>
  <si>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</si>
  <si>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</si>
  <si>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</si>
  <si>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</si>
  <si>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</si>
  <si>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</si>
  <si>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</si>
  <si>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</si>
  <si>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</si>
  <si>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</si>
  <si>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</si>
  <si>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</si>
  <si>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</si>
  <si>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</si>
  <si>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</si>
  <si>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</si>
  <si>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</si>
  <si>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</si>
  <si>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</si>
  <si>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</si>
  <si>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</si>
  <si>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</si>
  <si>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</si>
  <si>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</si>
  <si>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</si>
  <si>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</si>
  <si>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</si>
  <si>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</si>
  <si>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</si>
  <si>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</si>
  <si>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</si>
  <si>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</si>
  <si>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</si>
  <si>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</si>
  <si>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</si>
  <si>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</si>
  <si>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</si>
  <si>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</si>
  <si>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</si>
  <si>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</si>
  <si>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</si>
  <si>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</si>
  <si>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</si>
  <si>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</si>
  <si>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</si>
  <si>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</si>
  <si>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</si>
  <si>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</si>
  <si>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</si>
  <si>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</si>
  <si>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</si>
  <si>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</si>
  <si>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</si>
  <si>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</si>
  <si>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</si>
  <si>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</si>
  <si>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</si>
  <si>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</si>
  <si>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</si>
  <si>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</si>
  <si>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</si>
  <si>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</si>
  <si>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</si>
  <si>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</si>
  <si>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</si>
  <si>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</si>
  <si>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</si>
  <si>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</si>
  <si>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</si>
  <si>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</si>
  <si>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</si>
  <si>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</si>
  <si>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</si>
  <si>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</si>
  <si>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</si>
  <si>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</si>
  <si>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</si>
  <si>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</si>
  <si>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</si>
  <si>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</si>
  <si>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</si>
  <si>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</si>
  <si>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</si>
  <si>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</si>
  <si>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</si>
  <si>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</si>
  <si>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</si>
  <si>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</si>
  <si>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</si>
  <si>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</si>
  <si>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</si>
  <si>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</si>
  <si>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</si>
  <si>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</si>
  <si>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</si>
  <si>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</si>
  <si>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</si>
  <si>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</si>
  <si>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</si>
  <si>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</si>
  <si>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</si>
  <si>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</si>
  <si>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</si>
  <si>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</si>
  <si>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</si>
  <si>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</si>
  <si>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</si>
  <si>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</si>
  <si>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</si>
  <si>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</si>
  <si>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</si>
  <si>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</si>
  <si>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</si>
  <si>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</si>
  <si>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</si>
  <si>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</si>
  <si>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</si>
  <si>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</si>
  <si>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</si>
  <si>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</si>
  <si>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</si>
  <si>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</si>
  <si>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</si>
  <si>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</si>
  <si>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</si>
  <si>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</si>
  <si>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</si>
  <si>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</si>
  <si>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</si>
  <si>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</si>
  <si>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</si>
  <si>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</si>
  <si>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</si>
  <si>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</si>
  <si>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</si>
  <si>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</si>
  <si>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</si>
  <si>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</si>
  <si>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</si>
  <si>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</si>
  <si>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</si>
  <si>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</si>
  <si>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</si>
  <si>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</si>
  <si>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</si>
  <si>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</si>
  <si>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</si>
  <si>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</si>
  <si>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</si>
  <si>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</si>
  <si>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</si>
  <si>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</si>
  <si>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</si>
  <si>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</si>
  <si>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</si>
  <si>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</si>
  <si>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</si>
  <si>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</si>
  <si>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</si>
  <si>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</si>
  <si>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</si>
  <si>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</si>
  <si>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</si>
  <si>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</si>
  <si>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</si>
  <si>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</si>
  <si>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</si>
  <si>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</si>
  <si>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</si>
  <si>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</si>
  <si>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</si>
  <si>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</si>
  <si>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</si>
  <si>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</si>
  <si>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</si>
  <si>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</si>
  <si>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</si>
  <si>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</si>
  <si>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</si>
  <si>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</si>
  <si>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</si>
  <si>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</si>
  <si>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</si>
  <si>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</si>
  <si>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</si>
  <si>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</si>
  <si>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</si>
  <si>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</si>
  <si>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</si>
  <si>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</si>
  <si>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</si>
  <si>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</si>
  <si>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</si>
  <si>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</si>
  <si>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</si>
  <si>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</si>
  <si>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</si>
  <si>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</si>
  <si>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</si>
  <si>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</si>
  <si>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</si>
  <si>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</si>
  <si>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</si>
  <si>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</si>
  <si>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</si>
  <si>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</si>
  <si>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</si>
  <si>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</si>
  <si>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</si>
  <si>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</si>
  <si>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</si>
  <si>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</si>
  <si>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</si>
  <si>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</si>
  <si>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</si>
  <si>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</si>
  <si>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</si>
  <si>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</si>
  <si>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</si>
  <si>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</si>
  <si>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</si>
  <si>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</si>
  <si>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</si>
  <si>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</si>
  <si>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</si>
  <si>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</si>
  <si>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</si>
  <si>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</si>
  <si>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</si>
  <si>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</si>
  <si>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</si>
  <si>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</si>
  <si>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</si>
  <si>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</si>
  <si>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</si>
  <si>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</si>
  <si>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</si>
  <si>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</si>
  <si>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</si>
  <si>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</si>
  <si>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</si>
  <si>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</si>
  <si>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</si>
  <si>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</si>
  <si>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</si>
  <si>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</si>
  <si>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</si>
  <si>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</si>
  <si>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</si>
  <si>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</si>
  <si>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</si>
  <si>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</si>
  <si>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</si>
  <si>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</si>
  <si>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</si>
  <si>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</si>
  <si>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</si>
  <si>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</si>
  <si>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</si>
  <si>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</si>
  <si>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</si>
  <si>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</si>
  <si>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</si>
  <si>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</si>
  <si>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</si>
  <si>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</si>
  <si>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</si>
  <si>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</si>
  <si>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</si>
  <si>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</si>
  <si>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</si>
  <si>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</si>
  <si>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</si>
  <si>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</si>
  <si>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</si>
  <si>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</si>
  <si>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</si>
  <si>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</si>
  <si>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</si>
  <si>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</si>
  <si>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</si>
  <si>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</si>
  <si>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</si>
  <si>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</si>
  <si>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</si>
  <si>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</si>
  <si>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</si>
  <si>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</si>
  <si>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</si>
  <si>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</si>
  <si>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</si>
  <si>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</si>
  <si>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</si>
  <si>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</si>
  <si>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</si>
  <si>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</si>
  <si>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</si>
  <si>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</si>
  <si>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</si>
  <si>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</si>
  <si>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</si>
  <si>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</si>
  <si>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</si>
  <si>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</si>
  <si>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</si>
  <si>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</si>
  <si>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</si>
  <si>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</si>
  <si>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</si>
  <si>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</si>
  <si>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</si>
  <si>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</si>
  <si>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</si>
  <si>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</si>
  <si>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</si>
  <si>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</si>
  <si>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</si>
  <si>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</si>
  <si>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</si>
  <si>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</si>
  <si>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</si>
  <si>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</si>
  <si>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</si>
  <si>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</si>
  <si>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</si>
  <si>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</si>
  <si>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</si>
  <si>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</si>
  <si>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</si>
  <si>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</si>
  <si>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</si>
  <si>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</si>
  <si>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</si>
  <si>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</si>
  <si>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</si>
  <si>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</si>
  <si>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</si>
  <si>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</si>
  <si>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</si>
  <si>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</si>
  <si>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</si>
  <si>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</si>
  <si>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</si>
  <si>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</si>
  <si>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</si>
  <si>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</si>
  <si>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</si>
  <si>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</si>
  <si>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</si>
  <si>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</si>
  <si>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</si>
  <si>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</si>
  <si>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</si>
  <si>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</si>
  <si>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</si>
  <si>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</si>
  <si>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</si>
  <si>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</si>
  <si>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</si>
  <si>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</si>
  <si>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</si>
  <si>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</si>
  <si>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</si>
  <si>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</si>
  <si>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</si>
  <si>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</si>
  <si>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</si>
  <si>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</si>
  <si>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</si>
  <si>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</si>
  <si>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</si>
  <si>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</si>
  <si>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</si>
  <si>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</si>
  <si>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</si>
  <si>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</si>
  <si>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</si>
  <si>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</si>
  <si>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</si>
  <si>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</si>
  <si>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</si>
  <si>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</si>
  <si>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</si>
  <si>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</si>
  <si>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</si>
  <si>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</si>
  <si>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</si>
  <si>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</si>
  <si>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</si>
  <si>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</si>
  <si>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</si>
  <si>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</si>
  <si>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</si>
  <si>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</si>
  <si>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</si>
  <si>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</si>
  <si>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</si>
  <si>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</si>
  <si>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</si>
  <si>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</si>
  <si>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</si>
  <si>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</si>
  <si>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</si>
  <si>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</si>
  <si>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</si>
  <si>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</si>
  <si>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</si>
  <si>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</si>
  <si>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</si>
  <si>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</si>
  <si>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</si>
  <si>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</si>
  <si>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</si>
  <si>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</si>
  <si>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</si>
  <si>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</si>
  <si>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</si>
  <si>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</si>
  <si>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</si>
  <si>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</si>
  <si>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</si>
  <si>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</si>
  <si>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</si>
  <si>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</si>
  <si>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</si>
  <si>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</si>
  <si>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</si>
  <si>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</si>
  <si>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</si>
  <si>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</si>
  <si>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</si>
  <si>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</si>
  <si>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</si>
  <si>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</si>
  <si>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</si>
  <si>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</si>
  <si>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</si>
  <si>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</si>
  <si>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</si>
  <si>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</si>
  <si>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</si>
  <si>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</si>
  <si>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</si>
  <si>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</si>
  <si>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</si>
  <si>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</si>
  <si>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</si>
  <si>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</si>
  <si>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</si>
  <si>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</si>
  <si>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</si>
  <si>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</si>
  <si>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</si>
  <si>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</si>
  <si>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</si>
  <si>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</si>
  <si>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</si>
  <si>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</si>
  <si>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</si>
  <si>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</si>
  <si>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</si>
  <si>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</si>
  <si>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</si>
  <si>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</si>
  <si>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</si>
  <si>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</si>
  <si>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</si>
  <si>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</si>
  <si>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</si>
  <si>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</si>
  <si>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</si>
  <si>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</si>
  <si>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</si>
  <si>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</si>
  <si>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</si>
  <si>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</si>
  <si>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</si>
  <si>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</si>
  <si>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</si>
  <si>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</si>
  <si>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</si>
  <si>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</si>
  <si>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</si>
  <si>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</si>
  <si>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</si>
  <si>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</si>
  <si>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</si>
  <si>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</si>
  <si>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</si>
  <si>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</si>
  <si>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</si>
  <si>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</si>
  <si>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</si>
  <si>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</si>
  <si>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</si>
  <si>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</si>
  <si>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</si>
  <si>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</si>
  <si>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</si>
  <si>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</si>
  <si>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</si>
  <si>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</si>
  <si>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</si>
  <si>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</si>
  <si>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</si>
  <si>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</si>
  <si>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</si>
  <si>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</si>
  <si>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</si>
  <si>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</si>
  <si>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</si>
  <si>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</si>
  <si>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</si>
  <si>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</si>
  <si>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</si>
  <si>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</si>
  <si>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</si>
  <si>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</si>
  <si>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</si>
  <si>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</si>
  <si>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</si>
  <si>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</si>
  <si>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</si>
  <si>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</si>
  <si>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</si>
  <si>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</si>
  <si>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</si>
  <si>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</si>
  <si>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</si>
  <si>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</si>
  <si>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</si>
  <si>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</si>
  <si>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</si>
  <si>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</si>
  <si>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</si>
  <si>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</si>
  <si>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</si>
  <si>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</si>
  <si>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</si>
  <si>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</si>
  <si>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</si>
  <si>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</si>
  <si>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</si>
  <si>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</si>
  <si>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</si>
  <si>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</si>
  <si>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</si>
  <si>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</si>
  <si>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</si>
  <si>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</si>
  <si>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</si>
  <si>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</si>
  <si>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</si>
  <si>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</si>
  <si>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</si>
  <si>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</si>
  <si>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</si>
  <si>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</si>
  <si>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</si>
  <si>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</si>
  <si>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</si>
  <si>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</si>
  <si>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</si>
  <si>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</si>
  <si>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</si>
  <si>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</si>
  <si>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</si>
  <si>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</si>
  <si>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</si>
  <si>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</si>
  <si>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</si>
  <si>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</si>
  <si>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</si>
  <si>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</si>
  <si>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</si>
  <si>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</si>
  <si>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</si>
  <si>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</si>
  <si>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</si>
  <si>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</si>
  <si>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</si>
  <si>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</si>
  <si>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</si>
  <si>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</si>
  <si>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</si>
  <si>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</si>
  <si>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</si>
  <si>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</si>
  <si>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</si>
  <si>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</si>
  <si>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</si>
  <si>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</si>
  <si>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</si>
  <si>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</si>
  <si>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</si>
  <si>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</si>
  <si>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</si>
  <si>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</si>
  <si>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</si>
  <si>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</si>
  <si>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</si>
  <si>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</si>
  <si>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</si>
  <si>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</si>
  <si>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</si>
  <si>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</si>
  <si>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</si>
  <si>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</si>
  <si>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</si>
  <si>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</si>
  <si>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</si>
  <si>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</si>
  <si>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</si>
  <si>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</si>
  <si>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</si>
  <si>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</si>
  <si>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</si>
  <si>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</si>
  <si>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</si>
  <si>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</si>
  <si>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</si>
  <si>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</si>
  <si>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</si>
  <si>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</si>
  <si>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</si>
  <si>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</si>
  <si>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</si>
  <si>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</si>
  <si>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</si>
  <si>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</si>
  <si>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</si>
  <si>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</si>
  <si>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</si>
  <si>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</si>
  <si>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</si>
  <si>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</si>
  <si>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</si>
  <si>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</si>
  <si>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</si>
  <si>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</si>
  <si>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</si>
  <si>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</si>
  <si>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</si>
  <si>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</si>
  <si>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</si>
  <si>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</si>
  <si>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</si>
  <si>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</si>
  <si>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</si>
  <si>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</si>
  <si>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</si>
  <si>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</si>
  <si>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</si>
  <si>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</si>
  <si>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</si>
  <si>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</si>
  <si>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</si>
  <si>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</si>
  <si>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</si>
  <si>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</si>
  <si>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</si>
  <si>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</si>
  <si>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</si>
  <si>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</si>
  <si>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</si>
  <si>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</si>
  <si>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</si>
  <si>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</si>
  <si>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</si>
  <si>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</si>
  <si>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</si>
  <si>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</si>
  <si>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</si>
  <si>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</si>
  <si>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</si>
  <si>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</si>
  <si>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</si>
  <si>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</si>
  <si>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</si>
  <si>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</si>
  <si>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</si>
  <si>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</si>
  <si>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</si>
  <si>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</si>
  <si>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</si>
  <si>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</si>
  <si>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</si>
  <si>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</si>
  <si>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</si>
  <si>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</si>
  <si>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</si>
  <si>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</si>
  <si>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</si>
  <si>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</si>
  <si>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</si>
  <si>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</si>
  <si>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</si>
  <si>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</si>
  <si>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</si>
  <si>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</si>
  <si>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</si>
  <si>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</si>
  <si>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</si>
  <si>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</si>
  <si>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</si>
  <si>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</si>
  <si>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</si>
  <si>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</si>
  <si>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</si>
  <si>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</si>
  <si>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</si>
  <si>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</si>
  <si>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</si>
  <si>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</si>
  <si>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</si>
  <si>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</si>
  <si>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</si>
  <si>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</si>
  <si>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</si>
  <si>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</si>
  <si>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</si>
  <si>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</si>
  <si>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</si>
  <si>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</si>
  <si>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</si>
  <si>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</si>
  <si>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</si>
  <si>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</si>
  <si>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</si>
  <si>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</si>
  <si>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</si>
  <si>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</si>
  <si>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</si>
  <si>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</si>
  <si>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</si>
  <si>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</si>
  <si>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</si>
  <si>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</si>
  <si>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</si>
  <si>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</si>
  <si>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</si>
  <si>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</si>
  <si>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</si>
  <si>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</si>
  <si>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</si>
  <si>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</si>
  <si>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</si>
  <si>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</si>
  <si>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</si>
  <si>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</si>
  <si>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</si>
  <si>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</si>
  <si>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</si>
  <si>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</si>
  <si>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</si>
  <si>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</si>
  <si>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</si>
  <si>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</si>
  <si>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</si>
  <si>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</si>
  <si>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</si>
  <si>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</si>
  <si>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</si>
  <si>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</si>
  <si>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</si>
  <si>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</si>
  <si>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</si>
  <si>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</si>
  <si>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</si>
  <si>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</si>
  <si>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</si>
  <si>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</si>
  <si>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</si>
  <si>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</si>
  <si>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</si>
  <si>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</si>
  <si>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</si>
  <si>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</si>
  <si>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</si>
  <si>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</si>
  <si>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</si>
  <si>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</si>
  <si>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</si>
  <si>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</si>
  <si>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</si>
  <si>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</si>
  <si>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</si>
  <si>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</si>
  <si>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</si>
  <si>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</si>
  <si>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</si>
  <si>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</si>
  <si>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</si>
  <si>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</si>
  <si>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</si>
  <si>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</si>
  <si>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</si>
  <si>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</si>
  <si>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</si>
  <si>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</si>
  <si>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</si>
  <si>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</si>
  <si>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</si>
  <si>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</si>
  <si>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</si>
  <si>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</si>
  <si>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</si>
  <si>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</si>
  <si>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</si>
  <si>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</si>
  <si>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</si>
  <si>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</si>
  <si>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</si>
  <si>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</si>
  <si>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</si>
  <si>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</si>
  <si>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</si>
  <si>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</si>
  <si>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</si>
  <si>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</si>
  <si>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</si>
  <si>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</si>
  <si>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</si>
  <si>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</si>
  <si>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</si>
  <si>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</si>
  <si>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</si>
  <si>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</si>
  <si>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</si>
  <si>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</si>
  <si>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</si>
  <si>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</si>
  <si>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</si>
  <si>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</si>
  <si>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</si>
  <si>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</si>
  <si>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</si>
  <si>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</si>
  <si>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</si>
  <si>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</si>
  <si>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</si>
  <si>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</si>
  <si>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</si>
  <si>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</si>
  <si>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</si>
  <si>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</si>
  <si>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</si>
  <si>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</si>
  <si>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</si>
  <si>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</si>
  <si>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</si>
  <si>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</si>
  <si>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</si>
  <si>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</si>
  <si>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</si>
  <si>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</si>
  <si>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</si>
  <si>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</si>
  <si>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</si>
  <si>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</si>
  <si>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</si>
  <si>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</si>
  <si>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</si>
  <si>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</si>
  <si>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</si>
  <si>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</si>
  <si>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</si>
  <si>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</si>
  <si>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</si>
  <si>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</si>
  <si>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</si>
  <si>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</si>
  <si>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</si>
  <si>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</si>
  <si>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</si>
  <si>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</si>
  <si>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</si>
  <si>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</si>
  <si>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</si>
  <si>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</si>
  <si>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</si>
  <si>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</si>
  <si>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</si>
  <si>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</si>
  <si>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</si>
  <si>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</si>
  <si>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</si>
  <si>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</si>
  <si>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</si>
  <si>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</si>
  <si>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</si>
  <si>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</si>
  <si>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</si>
  <si>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</si>
  <si>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</si>
  <si>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</si>
  <si>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</si>
  <si>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</si>
  <si>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</si>
  <si>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</si>
  <si>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</si>
  <si>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</si>
  <si>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</si>
  <si>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</si>
  <si>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</si>
  <si>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</si>
  <si>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</si>
  <si>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</si>
  <si>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</si>
  <si>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</si>
  <si>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</si>
  <si>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</si>
  <si>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</si>
  <si>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</si>
  <si>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 xml:space="preserve">  </t>
  </si>
  <si>
    <t>სს "ბანკი ქართუ"</t>
  </si>
  <si>
    <t>ნ. ჩხეტიანი</t>
  </si>
  <si>
    <t>ნ. ხაინდრავა</t>
  </si>
  <si>
    <t>www.cartubank.ge</t>
  </si>
  <si>
    <t>ნიკოლოზ ჩხეტიანი</t>
  </si>
  <si>
    <t>არადამოუკიდებელი თავმჯდომარე</t>
  </si>
  <si>
    <t xml:space="preserve">ბესიკ დემეტრაშვილი                                                                                  </t>
  </si>
  <si>
    <t>არადამოუკიდებელი წევრი</t>
  </si>
  <si>
    <t>თემური კობახიძე</t>
  </si>
  <si>
    <t>დამოუკიდებელი წევრი</t>
  </si>
  <si>
    <t>ზაზა ვერძეული</t>
  </si>
  <si>
    <t>თეა ჯოხაძე</t>
  </si>
  <si>
    <t>არადამოუკიდებელ წევრი</t>
  </si>
  <si>
    <t>ნატო ხაინდრავა</t>
  </si>
  <si>
    <t>გენერალური დირექტორი</t>
  </si>
  <si>
    <t>გივი ლებანიძე</t>
  </si>
  <si>
    <t>ფინანსური დირექტორი</t>
  </si>
  <si>
    <t>ბექა კვარაცხელია</t>
  </si>
  <si>
    <t>რისკების დირექტორი</t>
  </si>
  <si>
    <t>ზურაბ გოგუა</t>
  </si>
  <si>
    <t>კომერციული დირექტორი</t>
  </si>
  <si>
    <t>დავით გალუაშვილი</t>
  </si>
  <si>
    <t>ოპერაციების დირექტორი</t>
  </si>
  <si>
    <t>ა(ა)იპ საერთაშორისო საქველმოქმედო ფონდი "ქართუ"</t>
  </si>
  <si>
    <t xml:space="preserve">უტა ივანიშვილი </t>
  </si>
  <si>
    <t>მინუს: საინვესტიციო ფასიანი ქაღალდების საეთო რეზერვები</t>
  </si>
  <si>
    <t>ცხრილი 9 (Capital), N39</t>
  </si>
  <si>
    <t>წმინდა საინვესტიციო ფასიანი ქაღალდები</t>
  </si>
  <si>
    <t>მინუს: მნიშვნელოვანი ინვესტიციების შესაძლო დანაკარგების რეზერვები</t>
  </si>
  <si>
    <t>მინუს: ინვესტიციების შესაძლო დანაკარგების საეთო რეზერვები</t>
  </si>
  <si>
    <t>მათ შორის გადავადებული საგადასახადო აქტივები</t>
  </si>
  <si>
    <t>ცხრილი 9 (Capital), N15</t>
  </si>
  <si>
    <t>მინუს: სხვა აქტივების შესაძლო დანაკარგების საეთო რეზერვები</t>
  </si>
  <si>
    <t>მინუს: სხვა აქტივების შესაძლო დანაკარგების სპეციალური  რეზერვები</t>
  </si>
  <si>
    <t>წმინდა სხვა აქტივები</t>
  </si>
  <si>
    <t>ცხრილი 9 (Capital), N37</t>
  </si>
  <si>
    <t>ცხრილი 9 (Capital), N2</t>
  </si>
  <si>
    <t>მათ შორის სარეზერვო ფონდი</t>
  </si>
  <si>
    <t>ცხრილი 9 (Capital), N5</t>
  </si>
  <si>
    <t>მათ შორის მიზნობრივი ფონდი</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</si>
  <si>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</si>
  <si>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</si>
  <si>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</si>
  <si>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</si>
  <si>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</si>
  <si>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</si>
  <si>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</si>
  <si>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</si>
  <si>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</si>
  <si>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</si>
  <si>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</si>
  <si>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</si>
  <si>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</si>
  <si>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</si>
  <si>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</si>
  <si>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</si>
  <si>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</si>
  <si>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</si>
  <si>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</si>
  <si>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</si>
  <si>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</si>
  <si>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</si>
  <si>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</si>
  <si>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</si>
  <si>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</si>
  <si>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</si>
  <si>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</si>
  <si>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</si>
  <si>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</si>
  <si>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</si>
  <si>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</si>
  <si>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</si>
  <si>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</si>
  <si>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</si>
  <si>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</si>
  <si>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</si>
  <si>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</si>
  <si>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</si>
  <si>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</si>
  <si>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</si>
  <si>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</si>
  <si>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</si>
  <si>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</si>
  <si>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</si>
  <si>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</si>
  <si>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</si>
  <si>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</si>
  <si>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</si>
  <si>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</si>
  <si>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</si>
  <si>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</si>
  <si>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</si>
  <si>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</si>
  <si>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</si>
  <si>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</si>
  <si>
    <t>X</t>
  </si>
  <si>
    <t>ცხრილი 9 (Capital), 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</si>
</sst>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u/>
      <sz val="12"/>
      <color indexed="12"/>
      <name val="Arial"/>
      <family val="2"/>
    </font>
    <font>
      <i/>
      <sz val="10"/>
      <color rgb="FFFF0000"/>
      <name val="Calibri"/>
      <family val="2"/>
      <scheme val="minor"/>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medium">
        <color indexed="64"/>
      </left>
      <right style="medium">
        <color indexed="64"/>
      </right>
      <top style="thin">
        <color indexed="64"/>
      </top>
      <bottom style="thin">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168" fontId="96" fillId="0" borderId="110" applyNumberFormat="0" applyFill="0" applyAlignment="0" applyProtection="0"/>
    <xf numFmtId="169" fontId="96"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9"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68" fontId="96"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0" fontId="49" fillId="0" borderId="110" applyNumberFormat="0" applyFill="0" applyAlignment="0" applyProtection="0"/>
    <xf numFmtId="188" fontId="2" fillId="70" borderId="105" applyFont="0">
      <alignment horizontal="right" vertical="center"/>
    </xf>
    <xf numFmtId="3" fontId="2" fillId="70" borderId="105" applyFont="0">
      <alignment horizontal="right" vertical="center"/>
    </xf>
    <xf numFmtId="0" fontId="85"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168" fontId="87" fillId="64" borderId="109" applyNumberFormat="0" applyAlignment="0" applyProtection="0"/>
    <xf numFmtId="169" fontId="87"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9"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168" fontId="87"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0" fontId="85" fillId="64" borderId="109" applyNumberFormat="0" applyAlignment="0" applyProtection="0"/>
    <xf numFmtId="3" fontId="2" fillId="75" borderId="105"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0" fontId="29" fillId="74" borderId="108" applyNumberFormat="0" applyFont="0" applyAlignment="0" applyProtection="0"/>
    <xf numFmtId="3" fontId="2" fillId="72" borderId="105" applyFont="0">
      <alignment horizontal="right" vertical="center"/>
      <protection locked="0"/>
    </xf>
    <xf numFmtId="0" fontId="68"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168" fontId="70" fillId="43" borderId="107" applyNumberFormat="0" applyAlignment="0" applyProtection="0"/>
    <xf numFmtId="169" fontId="70"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9"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168" fontId="70"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68" fillId="43" borderId="107" applyNumberFormat="0" applyAlignment="0" applyProtection="0"/>
    <xf numFmtId="0" fontId="2" fillId="71" borderId="106" applyNumberFormat="0" applyFont="0" applyBorder="0" applyProtection="0">
      <alignment horizontal="left" vertical="center"/>
    </xf>
    <xf numFmtId="9" fontId="2" fillId="71" borderId="105" applyFont="0" applyProtection="0">
      <alignment horizontal="right" vertical="center"/>
    </xf>
    <xf numFmtId="3" fontId="2" fillId="71" borderId="105" applyFont="0" applyProtection="0">
      <alignment horizontal="right" vertical="center"/>
    </xf>
    <xf numFmtId="0" fontId="64" fillId="70" borderId="106" applyFont="0" applyBorder="0">
      <alignment horizontal="center" wrapText="1"/>
    </xf>
    <xf numFmtId="168" fontId="56" fillId="0" borderId="103">
      <alignment horizontal="left" vertical="center"/>
    </xf>
    <xf numFmtId="0" fontId="56" fillId="0" borderId="103">
      <alignment horizontal="left" vertical="center"/>
    </xf>
    <xf numFmtId="0" fontId="56" fillId="0" borderId="103">
      <alignment horizontal="left" vertical="center"/>
    </xf>
    <xf numFmtId="0" fontId="2" fillId="69" borderId="105" applyNumberFormat="0" applyFont="0" applyBorder="0" applyProtection="0">
      <alignment horizontal="center" vertical="center"/>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38" fillId="0" borderId="105" applyNumberFormat="0" applyAlignment="0">
      <alignment horizontal="right"/>
      <protection locked="0"/>
    </xf>
    <xf numFmtId="0" fontId="40"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168" fontId="42" fillId="64" borderId="107" applyNumberFormat="0" applyAlignment="0" applyProtection="0"/>
    <xf numFmtId="169" fontId="42"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9"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168" fontId="42"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40" fillId="64" borderId="107"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43">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58" xfId="0" applyFont="1" applyBorder="1"/>
    <xf numFmtId="0" fontId="22" fillId="0" borderId="25" xfId="0" applyFont="1" applyBorder="1" applyAlignment="1">
      <alignment horizontal="center" vertical="center" wrapText="1"/>
    </xf>
    <xf numFmtId="0" fontId="4" fillId="0" borderId="59"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167" fontId="25" fillId="0" borderId="68"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9"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4"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5"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5"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98" xfId="20" applyBorder="1"/>
    <xf numFmtId="0" fontId="4" fillId="0" borderId="7" xfId="0" applyFont="1" applyBorder="1" applyAlignment="1">
      <alignment vertical="center"/>
    </xf>
    <xf numFmtId="0" fontId="4" fillId="0" borderId="105" xfId="0" applyFont="1" applyBorder="1" applyAlignment="1">
      <alignment vertical="center"/>
    </xf>
    <xf numFmtId="0" fontId="6" fillId="0" borderId="105" xfId="0" applyFont="1" applyBorder="1" applyAlignment="1">
      <alignment vertical="center"/>
    </xf>
    <xf numFmtId="0" fontId="4" fillId="0" borderId="20" xfId="0" applyFont="1" applyBorder="1" applyAlignment="1">
      <alignment vertical="center"/>
    </xf>
    <xf numFmtId="0" fontId="4" fillId="0" borderId="100" xfId="0" applyFont="1" applyBorder="1" applyAlignment="1">
      <alignment vertical="center"/>
    </xf>
    <xf numFmtId="0" fontId="4" fillId="0" borderId="102" xfId="0" applyFont="1" applyBorder="1" applyAlignment="1">
      <alignment vertical="center"/>
    </xf>
    <xf numFmtId="0" fontId="4" fillId="0" borderId="19" xfId="0" applyFont="1" applyBorder="1" applyAlignment="1">
      <alignment horizontal="center" vertical="center"/>
    </xf>
    <xf numFmtId="0" fontId="4" fillId="0" borderId="112" xfId="0" applyFont="1" applyBorder="1" applyAlignment="1">
      <alignment horizontal="center" vertical="center"/>
    </xf>
    <xf numFmtId="0" fontId="4" fillId="0" borderId="114" xfId="0" applyFont="1" applyBorder="1" applyAlignment="1">
      <alignment horizontal="center" vertical="center"/>
    </xf>
    <xf numFmtId="169" fontId="28" fillId="37" borderId="34" xfId="20" applyBorder="1"/>
    <xf numFmtId="169" fontId="28" fillId="37" borderId="116" xfId="20" applyBorder="1"/>
    <xf numFmtId="169" fontId="28" fillId="37" borderId="59" xfId="20" applyBorder="1"/>
    <xf numFmtId="0" fontId="4" fillId="3" borderId="69" xfId="0" applyFont="1" applyFill="1" applyBorder="1" applyAlignment="1">
      <alignment horizontal="center" vertical="center"/>
    </xf>
    <xf numFmtId="0" fontId="4" fillId="3" borderId="0" xfId="0" applyFont="1" applyFill="1" applyAlignment="1">
      <alignment vertical="center"/>
    </xf>
    <xf numFmtId="0" fontId="4" fillId="0" borderId="75" xfId="0" applyFont="1" applyBorder="1" applyAlignment="1">
      <alignment horizontal="center" vertical="center"/>
    </xf>
    <xf numFmtId="0" fontId="4" fillId="3" borderId="103"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105" xfId="0" applyFont="1" applyBorder="1" applyAlignment="1">
      <alignment horizontal="center" vertical="center" wrapText="1"/>
    </xf>
    <xf numFmtId="0" fontId="4" fillId="0" borderId="119" xfId="0" applyFont="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Border="1" applyAlignment="1">
      <alignment horizontal="center" vertical="center"/>
    </xf>
    <xf numFmtId="0" fontId="6" fillId="0" borderId="26"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1" xfId="0" applyBorder="1"/>
    <xf numFmtId="0" fontId="0" fillId="0" borderId="121" xfId="0" applyBorder="1" applyAlignment="1">
      <alignment horizontal="center"/>
    </xf>
    <xf numFmtId="0" fontId="4" fillId="0" borderId="104" xfId="0" applyFont="1" applyBorder="1" applyAlignment="1">
      <alignment vertical="center" wrapText="1"/>
    </xf>
    <xf numFmtId="167" fontId="4" fillId="0" borderId="105" xfId="0" applyNumberFormat="1" applyFont="1" applyBorder="1" applyAlignment="1">
      <alignment horizontal="center" vertical="center"/>
    </xf>
    <xf numFmtId="167" fontId="4" fillId="0" borderId="119" xfId="0" applyNumberFormat="1" applyFont="1" applyBorder="1" applyAlignment="1">
      <alignment horizontal="center" vertical="center"/>
    </xf>
    <xf numFmtId="167" fontId="14" fillId="0" borderId="105" xfId="0" applyNumberFormat="1" applyFont="1" applyBorder="1" applyAlignment="1">
      <alignment horizontal="center" vertical="center"/>
    </xf>
    <xf numFmtId="0" fontId="14" fillId="0" borderId="104"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4" fillId="0" borderId="121" xfId="0" applyFont="1" applyBorder="1" applyAlignment="1">
      <alignment horizontal="right" vertical="center" wrapText="1"/>
    </xf>
    <xf numFmtId="0" fontId="4" fillId="0" borderId="105" xfId="0" applyFont="1" applyBorder="1" applyAlignment="1">
      <alignment horizontal="left" vertical="center" wrapText="1"/>
    </xf>
    <xf numFmtId="0" fontId="111" fillId="0" borderId="121" xfId="0" applyFont="1" applyBorder="1" applyAlignment="1">
      <alignment horizontal="right" vertical="center" wrapText="1"/>
    </xf>
    <xf numFmtId="0" fontId="111" fillId="0" borderId="105" xfId="0" applyFont="1" applyBorder="1" applyAlignment="1">
      <alignment horizontal="left" vertical="center" wrapText="1"/>
    </xf>
    <xf numFmtId="0" fontId="6" fillId="0" borderId="121"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1" xfId="0" applyFont="1" applyBorder="1" applyAlignment="1">
      <alignment horizontal="center" vertical="center" wrapText="1"/>
    </xf>
    <xf numFmtId="3" fontId="23" fillId="36" borderId="105" xfId="0" applyNumberFormat="1" applyFont="1" applyFill="1" applyBorder="1" applyAlignment="1">
      <alignment vertical="center" wrapText="1"/>
    </xf>
    <xf numFmtId="14" fontId="7" fillId="3" borderId="105" xfId="8" quotePrefix="1" applyNumberFormat="1" applyFont="1" applyFill="1" applyBorder="1" applyAlignment="1" applyProtection="1">
      <alignment horizontal="left" vertical="center" wrapText="1" indent="2"/>
      <protection locked="0"/>
    </xf>
    <xf numFmtId="3" fontId="23" fillId="0" borderId="105" xfId="0" applyNumberFormat="1" applyFont="1" applyBorder="1" applyAlignment="1">
      <alignment vertical="center" wrapText="1"/>
    </xf>
    <xf numFmtId="14" fontId="7" fillId="3" borderId="105" xfId="8" quotePrefix="1" applyNumberFormat="1" applyFont="1" applyFill="1" applyBorder="1" applyAlignment="1" applyProtection="1">
      <alignment horizontal="left" vertical="center" wrapText="1" indent="3"/>
      <protection locked="0"/>
    </xf>
    <xf numFmtId="0" fontId="11" fillId="0" borderId="105" xfId="17" applyFill="1" applyBorder="1" applyAlignment="1" applyProtection="1"/>
    <xf numFmtId="49" fontId="111" fillId="0" borderId="121" xfId="0" applyNumberFormat="1" applyFont="1" applyBorder="1" applyAlignment="1">
      <alignment horizontal="right" vertical="center" wrapText="1"/>
    </xf>
    <xf numFmtId="0" fontId="7" fillId="3" borderId="105" xfId="20960" applyFont="1" applyFill="1" applyBorder="1"/>
    <xf numFmtId="0" fontId="105" fillId="0" borderId="105" xfId="20960" applyFont="1" applyBorder="1" applyAlignment="1">
      <alignment horizontal="center" vertical="center"/>
    </xf>
    <xf numFmtId="0" fontId="4" fillId="0" borderId="105" xfId="0" applyFont="1" applyBorder="1"/>
    <xf numFmtId="0" fontId="11" fillId="0" borderId="105" xfId="17" applyFill="1" applyBorder="1" applyAlignment="1" applyProtection="1">
      <alignment horizontal="left" vertical="center" wrapText="1"/>
    </xf>
    <xf numFmtId="49" fontId="111" fillId="0" borderId="105" xfId="0" applyNumberFormat="1" applyFont="1" applyBorder="1" applyAlignment="1">
      <alignment horizontal="right" vertical="center" wrapText="1"/>
    </xf>
    <xf numFmtId="0" fontId="11" fillId="0" borderId="105" xfId="17" applyFill="1" applyBorder="1" applyAlignment="1" applyProtection="1">
      <alignment horizontal="left" vertical="center"/>
    </xf>
    <xf numFmtId="0" fontId="11" fillId="0" borderId="105" xfId="17" applyBorder="1" applyAlignment="1" applyProtection="1"/>
    <xf numFmtId="0" fontId="114" fillId="79" borderId="106" xfId="21412" applyFont="1" applyFill="1" applyBorder="1" applyAlignment="1" applyProtection="1">
      <alignment vertical="center" wrapText="1"/>
      <protection locked="0"/>
    </xf>
    <xf numFmtId="0" fontId="115" fillId="70" borderId="100" xfId="21412" applyFont="1" applyFill="1" applyBorder="1" applyAlignment="1" applyProtection="1">
      <alignment horizontal="center" vertical="center"/>
      <protection locked="0"/>
    </xf>
    <xf numFmtId="0" fontId="114" fillId="80" borderId="105" xfId="21412" applyFont="1" applyFill="1" applyBorder="1" applyAlignment="1" applyProtection="1">
      <alignment horizontal="center" vertical="center"/>
      <protection locked="0"/>
    </xf>
    <xf numFmtId="0" fontId="114" fillId="79" borderId="106" xfId="21412" applyFont="1" applyFill="1" applyBorder="1" applyProtection="1">
      <alignment vertical="center"/>
      <protection locked="0"/>
    </xf>
    <xf numFmtId="0" fontId="116" fillId="70" borderId="100" xfId="21412" applyFont="1" applyFill="1" applyBorder="1" applyAlignment="1" applyProtection="1">
      <alignment horizontal="center" vertical="center"/>
      <protection locked="0"/>
    </xf>
    <xf numFmtId="0" fontId="116" fillId="3" borderId="100" xfId="21412" applyFont="1" applyFill="1" applyBorder="1" applyAlignment="1" applyProtection="1">
      <alignment horizontal="center" vertical="center"/>
      <protection locked="0"/>
    </xf>
    <xf numFmtId="0" fontId="116" fillId="0" borderId="100" xfId="21412" applyFont="1" applyBorder="1" applyAlignment="1" applyProtection="1">
      <alignment horizontal="center" vertical="center"/>
      <protection locked="0"/>
    </xf>
    <xf numFmtId="0" fontId="117" fillId="80" borderId="105" xfId="21412" applyFont="1" applyFill="1" applyBorder="1" applyAlignment="1" applyProtection="1">
      <alignment horizontal="center" vertical="center"/>
      <protection locked="0"/>
    </xf>
    <xf numFmtId="0" fontId="114" fillId="79" borderId="106" xfId="21412" applyFont="1" applyFill="1" applyBorder="1" applyAlignment="1" applyProtection="1">
      <alignment horizontal="center" vertical="center"/>
      <protection locked="0"/>
    </xf>
    <xf numFmtId="0" fontId="64" fillId="79" borderId="106" xfId="21412" applyFont="1" applyFill="1" applyBorder="1" applyProtection="1">
      <alignment vertical="center"/>
      <protection locked="0"/>
    </xf>
    <xf numFmtId="0" fontId="116" fillId="70" borderId="105" xfId="21412" applyFont="1" applyFill="1" applyBorder="1" applyAlignment="1" applyProtection="1">
      <alignment horizontal="center" vertical="center"/>
      <protection locked="0"/>
    </xf>
    <xf numFmtId="0" fontId="38" fillId="70" borderId="105" xfId="21412" applyFont="1" applyFill="1" applyBorder="1" applyAlignment="1" applyProtection="1">
      <alignment horizontal="center" vertical="center"/>
      <protection locked="0"/>
    </xf>
    <xf numFmtId="0" fontId="64" fillId="79" borderId="104" xfId="21412" applyFont="1" applyFill="1" applyBorder="1" applyProtection="1">
      <alignment vertical="center"/>
      <protection locked="0"/>
    </xf>
    <xf numFmtId="0" fontId="115" fillId="0" borderId="104" xfId="21412" applyFont="1" applyBorder="1" applyAlignment="1" applyProtection="1">
      <alignment horizontal="left" vertical="center" wrapText="1"/>
      <protection locked="0"/>
    </xf>
    <xf numFmtId="164" fontId="115" fillId="0" borderId="105" xfId="948" applyNumberFormat="1" applyFont="1" applyFill="1" applyBorder="1" applyAlignment="1" applyProtection="1">
      <alignment horizontal="right" vertical="center"/>
      <protection locked="0"/>
    </xf>
    <xf numFmtId="0" fontId="114" fillId="80" borderId="104" xfId="21412" applyFont="1" applyFill="1" applyBorder="1" applyAlignment="1" applyProtection="1">
      <alignment vertical="top" wrapText="1"/>
      <protection locked="0"/>
    </xf>
    <xf numFmtId="164" fontId="115" fillId="80" borderId="105" xfId="948" applyNumberFormat="1" applyFont="1" applyFill="1" applyBorder="1" applyAlignment="1" applyProtection="1">
      <alignment horizontal="right" vertical="center"/>
    </xf>
    <xf numFmtId="164" fontId="64" fillId="79" borderId="104" xfId="948" applyNumberFormat="1" applyFont="1" applyFill="1" applyBorder="1" applyAlignment="1" applyProtection="1">
      <alignment horizontal="right" vertical="center"/>
      <protection locked="0"/>
    </xf>
    <xf numFmtId="0" fontId="115" fillId="70" borderId="104" xfId="21412" applyFont="1" applyFill="1" applyBorder="1" applyAlignment="1" applyProtection="1">
      <alignment vertical="center" wrapText="1"/>
      <protection locked="0"/>
    </xf>
    <xf numFmtId="0" fontId="115" fillId="70" borderId="104" xfId="21412" applyFont="1" applyFill="1" applyBorder="1" applyAlignment="1" applyProtection="1">
      <alignment horizontal="left" vertical="center" wrapText="1"/>
      <protection locked="0"/>
    </xf>
    <xf numFmtId="0" fontId="115" fillId="0" borderId="104" xfId="21412" applyFont="1" applyBorder="1" applyAlignment="1" applyProtection="1">
      <alignment vertical="center" wrapText="1"/>
      <protection locked="0"/>
    </xf>
    <xf numFmtId="0" fontId="115" fillId="3" borderId="104" xfId="21412" applyFont="1" applyFill="1" applyBorder="1" applyAlignment="1" applyProtection="1">
      <alignment horizontal="left" vertical="center" wrapText="1"/>
      <protection locked="0"/>
    </xf>
    <xf numFmtId="0" fontId="114" fillId="80" borderId="104" xfId="21412" applyFont="1" applyFill="1" applyBorder="1" applyAlignment="1" applyProtection="1">
      <alignment vertical="center" wrapText="1"/>
      <protection locked="0"/>
    </xf>
    <xf numFmtId="164" fontId="114" fillId="79" borderId="104" xfId="948" applyNumberFormat="1" applyFont="1" applyFill="1" applyBorder="1" applyAlignment="1" applyProtection="1">
      <alignment horizontal="right" vertical="center"/>
      <protection locked="0"/>
    </xf>
    <xf numFmtId="164" fontId="115" fillId="3" borderId="105" xfId="948" applyNumberFormat="1" applyFont="1" applyFill="1" applyBorder="1" applyAlignment="1" applyProtection="1">
      <alignment horizontal="right" vertical="center"/>
      <protection locked="0"/>
    </xf>
    <xf numFmtId="10" fontId="6" fillId="36" borderId="105" xfId="0" applyNumberFormat="1" applyFont="1" applyFill="1" applyBorder="1" applyAlignment="1">
      <alignment horizontal="center" vertical="center" wrapText="1"/>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7" fillId="0" borderId="105" xfId="0" applyFont="1" applyBorder="1" applyAlignment="1">
      <alignment vertical="center" wrapText="1"/>
    </xf>
    <xf numFmtId="0" fontId="4" fillId="0" borderId="105" xfId="0" applyFont="1" applyBorder="1" applyAlignment="1">
      <alignment vertical="center" wrapText="1"/>
    </xf>
    <xf numFmtId="0" fontId="4" fillId="0" borderId="105" xfId="0" applyFont="1" applyBorder="1" applyAlignment="1">
      <alignment horizontal="left" vertical="center" wrapText="1" indent="2"/>
    </xf>
    <xf numFmtId="3" fontId="23" fillId="36" borderId="106"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6"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xf numFmtId="0" fontId="4" fillId="0" borderId="27" xfId="0" applyFont="1" applyBorder="1"/>
    <xf numFmtId="0" fontId="9" fillId="0" borderId="119" xfId="0" applyFont="1" applyBorder="1"/>
    <xf numFmtId="0" fontId="9" fillId="0" borderId="119" xfId="0" applyFont="1" applyBorder="1" applyAlignment="1">
      <alignment wrapText="1"/>
    </xf>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9" fillId="0" borderId="121" xfId="0" applyFont="1" applyBorder="1" applyAlignment="1">
      <alignment horizontal="center" vertical="center" wrapText="1"/>
    </xf>
    <xf numFmtId="0" fontId="15" fillId="0" borderId="105" xfId="0" applyFont="1" applyBorder="1" applyAlignment="1">
      <alignment horizontal="center" vertical="center" wrapText="1"/>
    </xf>
    <xf numFmtId="0" fontId="16" fillId="0" borderId="105" xfId="0" applyFont="1" applyBorder="1" applyAlignment="1">
      <alignment horizontal="left" vertical="center" wrapText="1"/>
    </xf>
    <xf numFmtId="0" fontId="9" fillId="2" borderId="121" xfId="0" applyFont="1" applyFill="1" applyBorder="1" applyAlignment="1">
      <alignment horizontal="right" vertical="center"/>
    </xf>
    <xf numFmtId="0" fontId="9" fillId="2" borderId="105" xfId="0" applyFont="1" applyFill="1" applyBorder="1" applyAlignment="1">
      <alignment vertical="center"/>
    </xf>
    <xf numFmtId="193" fontId="9" fillId="2" borderId="105" xfId="0" applyNumberFormat="1" applyFont="1" applyFill="1" applyBorder="1" applyAlignment="1" applyProtection="1">
      <alignment vertical="center"/>
      <protection locked="0"/>
    </xf>
    <xf numFmtId="193" fontId="17" fillId="2" borderId="105" xfId="0" applyNumberFormat="1" applyFont="1" applyFill="1" applyBorder="1" applyAlignment="1" applyProtection="1">
      <alignment vertical="center"/>
      <protection locked="0"/>
    </xf>
    <xf numFmtId="193" fontId="17" fillId="2" borderId="119" xfId="0" applyNumberFormat="1" applyFont="1" applyFill="1" applyBorder="1" applyAlignment="1" applyProtection="1">
      <alignment vertical="center"/>
      <protection locked="0"/>
    </xf>
    <xf numFmtId="193" fontId="9" fillId="2" borderId="119" xfId="0" applyNumberFormat="1" applyFont="1" applyFill="1" applyBorder="1" applyAlignment="1" applyProtection="1">
      <alignment vertical="center"/>
      <protection locked="0"/>
    </xf>
    <xf numFmtId="0" fontId="15" fillId="0" borderId="121" xfId="0" applyFont="1" applyBorder="1" applyAlignment="1">
      <alignment horizontal="center" vertical="center" wrapText="1"/>
    </xf>
    <xf numFmtId="14" fontId="4" fillId="0" borderId="0" xfId="0" applyNumberFormat="1" applyFont="1"/>
    <xf numFmtId="10" fontId="4" fillId="0" borderId="105" xfId="20961" applyNumberFormat="1" applyFont="1" applyBorder="1" applyAlignment="1" applyProtection="1">
      <alignment vertical="center" wrapText="1"/>
      <protection locked="0"/>
    </xf>
    <xf numFmtId="10" fontId="4" fillId="0" borderId="119" xfId="20961" applyNumberFormat="1" applyFont="1" applyBorder="1" applyAlignment="1" applyProtection="1">
      <alignment vertical="center" wrapText="1"/>
      <protection locked="0"/>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5" xfId="0" applyFont="1" applyBorder="1" applyAlignment="1">
      <alignment horizontal="center"/>
    </xf>
    <xf numFmtId="0" fontId="4" fillId="3" borderId="69"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98" xfId="0" applyFont="1" applyFill="1" applyBorder="1" applyAlignment="1">
      <alignment horizontal="center" vertical="center" wrapText="1"/>
    </xf>
    <xf numFmtId="0" fontId="4" fillId="0" borderId="121" xfId="0" applyFont="1" applyBorder="1"/>
    <xf numFmtId="0" fontId="4" fillId="0" borderId="105" xfId="0" applyFont="1" applyBorder="1" applyAlignment="1">
      <alignment wrapText="1"/>
    </xf>
    <xf numFmtId="164" fontId="4" fillId="0" borderId="105" xfId="7" applyNumberFormat="1" applyFont="1" applyBorder="1"/>
    <xf numFmtId="164" fontId="4" fillId="0" borderId="119" xfId="7" applyNumberFormat="1" applyFont="1" applyBorder="1"/>
    <xf numFmtId="0" fontId="14" fillId="0" borderId="105" xfId="0" applyFont="1" applyBorder="1" applyAlignment="1">
      <alignment horizontal="left" wrapText="1" indent="2"/>
    </xf>
    <xf numFmtId="169" fontId="28" fillId="37" borderId="105" xfId="20" applyBorder="1"/>
    <xf numFmtId="164" fontId="4" fillId="0" borderId="105" xfId="7" applyNumberFormat="1" applyFont="1" applyBorder="1" applyAlignment="1">
      <alignment vertical="center"/>
    </xf>
    <xf numFmtId="0" fontId="6" fillId="0" borderId="121" xfId="0" applyFont="1" applyBorder="1"/>
    <xf numFmtId="0" fontId="6" fillId="0" borderId="105" xfId="0" applyFont="1" applyBorder="1" applyAlignment="1">
      <alignment wrapText="1"/>
    </xf>
    <xf numFmtId="164" fontId="6" fillId="0" borderId="119" xfId="7" applyNumberFormat="1" applyFont="1" applyBorder="1"/>
    <xf numFmtId="0" fontId="3" fillId="3" borderId="69"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8" xfId="7" applyNumberFormat="1" applyFont="1" applyFill="1" applyBorder="1"/>
    <xf numFmtId="164" fontId="4" fillId="0" borderId="105" xfId="7" applyNumberFormat="1" applyFont="1" applyFill="1" applyBorder="1"/>
    <xf numFmtId="164" fontId="4" fillId="0" borderId="105" xfId="7" applyNumberFormat="1" applyFont="1" applyFill="1" applyBorder="1" applyAlignment="1">
      <alignment vertical="center"/>
    </xf>
    <xf numFmtId="0" fontId="14" fillId="0" borderId="105" xfId="0" applyFont="1" applyBorder="1" applyAlignment="1">
      <alignment horizontal="left" wrapText="1" indent="4"/>
    </xf>
    <xf numFmtId="0" fontId="4" fillId="3" borderId="0" xfId="0" applyFont="1" applyFill="1" applyAlignment="1">
      <alignment wrapText="1"/>
    </xf>
    <xf numFmtId="0" fontId="4" fillId="3" borderId="98" xfId="0" applyFont="1" applyFill="1" applyBorder="1"/>
    <xf numFmtId="0" fontId="6" fillId="0" borderId="25" xfId="0" applyFont="1" applyBorder="1"/>
    <xf numFmtId="0" fontId="6" fillId="0" borderId="26" xfId="0" applyFont="1" applyBorder="1" applyAlignment="1">
      <alignment wrapText="1"/>
    </xf>
    <xf numFmtId="169" fontId="28"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100" xfId="0" applyFont="1" applyFill="1" applyBorder="1" applyAlignment="1">
      <alignment vertical="center"/>
    </xf>
    <xf numFmtId="0" fontId="9" fillId="0" borderId="105" xfId="0" applyFont="1" applyBorder="1" applyAlignment="1">
      <alignment horizontal="left" vertical="center" wrapText="1"/>
    </xf>
    <xf numFmtId="0" fontId="6" fillId="3" borderId="0" xfId="0" applyFont="1" applyFill="1" applyAlignment="1">
      <alignment horizontal="center"/>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protection locked="0"/>
    </xf>
    <xf numFmtId="0" fontId="123" fillId="3" borderId="105" xfId="13" applyFont="1" applyFill="1" applyBorder="1" applyAlignment="1" applyProtection="1">
      <alignment horizontal="left" vertical="center" wrapText="1"/>
      <protection locked="0"/>
    </xf>
    <xf numFmtId="0" fontId="122" fillId="0" borderId="105" xfId="0" applyFont="1" applyBorder="1"/>
    <xf numFmtId="0" fontId="123" fillId="0" borderId="105" xfId="13" applyFont="1" applyBorder="1" applyAlignment="1" applyProtection="1">
      <alignment horizontal="left" vertical="center" wrapText="1"/>
      <protection locked="0"/>
    </xf>
    <xf numFmtId="49" fontId="123" fillId="0" borderId="105" xfId="5" applyNumberFormat="1" applyFont="1" applyBorder="1" applyAlignment="1" applyProtection="1">
      <alignment horizontal="right" vertical="center"/>
      <protection locked="0"/>
    </xf>
    <xf numFmtId="49" fontId="124" fillId="0" borderId="105"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5" xfId="0" applyFont="1" applyBorder="1" applyAlignment="1">
      <alignment horizontal="center" vertical="center"/>
    </xf>
    <xf numFmtId="0" fontId="119" fillId="0" borderId="105" xfId="0" applyFont="1" applyBorder="1" applyAlignment="1">
      <alignment horizontal="center" vertical="center" wrapText="1"/>
    </xf>
    <xf numFmtId="49" fontId="123" fillId="3" borderId="105" xfId="5" applyNumberFormat="1" applyFont="1" applyFill="1" applyBorder="1" applyAlignment="1" applyProtection="1">
      <alignment horizontal="right" vertical="center" wrapText="1"/>
      <protection locked="0"/>
    </xf>
    <xf numFmtId="0" fontId="119" fillId="0" borderId="105" xfId="0" applyFont="1" applyBorder="1"/>
    <xf numFmtId="49" fontId="123" fillId="0" borderId="105" xfId="5" applyNumberFormat="1" applyFont="1" applyBorder="1" applyAlignment="1" applyProtection="1">
      <alignment horizontal="right" vertical="center" wrapText="1"/>
      <protection locked="0"/>
    </xf>
    <xf numFmtId="49" fontId="124" fillId="0" borderId="105" xfId="5" applyNumberFormat="1" applyFont="1" applyBorder="1" applyAlignment="1" applyProtection="1">
      <alignment horizontal="right" vertical="center" wrapText="1"/>
      <protection locked="0"/>
    </xf>
    <xf numFmtId="0" fontId="122" fillId="0" borderId="0" xfId="0" applyFont="1"/>
    <xf numFmtId="0" fontId="119" fillId="0" borderId="105" xfId="0" applyFont="1" applyBorder="1" applyAlignment="1">
      <alignment wrapText="1"/>
    </xf>
    <xf numFmtId="0" fontId="119" fillId="0" borderId="105" xfId="0" applyFont="1" applyBorder="1" applyAlignment="1">
      <alignment horizontal="left" indent="8"/>
    </xf>
    <xf numFmtId="0" fontId="118" fillId="0" borderId="105" xfId="0" applyFont="1" applyBorder="1" applyAlignment="1">
      <alignment horizontal="left" vertical="center" wrapText="1"/>
    </xf>
    <xf numFmtId="0" fontId="119" fillId="0" borderId="0" xfId="0" applyFont="1" applyAlignment="1">
      <alignment horizontal="left"/>
    </xf>
    <xf numFmtId="0" fontId="121" fillId="0" borderId="105" xfId="0" applyFont="1" applyBorder="1" applyAlignment="1">
      <alignment horizontal="left" indent="1"/>
    </xf>
    <xf numFmtId="0" fontId="121" fillId="0" borderId="105" xfId="0" applyFont="1" applyBorder="1" applyAlignment="1">
      <alignment horizontal="left" wrapText="1" indent="1"/>
    </xf>
    <xf numFmtId="0" fontId="118" fillId="0" borderId="105" xfId="0" applyFont="1" applyBorder="1" applyAlignment="1">
      <alignment horizontal="left" indent="1"/>
    </xf>
    <xf numFmtId="0" fontId="118" fillId="0" borderId="105" xfId="0" applyFont="1" applyBorder="1" applyAlignment="1">
      <alignment horizontal="left" wrapText="1" indent="2"/>
    </xf>
    <xf numFmtId="0" fontId="121" fillId="0" borderId="105" xfId="0" applyFont="1" applyBorder="1" applyAlignment="1">
      <alignment horizontal="left" vertical="center" indent="1"/>
    </xf>
    <xf numFmtId="0" fontId="119" fillId="0" borderId="105" xfId="0" applyFont="1" applyBorder="1" applyAlignment="1">
      <alignment horizontal="left" wrapText="1"/>
    </xf>
    <xf numFmtId="0" fontId="119" fillId="0" borderId="105" xfId="0" applyFont="1" applyBorder="1" applyAlignment="1">
      <alignment horizontal="left" wrapText="1" indent="2"/>
    </xf>
    <xf numFmtId="0" fontId="122" fillId="0" borderId="7" xfId="0" applyFont="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5" xfId="0" applyNumberFormat="1" applyFont="1" applyBorder="1" applyAlignment="1">
      <alignment horizontal="center" vertical="center" wrapText="1"/>
    </xf>
    <xf numFmtId="0" fontId="119" fillId="0" borderId="105" xfId="0" applyFont="1" applyBorder="1" applyAlignment="1">
      <alignment horizontal="center"/>
    </xf>
    <xf numFmtId="0" fontId="119" fillId="0" borderId="105" xfId="0" applyFont="1" applyBorder="1" applyAlignment="1">
      <alignment horizontal="left" indent="1"/>
    </xf>
    <xf numFmtId="0" fontId="119" fillId="0" borderId="7" xfId="0" applyFont="1" applyBorder="1"/>
    <xf numFmtId="0" fontId="119" fillId="0" borderId="105" xfId="0" applyFont="1" applyBorder="1" applyAlignment="1">
      <alignment horizontal="left" indent="2"/>
    </xf>
    <xf numFmtId="49" fontId="119" fillId="0" borderId="105" xfId="0" applyNumberFormat="1" applyFont="1" applyBorder="1" applyAlignment="1">
      <alignment horizontal="left" indent="3"/>
    </xf>
    <xf numFmtId="49" fontId="119" fillId="0" borderId="105" xfId="0" applyNumberFormat="1" applyFont="1" applyBorder="1" applyAlignment="1">
      <alignment horizontal="left" indent="1"/>
    </xf>
    <xf numFmtId="49" fontId="119" fillId="0" borderId="105" xfId="0" applyNumberFormat="1" applyFont="1" applyBorder="1" applyAlignment="1">
      <alignment horizontal="left" wrapText="1" indent="2"/>
    </xf>
    <xf numFmtId="49" fontId="119" fillId="0" borderId="105" xfId="0" applyNumberFormat="1" applyFont="1" applyBorder="1" applyAlignment="1">
      <alignment horizontal="left" vertical="top" wrapText="1" indent="2"/>
    </xf>
    <xf numFmtId="49" fontId="119" fillId="0" borderId="105" xfId="0" applyNumberFormat="1" applyFont="1" applyBorder="1" applyAlignment="1">
      <alignment horizontal="left" wrapText="1" indent="3"/>
    </xf>
    <xf numFmtId="0" fontId="119" fillId="0" borderId="105" xfId="0" applyFont="1" applyBorder="1" applyAlignment="1">
      <alignment horizontal="left" wrapText="1" indent="1"/>
    </xf>
    <xf numFmtId="0" fontId="121" fillId="0" borderId="135" xfId="0" applyFont="1" applyBorder="1" applyAlignment="1">
      <alignment horizontal="left" vertical="center" wrapText="1"/>
    </xf>
    <xf numFmtId="0" fontId="119" fillId="0" borderId="100" xfId="0" applyFont="1" applyBorder="1" applyAlignment="1">
      <alignment horizontal="center" vertical="center" wrapText="1"/>
    </xf>
    <xf numFmtId="0" fontId="121" fillId="0" borderId="105"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2" fontId="108" fillId="3" borderId="105" xfId="5" applyNumberFormat="1" applyFont="1" applyFill="1" applyBorder="1" applyAlignment="1" applyProtection="1">
      <alignment horizontal="right" vertical="center"/>
      <protection locked="0"/>
    </xf>
    <xf numFmtId="0" fontId="130" fillId="0" borderId="105" xfId="0" applyFont="1" applyBorder="1"/>
    <xf numFmtId="0" fontId="128" fillId="0" borderId="105" xfId="0" applyFont="1" applyBorder="1" applyAlignment="1">
      <alignment horizontal="left" vertical="top" wrapText="1"/>
    </xf>
    <xf numFmtId="0" fontId="128" fillId="0" borderId="105" xfId="0" applyFont="1" applyBorder="1"/>
    <xf numFmtId="0" fontId="128" fillId="0" borderId="105" xfId="0" applyFont="1" applyBorder="1" applyAlignment="1">
      <alignment horizontal="left" wrapText="1" indent="2"/>
    </xf>
    <xf numFmtId="0" fontId="128" fillId="0" borderId="105" xfId="0" applyFont="1" applyBorder="1" applyAlignment="1">
      <alignment horizontal="left" vertical="top" wrapText="1" indent="2"/>
    </xf>
    <xf numFmtId="0" fontId="130" fillId="0" borderId="7" xfId="0" applyFont="1" applyBorder="1"/>
    <xf numFmtId="0" fontId="128" fillId="0" borderId="105" xfId="0" applyFont="1" applyBorder="1" applyAlignment="1">
      <alignment horizontal="left" indent="1"/>
    </xf>
    <xf numFmtId="0" fontId="128" fillId="0" borderId="105" xfId="0" applyFont="1" applyBorder="1" applyAlignment="1">
      <alignment horizontal="left" indent="2"/>
    </xf>
    <xf numFmtId="0" fontId="11" fillId="0" borderId="105" xfId="17" applyFill="1" applyBorder="1" applyAlignment="1" applyProtection="1">
      <alignment wrapText="1"/>
    </xf>
    <xf numFmtId="49" fontId="119" fillId="0" borderId="105" xfId="0" applyNumberFormat="1" applyFont="1" applyBorder="1" applyAlignment="1">
      <alignment horizontal="left" wrapText="1" indent="1"/>
    </xf>
    <xf numFmtId="0" fontId="128" fillId="0" borderId="105" xfId="0" applyFont="1" applyBorder="1" applyAlignment="1">
      <alignment horizontal="left" vertical="center" wrapText="1" indent="2"/>
    </xf>
    <xf numFmtId="0" fontId="119" fillId="0" borderId="0" xfId="0" applyFont="1" applyAlignment="1">
      <alignment horizontal="left" vertical="top" wrapText="1"/>
    </xf>
    <xf numFmtId="0" fontId="125" fillId="0" borderId="105" xfId="13" applyFont="1" applyBorder="1" applyAlignment="1" applyProtection="1">
      <alignment horizontal="left" vertical="center" wrapText="1"/>
      <protection locked="0"/>
    </xf>
    <xf numFmtId="0" fontId="2" fillId="0" borderId="21" xfId="0" applyFont="1" applyBorder="1" applyAlignment="1">
      <alignment horizontal="left" vertical="center" wrapText="1" indent="1"/>
    </xf>
    <xf numFmtId="169" fontId="28" fillId="37" borderId="0" xfId="20"/>
    <xf numFmtId="193" fontId="4" fillId="0" borderId="105" xfId="0" applyNumberFormat="1" applyFont="1" applyBorder="1" applyAlignment="1" applyProtection="1">
      <alignment vertical="center" wrapText="1"/>
      <protection locked="0"/>
    </xf>
    <xf numFmtId="193" fontId="4" fillId="0" borderId="119" xfId="0" applyNumberFormat="1" applyFont="1" applyBorder="1" applyAlignment="1" applyProtection="1">
      <alignment vertical="center" wrapText="1"/>
      <protection locked="0"/>
    </xf>
    <xf numFmtId="10" fontId="4" fillId="0" borderId="105" xfId="20961" applyNumberFormat="1" applyFont="1" applyFill="1" applyBorder="1" applyAlignment="1" applyProtection="1">
      <alignment vertical="center" wrapText="1"/>
      <protection locked="0"/>
    </xf>
    <xf numFmtId="10" fontId="4" fillId="0" borderId="119" xfId="20961" applyNumberFormat="1" applyFont="1" applyFill="1" applyBorder="1" applyAlignment="1" applyProtection="1">
      <alignment vertical="center" wrapText="1"/>
      <protection locked="0"/>
    </xf>
    <xf numFmtId="10" fontId="17" fillId="2" borderId="119" xfId="20961" applyNumberFormat="1" applyFont="1" applyFill="1" applyBorder="1" applyAlignment="1" applyProtection="1">
      <alignment vertical="center"/>
      <protection locked="0"/>
    </xf>
    <xf numFmtId="9" fontId="17" fillId="2" borderId="26" xfId="20961" applyFont="1" applyFill="1" applyBorder="1" applyAlignment="1" applyProtection="1">
      <alignment vertical="center"/>
      <protection locked="0"/>
    </xf>
    <xf numFmtId="9" fontId="17" fillId="2" borderId="27" xfId="20961" applyFont="1" applyFill="1" applyBorder="1" applyAlignment="1" applyProtection="1">
      <alignment vertical="center"/>
      <protection locked="0"/>
    </xf>
    <xf numFmtId="193" fontId="9" fillId="0" borderId="105" xfId="0" applyNumberFormat="1" applyFont="1" applyBorder="1" applyAlignment="1" applyProtection="1">
      <alignment vertical="center"/>
      <protection locked="0"/>
    </xf>
    <xf numFmtId="193" fontId="9" fillId="0" borderId="119" xfId="0" applyNumberFormat="1" applyFont="1" applyBorder="1" applyAlignment="1" applyProtection="1">
      <alignment vertical="center"/>
      <protection locked="0"/>
    </xf>
    <xf numFmtId="193" fontId="17" fillId="0" borderId="105" xfId="0" applyNumberFormat="1" applyFont="1" applyBorder="1" applyAlignment="1" applyProtection="1">
      <alignment vertical="center"/>
      <protection locked="0"/>
    </xf>
    <xf numFmtId="193" fontId="17" fillId="0" borderId="119" xfId="0" applyNumberFormat="1" applyFont="1" applyBorder="1" applyAlignment="1" applyProtection="1">
      <alignment vertical="center"/>
      <protection locked="0"/>
    </xf>
    <xf numFmtId="9" fontId="17" fillId="0" borderId="26" xfId="20961" applyFont="1" applyFill="1" applyBorder="1" applyAlignment="1" applyProtection="1">
      <alignment vertical="center"/>
      <protection locked="0"/>
    </xf>
    <xf numFmtId="9" fontId="17" fillId="0" borderId="27" xfId="20961" applyFont="1" applyFill="1" applyBorder="1" applyAlignment="1" applyProtection="1">
      <alignment vertical="center"/>
      <protection locked="0"/>
    </xf>
    <xf numFmtId="193" fontId="9" fillId="0" borderId="105" xfId="7" applyNumberFormat="1" applyFont="1" applyFill="1" applyBorder="1" applyAlignment="1" applyProtection="1">
      <alignment horizontal="right"/>
    </xf>
    <xf numFmtId="193" fontId="9" fillId="36" borderId="105" xfId="7" applyNumberFormat="1" applyFont="1" applyFill="1" applyBorder="1" applyAlignment="1" applyProtection="1">
      <alignment horizontal="right"/>
    </xf>
    <xf numFmtId="193" fontId="9" fillId="0" borderId="104" xfId="0" applyNumberFormat="1" applyFont="1" applyBorder="1" applyAlignment="1">
      <alignment horizontal="right"/>
    </xf>
    <xf numFmtId="193" fontId="9" fillId="0" borderId="105" xfId="0" applyNumberFormat="1" applyFont="1" applyBorder="1" applyAlignment="1">
      <alignment horizontal="right"/>
    </xf>
    <xf numFmtId="193" fontId="9" fillId="36" borderId="119" xfId="0" applyNumberFormat="1" applyFont="1" applyFill="1" applyBorder="1" applyAlignment="1">
      <alignment horizontal="right"/>
    </xf>
    <xf numFmtId="193" fontId="9" fillId="0" borderId="105" xfId="7" applyNumberFormat="1" applyFont="1" applyFill="1" applyBorder="1" applyAlignment="1" applyProtection="1">
      <alignment horizontal="right"/>
      <protection locked="0"/>
    </xf>
    <xf numFmtId="193" fontId="9" fillId="0" borderId="104" xfId="0" applyNumberFormat="1" applyFont="1" applyBorder="1" applyAlignment="1" applyProtection="1">
      <alignment horizontal="right"/>
      <protection locked="0"/>
    </xf>
    <xf numFmtId="193" fontId="9" fillId="0" borderId="105" xfId="0" applyNumberFormat="1" applyFont="1" applyBorder="1" applyAlignment="1" applyProtection="1">
      <alignment horizontal="right"/>
      <protection locked="0"/>
    </xf>
    <xf numFmtId="193" fontId="9" fillId="0" borderId="119" xfId="0" applyNumberFormat="1" applyFont="1" applyBorder="1" applyAlignment="1">
      <alignment horizontal="right"/>
    </xf>
    <xf numFmtId="0" fontId="104" fillId="0" borderId="105" xfId="0" applyFont="1" applyBorder="1"/>
    <xf numFmtId="0" fontId="132" fillId="70" borderId="105" xfId="17" applyFont="1" applyFill="1" applyBorder="1" applyAlignment="1" applyProtection="1">
      <alignment horizontal="left" vertical="center"/>
      <protection locked="0"/>
    </xf>
    <xf numFmtId="193" fontId="20" fillId="0" borderId="105" xfId="0" applyNumberFormat="1" applyFont="1" applyBorder="1" applyAlignment="1" applyProtection="1">
      <alignment horizontal="right"/>
      <protection locked="0"/>
    </xf>
    <xf numFmtId="193" fontId="9" fillId="36" borderId="119" xfId="7" applyNumberFormat="1" applyFont="1" applyFill="1" applyBorder="1" applyAlignment="1" applyProtection="1">
      <alignment horizontal="right"/>
    </xf>
    <xf numFmtId="193" fontId="20" fillId="36" borderId="105" xfId="0" applyNumberFormat="1" applyFont="1" applyFill="1" applyBorder="1" applyAlignment="1">
      <alignment horizontal="right"/>
    </xf>
    <xf numFmtId="193" fontId="9" fillId="0" borderId="119" xfId="7" applyNumberFormat="1" applyFont="1" applyFill="1" applyBorder="1" applyAlignment="1" applyProtection="1">
      <alignment horizontal="right"/>
    </xf>
    <xf numFmtId="193" fontId="21" fillId="0" borderId="105" xfId="0" applyNumberFormat="1" applyFont="1" applyBorder="1" applyAlignment="1">
      <alignment horizontal="center"/>
    </xf>
    <xf numFmtId="193" fontId="21" fillId="0" borderId="119" xfId="0" applyNumberFormat="1" applyFont="1" applyBorder="1" applyAlignment="1">
      <alignment horizontal="center"/>
    </xf>
    <xf numFmtId="193" fontId="20" fillId="0" borderId="119" xfId="0" applyNumberFormat="1" applyFont="1" applyBorder="1" applyAlignment="1" applyProtection="1">
      <alignment horizontal="right"/>
      <protection locked="0"/>
    </xf>
    <xf numFmtId="193" fontId="20" fillId="0" borderId="105" xfId="0" applyNumberFormat="1" applyFont="1" applyBorder="1" applyAlignment="1" applyProtection="1">
      <alignment horizontal="left" indent="1"/>
      <protection locked="0"/>
    </xf>
    <xf numFmtId="193" fontId="9" fillId="36" borderId="105" xfId="7" applyNumberFormat="1" applyFont="1" applyFill="1" applyBorder="1" applyAlignment="1" applyProtection="1"/>
    <xf numFmtId="193" fontId="20" fillId="0" borderId="105" xfId="0" applyNumberFormat="1" applyFont="1" applyBorder="1" applyProtection="1">
      <protection locked="0"/>
    </xf>
    <xf numFmtId="193" fontId="9" fillId="36" borderId="119" xfId="7" applyNumberFormat="1" applyFont="1" applyFill="1" applyBorder="1" applyAlignment="1" applyProtection="1"/>
    <xf numFmtId="193" fontId="20" fillId="0" borderId="105" xfId="0" applyNumberFormat="1" applyFont="1" applyBorder="1" applyAlignment="1" applyProtection="1">
      <alignment horizontal="right" vertical="center"/>
      <protection locked="0"/>
    </xf>
    <xf numFmtId="193" fontId="9" fillId="36" borderId="105" xfId="0" applyNumberFormat="1" applyFont="1" applyFill="1" applyBorder="1" applyAlignment="1">
      <alignment horizontal="right"/>
    </xf>
    <xf numFmtId="0" fontId="13" fillId="0" borderId="106" xfId="0" applyFont="1" applyBorder="1" applyAlignment="1">
      <alignment wrapText="1"/>
    </xf>
    <xf numFmtId="0" fontId="9" fillId="0" borderId="106" xfId="0" applyFont="1" applyBorder="1" applyAlignment="1">
      <alignment wrapText="1"/>
    </xf>
    <xf numFmtId="0" fontId="13" fillId="0" borderId="105" xfId="0" applyFont="1" applyBorder="1" applyAlignment="1">
      <alignment wrapText="1"/>
    </xf>
    <xf numFmtId="9" fontId="4" fillId="0" borderId="24" xfId="20961" applyFont="1" applyBorder="1" applyAlignment="1"/>
    <xf numFmtId="9" fontId="4" fillId="0" borderId="119" xfId="0" applyNumberFormat="1" applyFont="1" applyBorder="1"/>
    <xf numFmtId="167" fontId="133" fillId="0" borderId="105" xfId="0" applyNumberFormat="1" applyFont="1" applyBorder="1" applyAlignment="1">
      <alignment horizontal="center" vertical="center"/>
    </xf>
    <xf numFmtId="167" fontId="26" fillId="0" borderId="105" xfId="0" applyNumberFormat="1" applyFont="1" applyBorder="1" applyAlignment="1">
      <alignment horizontal="center" vertical="center"/>
    </xf>
    <xf numFmtId="167" fontId="26" fillId="0" borderId="119" xfId="0" applyNumberFormat="1" applyFont="1" applyBorder="1" applyAlignment="1">
      <alignment horizontal="center" vertical="center"/>
    </xf>
    <xf numFmtId="193" fontId="0" fillId="0" borderId="119" xfId="0" applyNumberFormat="1" applyBorder="1"/>
    <xf numFmtId="193" fontId="0" fillId="0" borderId="119" xfId="0" applyNumberFormat="1" applyBorder="1" applyAlignment="1">
      <alignment wrapText="1"/>
    </xf>
    <xf numFmtId="193" fontId="7" fillId="36" borderId="119" xfId="2" applyNumberFormat="1" applyFont="1" applyFill="1" applyBorder="1" applyAlignment="1" applyProtection="1">
      <alignment vertical="top"/>
    </xf>
    <xf numFmtId="193" fontId="7" fillId="3" borderId="119" xfId="2" applyNumberFormat="1" applyFont="1" applyFill="1" applyBorder="1" applyAlignment="1" applyProtection="1">
      <alignment vertical="top"/>
      <protection locked="0"/>
    </xf>
    <xf numFmtId="193" fontId="7" fillId="36" borderId="119" xfId="2" applyNumberFormat="1" applyFont="1" applyFill="1" applyBorder="1" applyAlignment="1" applyProtection="1">
      <alignment vertical="top" wrapText="1"/>
    </xf>
    <xf numFmtId="193" fontId="7" fillId="3" borderId="119" xfId="2" applyNumberFormat="1" applyFont="1" applyFill="1" applyBorder="1" applyAlignment="1" applyProtection="1">
      <alignment vertical="top" wrapText="1"/>
      <protection locked="0"/>
    </xf>
    <xf numFmtId="193" fontId="7" fillId="36" borderId="119" xfId="2" applyNumberFormat="1" applyFont="1" applyFill="1" applyBorder="1" applyAlignment="1" applyProtection="1">
      <alignment vertical="top" wrapText="1"/>
      <protection locked="0"/>
    </xf>
    <xf numFmtId="10" fontId="7" fillId="0" borderId="105" xfId="20961" applyNumberFormat="1" applyFont="1" applyFill="1" applyBorder="1" applyAlignment="1">
      <alignment horizontal="center" vertical="center" wrapText="1"/>
    </xf>
    <xf numFmtId="164" fontId="4" fillId="0" borderId="119" xfId="7" applyNumberFormat="1" applyFont="1" applyFill="1" applyBorder="1" applyAlignment="1">
      <alignment horizontal="right" vertical="center" wrapText="1"/>
    </xf>
    <xf numFmtId="10" fontId="4" fillId="0"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right" vertical="center" wrapText="1"/>
    </xf>
    <xf numFmtId="10" fontId="111" fillId="0" borderId="105" xfId="20961" applyNumberFormat="1" applyFont="1" applyFill="1" applyBorder="1" applyAlignment="1">
      <alignment horizontal="center" vertical="center" wrapText="1"/>
    </xf>
    <xf numFmtId="164" fontId="111" fillId="0" borderId="119" xfId="7" applyNumberFormat="1" applyFont="1" applyFill="1" applyBorder="1" applyAlignment="1">
      <alignment horizontal="right" vertical="center" wrapText="1"/>
    </xf>
    <xf numFmtId="10" fontId="6" fillId="36" borderId="105" xfId="20961" applyNumberFormat="1" applyFont="1" applyFill="1" applyBorder="1" applyAlignment="1">
      <alignment horizontal="center" vertical="center" wrapText="1"/>
    </xf>
    <xf numFmtId="164" fontId="6" fillId="36" borderId="119" xfId="7"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center" vertical="center"/>
    </xf>
    <xf numFmtId="164" fontId="7" fillId="0" borderId="27" xfId="7" applyNumberFormat="1" applyFont="1" applyFill="1" applyBorder="1" applyAlignment="1" applyProtection="1">
      <alignment horizontal="right" vertical="center"/>
    </xf>
    <xf numFmtId="0" fontId="25" fillId="0" borderId="121" xfId="0" applyFont="1" applyBorder="1" applyAlignment="1">
      <alignment horizontal="center"/>
    </xf>
    <xf numFmtId="0" fontId="25" fillId="0" borderId="139" xfId="0" applyFont="1" applyBorder="1" applyAlignment="1">
      <alignment wrapText="1"/>
    </xf>
    <xf numFmtId="193" fontId="25" fillId="0" borderId="140" xfId="0" applyNumberFormat="1" applyFont="1" applyBorder="1" applyAlignment="1">
      <alignment vertical="center"/>
    </xf>
    <xf numFmtId="167" fontId="25" fillId="0" borderId="141" xfId="0" applyNumberFormat="1" applyFont="1" applyBorder="1" applyAlignment="1">
      <alignment horizontal="center"/>
    </xf>
    <xf numFmtId="0" fontId="19" fillId="0" borderId="12" xfId="0" applyFont="1" applyBorder="1" applyAlignment="1">
      <alignment horizontal="left" wrapText="1" indent="6"/>
    </xf>
    <xf numFmtId="193" fontId="9" fillId="0" borderId="140" xfId="0" applyNumberFormat="1" applyFont="1" applyBorder="1" applyAlignment="1">
      <alignment vertical="center"/>
    </xf>
    <xf numFmtId="0" fontId="19" fillId="0" borderId="12" xfId="0" applyFont="1" applyBorder="1" applyAlignment="1">
      <alignment horizontal="left" wrapText="1"/>
    </xf>
    <xf numFmtId="193" fontId="9" fillId="0" borderId="14" xfId="0" applyNumberFormat="1" applyFont="1" applyBorder="1" applyAlignment="1">
      <alignment vertical="center"/>
    </xf>
    <xf numFmtId="0" fontId="19" fillId="0" borderId="13" xfId="0" applyFont="1" applyBorder="1" applyAlignment="1">
      <alignment horizontal="left" wrapText="1" indent="3"/>
    </xf>
    <xf numFmtId="193" fontId="9" fillId="0" borderId="15" xfId="0" applyNumberFormat="1" applyFont="1" applyBorder="1" applyAlignment="1">
      <alignment vertical="center"/>
    </xf>
    <xf numFmtId="193" fontId="9" fillId="0" borderId="142" xfId="0" applyNumberFormat="1" applyFont="1" applyBorder="1" applyAlignment="1">
      <alignment vertical="center"/>
    </xf>
    <xf numFmtId="193" fontId="4" fillId="0" borderId="105" xfId="0" applyNumberFormat="1" applyFont="1" applyBorder="1"/>
    <xf numFmtId="193" fontId="4" fillId="0" borderId="106" xfId="0" applyNumberFormat="1" applyFont="1" applyBorder="1"/>
    <xf numFmtId="167" fontId="4" fillId="0" borderId="119" xfId="0" applyNumberFormat="1" applyFont="1" applyBorder="1"/>
    <xf numFmtId="164" fontId="4" fillId="36" borderId="27" xfId="7" applyNumberFormat="1" applyFont="1" applyFill="1" applyBorder="1"/>
    <xf numFmtId="193" fontId="4" fillId="0" borderId="121" xfId="0" applyNumberFormat="1" applyFont="1" applyBorder="1"/>
    <xf numFmtId="193" fontId="4" fillId="0" borderId="119" xfId="0" applyNumberFormat="1" applyFont="1" applyBorder="1"/>
    <xf numFmtId="193" fontId="4" fillId="0" borderId="24" xfId="0" applyNumberFormat="1" applyFont="1" applyBorder="1"/>
    <xf numFmtId="193" fontId="4" fillId="36" borderId="143" xfId="0" applyNumberFormat="1" applyFont="1" applyFill="1" applyBorder="1"/>
    <xf numFmtId="9" fontId="4" fillId="0" borderId="119" xfId="20961" applyFont="1" applyBorder="1"/>
    <xf numFmtId="164" fontId="4" fillId="0" borderId="106" xfId="7" applyNumberFormat="1" applyFont="1" applyFill="1" applyBorder="1" applyAlignment="1">
      <alignment vertical="center"/>
    </xf>
    <xf numFmtId="164" fontId="4" fillId="0" borderId="119" xfId="7" applyNumberFormat="1" applyFont="1" applyFill="1" applyBorder="1" applyAlignment="1">
      <alignment vertical="center"/>
    </xf>
    <xf numFmtId="164" fontId="6" fillId="0" borderId="105" xfId="7" applyNumberFormat="1" applyFont="1" applyFill="1" applyBorder="1" applyAlignment="1">
      <alignment vertical="center"/>
    </xf>
    <xf numFmtId="164" fontId="6" fillId="0" borderId="119" xfId="7" applyNumberFormat="1" applyFont="1" applyFill="1" applyBorder="1" applyAlignment="1">
      <alignment vertical="center"/>
    </xf>
    <xf numFmtId="164" fontId="6" fillId="0" borderId="26" xfId="7" applyNumberFormat="1" applyFont="1" applyFill="1" applyBorder="1" applyAlignment="1">
      <alignment vertical="center"/>
    </xf>
    <xf numFmtId="164" fontId="6"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1"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9" xfId="20961" applyNumberFormat="1" applyFont="1" applyFill="1" applyBorder="1" applyAlignment="1">
      <alignment vertical="center"/>
    </xf>
    <xf numFmtId="10" fontId="4" fillId="0" borderId="115" xfId="20961" applyNumberFormat="1" applyFont="1" applyFill="1" applyBorder="1" applyAlignment="1">
      <alignment vertical="center"/>
    </xf>
    <xf numFmtId="193" fontId="9" fillId="3" borderId="105" xfId="5" applyNumberFormat="1" applyFont="1" applyFill="1" applyBorder="1" applyProtection="1">
      <protection locked="0"/>
    </xf>
    <xf numFmtId="10" fontId="115" fillId="80" borderId="105" xfId="20961" applyNumberFormat="1" applyFont="1" applyFill="1" applyBorder="1" applyAlignment="1" applyProtection="1">
      <alignment horizontal="right" vertical="center"/>
    </xf>
    <xf numFmtId="0" fontId="4" fillId="3" borderId="0" xfId="0" applyFont="1" applyFill="1"/>
    <xf numFmtId="164" fontId="119" fillId="0" borderId="105" xfId="7" applyNumberFormat="1" applyFont="1" applyBorder="1"/>
    <xf numFmtId="164" fontId="122" fillId="0" borderId="105" xfId="7" applyNumberFormat="1" applyFont="1" applyBorder="1"/>
    <xf numFmtId="14" fontId="119" fillId="0" borderId="0" xfId="0" applyNumberFormat="1" applyFont="1" applyAlignment="1">
      <alignment wrapText="1"/>
    </xf>
    <xf numFmtId="43" fontId="119" fillId="0" borderId="0" xfId="0" applyNumberFormat="1" applyFont="1"/>
    <xf numFmtId="164" fontId="118" fillId="36" borderId="105" xfId="7" applyNumberFormat="1" applyFont="1" applyFill="1" applyBorder="1"/>
    <xf numFmtId="164" fontId="119" fillId="81" borderId="105" xfId="7" applyNumberFormat="1" applyFont="1" applyFill="1" applyBorder="1"/>
    <xf numFmtId="164" fontId="122" fillId="81" borderId="105" xfId="7" applyNumberFormat="1" applyFont="1" applyFill="1" applyBorder="1"/>
    <xf numFmtId="164" fontId="119" fillId="0" borderId="105" xfId="7" applyNumberFormat="1" applyFont="1" applyBorder="1" applyAlignment="1">
      <alignment horizontal="left" indent="1"/>
    </xf>
    <xf numFmtId="164" fontId="119" fillId="82" borderId="105" xfId="7" applyNumberFormat="1" applyFont="1" applyFill="1" applyBorder="1"/>
    <xf numFmtId="164" fontId="122" fillId="0" borderId="7" xfId="7" applyNumberFormat="1" applyFont="1" applyBorder="1"/>
    <xf numFmtId="164" fontId="119" fillId="0" borderId="105" xfId="7" applyNumberFormat="1" applyFont="1" applyBorder="1" applyAlignment="1">
      <alignment horizontal="left" indent="2"/>
    </xf>
    <xf numFmtId="164" fontId="119" fillId="0" borderId="105" xfId="7" applyNumberFormat="1" applyFont="1" applyBorder="1" applyAlignment="1">
      <alignment horizontal="left" indent="3"/>
    </xf>
    <xf numFmtId="164" fontId="119" fillId="83" borderId="105" xfId="7" applyNumberFormat="1" applyFont="1" applyFill="1" applyBorder="1"/>
    <xf numFmtId="164" fontId="119" fillId="0" borderId="105" xfId="7" applyNumberFormat="1" applyFont="1" applyBorder="1" applyAlignment="1">
      <alignment horizontal="left" vertical="top" wrapText="1" indent="2"/>
    </xf>
    <xf numFmtId="164" fontId="119" fillId="0" borderId="105" xfId="7" applyNumberFormat="1" applyFont="1" applyBorder="1" applyAlignment="1">
      <alignment horizontal="left" wrapText="1" indent="3"/>
    </xf>
    <xf numFmtId="164" fontId="119" fillId="0" borderId="105" xfId="7" applyNumberFormat="1" applyFont="1" applyBorder="1" applyAlignment="1">
      <alignment horizontal="left" wrapText="1" indent="2"/>
    </xf>
    <xf numFmtId="164" fontId="119" fillId="0" borderId="105" xfId="7" applyNumberFormat="1" applyFont="1" applyBorder="1" applyAlignment="1">
      <alignment horizontal="left" wrapText="1" indent="1"/>
    </xf>
    <xf numFmtId="164" fontId="118" fillId="0" borderId="105" xfId="7" applyNumberFormat="1" applyFont="1" applyBorder="1" applyAlignment="1">
      <alignment horizontal="left" vertical="center" wrapText="1"/>
    </xf>
    <xf numFmtId="164" fontId="119" fillId="0" borderId="105" xfId="7" applyNumberFormat="1" applyFont="1" applyBorder="1" applyAlignment="1">
      <alignment horizontal="center" vertical="center" wrapText="1"/>
    </xf>
    <xf numFmtId="164" fontId="119" fillId="0" borderId="105" xfId="7" applyNumberFormat="1" applyFont="1" applyBorder="1" applyAlignment="1">
      <alignment horizontal="center" vertical="center"/>
    </xf>
    <xf numFmtId="164" fontId="121" fillId="0" borderId="105" xfId="7" applyNumberFormat="1" applyFont="1" applyBorder="1" applyAlignment="1">
      <alignment horizontal="left" vertical="center" wrapText="1"/>
    </xf>
    <xf numFmtId="0" fontId="0" fillId="0" borderId="7" xfId="0" applyBorder="1"/>
    <xf numFmtId="0" fontId="127" fillId="0" borderId="105" xfId="0" applyFont="1" applyBorder="1" applyAlignment="1">
      <alignment horizontal="left" indent="2"/>
    </xf>
    <xf numFmtId="0" fontId="135" fillId="0" borderId="144" xfId="0" applyFont="1" applyBorder="1" applyAlignment="1">
      <alignment vertical="center" wrapText="1" readingOrder="1"/>
    </xf>
    <xf numFmtId="0" fontId="127" fillId="0" borderId="105" xfId="0" applyFont="1" applyBorder="1"/>
    <xf numFmtId="0" fontId="135" fillId="0" borderId="145" xfId="0" applyFont="1" applyBorder="1" applyAlignment="1">
      <alignment vertical="center" wrapText="1" readingOrder="1"/>
    </xf>
    <xf numFmtId="0" fontId="127" fillId="0" borderId="105" xfId="0" applyFont="1" applyBorder="1" applyAlignment="1">
      <alignment horizontal="left" indent="3"/>
    </xf>
    <xf numFmtId="0" fontId="135" fillId="0" borderId="145" xfId="0" applyFont="1" applyBorder="1" applyAlignment="1">
      <alignment horizontal="left" vertical="center" wrapText="1" indent="1" readingOrder="1"/>
    </xf>
    <xf numFmtId="0" fontId="127" fillId="0" borderId="100" xfId="0" applyFont="1" applyBorder="1" applyAlignment="1">
      <alignment horizontal="left" indent="2"/>
    </xf>
    <xf numFmtId="0" fontId="135" fillId="0" borderId="146" xfId="0" applyFont="1" applyBorder="1" applyAlignment="1">
      <alignment vertical="center" wrapText="1" readingOrder="1"/>
    </xf>
    <xf numFmtId="0" fontId="136" fillId="0" borderId="105" xfId="0" applyFont="1" applyBorder="1" applyAlignment="1">
      <alignment vertical="center" wrapText="1" readingOrder="1"/>
    </xf>
    <xf numFmtId="0" fontId="108" fillId="0" borderId="0" xfId="0" applyFont="1"/>
    <xf numFmtId="49" fontId="108" fillId="0" borderId="105"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82" xfId="0" applyNumberFormat="1" applyFont="1" applyBorder="1" applyAlignment="1">
      <alignment horizontal="right" vertical="center"/>
    </xf>
    <xf numFmtId="49" fontId="108" fillId="0" borderId="85" xfId="0" applyNumberFormat="1" applyFont="1" applyBorder="1" applyAlignment="1">
      <alignment horizontal="right" vertical="center"/>
    </xf>
    <xf numFmtId="0" fontId="108" fillId="0" borderId="92" xfId="0" applyFont="1" applyBorder="1" applyAlignment="1">
      <alignment horizontal="right" vertical="center"/>
    </xf>
    <xf numFmtId="0" fontId="108" fillId="0" borderId="92" xfId="0" applyFont="1" applyBorder="1" applyAlignment="1">
      <alignment horizontal="left" vertical="center"/>
    </xf>
    <xf numFmtId="0" fontId="108" fillId="0" borderId="90" xfId="0"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3" borderId="105" xfId="5" applyFont="1" applyFill="1" applyBorder="1" applyAlignment="1" applyProtection="1">
      <alignment horizontal="right" vertical="center"/>
      <protection locked="0"/>
    </xf>
    <xf numFmtId="0" fontId="108" fillId="0" borderId="105" xfId="0" applyFont="1" applyBorder="1" applyAlignment="1">
      <alignment vertical="center" wrapText="1"/>
    </xf>
    <xf numFmtId="0" fontId="108" fillId="0" borderId="105" xfId="0" applyFont="1" applyBorder="1" applyAlignment="1">
      <alignment horizontal="left" vertical="center" wrapText="1"/>
    </xf>
    <xf numFmtId="0" fontId="128" fillId="0" borderId="105" xfId="0" applyFont="1" applyBorder="1" applyAlignment="1">
      <alignment horizontal="left" vertical="center" wrapText="1"/>
    </xf>
    <xf numFmtId="0" fontId="108" fillId="0" borderId="105" xfId="0" applyFont="1" applyBorder="1" applyAlignment="1">
      <alignment vertical="center"/>
    </xf>
    <xf numFmtId="0" fontId="128" fillId="0" borderId="105" xfId="0" applyFont="1" applyBorder="1" applyAlignment="1">
      <alignment vertical="center" wrapText="1"/>
    </xf>
    <xf numFmtId="0" fontId="108" fillId="0" borderId="104" xfId="0" applyFont="1" applyBorder="1" applyAlignment="1">
      <alignment horizontal="left" vertical="center" wrapText="1"/>
    </xf>
    <xf numFmtId="0" fontId="108" fillId="0" borderId="105" xfId="0" applyFont="1" applyBorder="1" applyAlignment="1">
      <alignment horizontal="right" vertical="center"/>
    </xf>
    <xf numFmtId="0" fontId="129" fillId="0" borderId="0" xfId="0" applyFont="1"/>
    <xf numFmtId="0" fontId="108" fillId="0" borderId="105" xfId="12672" applyFont="1" applyBorder="1" applyAlignment="1">
      <alignment horizontal="left" vertical="center" wrapText="1"/>
    </xf>
    <xf numFmtId="0" fontId="108" fillId="0" borderId="100" xfId="0" applyFont="1" applyBorder="1" applyAlignment="1">
      <alignment horizontal="left" vertical="top" wrapText="1"/>
    </xf>
    <xf numFmtId="0" fontId="108" fillId="0" borderId="105" xfId="12672" applyFont="1" applyBorder="1" applyAlignment="1">
      <alignment horizontal="left" vertical="center" wrapText="1" indent="2"/>
    </xf>
    <xf numFmtId="49" fontId="107" fillId="0" borderId="105" xfId="0" applyNumberFormat="1" applyFont="1" applyBorder="1" applyAlignment="1">
      <alignment horizontal="right" vertical="center"/>
    </xf>
    <xf numFmtId="0" fontId="119" fillId="0" borderId="0" xfId="0" applyFont="1" applyAlignment="1">
      <alignment horizontal="left" indent="1"/>
    </xf>
    <xf numFmtId="0" fontId="119" fillId="0" borderId="0" xfId="0" applyFont="1" applyAlignment="1">
      <alignment horizontal="left" indent="2"/>
    </xf>
    <xf numFmtId="49" fontId="128" fillId="0" borderId="105" xfId="0" applyNumberFormat="1" applyFont="1" applyBorder="1" applyAlignment="1">
      <alignment horizontal="left" indent="3"/>
    </xf>
    <xf numFmtId="49" fontId="119" fillId="0" borderId="0" xfId="0" applyNumberFormat="1" applyFont="1" applyAlignment="1">
      <alignment horizontal="left" indent="3"/>
    </xf>
    <xf numFmtId="49" fontId="128" fillId="0" borderId="105" xfId="0" applyNumberFormat="1" applyFont="1" applyBorder="1" applyAlignment="1">
      <alignment horizontal="left" vertical="center" indent="1"/>
    </xf>
    <xf numFmtId="49" fontId="119" fillId="0" borderId="0" xfId="0" applyNumberFormat="1" applyFont="1" applyAlignment="1">
      <alignment horizontal="left" indent="1"/>
    </xf>
    <xf numFmtId="49" fontId="128" fillId="0" borderId="105" xfId="0" applyNumberFormat="1" applyFont="1" applyBorder="1" applyAlignment="1">
      <alignment horizontal="left" vertical="top" wrapText="1" indent="2"/>
    </xf>
    <xf numFmtId="49" fontId="128" fillId="0" borderId="105" xfId="0" applyNumberFormat="1" applyFont="1" applyBorder="1" applyAlignment="1">
      <alignment horizontal="left" vertical="top" wrapText="1"/>
    </xf>
    <xf numFmtId="49" fontId="119" fillId="0" borderId="0" xfId="0" applyNumberFormat="1" applyFont="1" applyAlignment="1">
      <alignment horizontal="left" wrapText="1" indent="2"/>
    </xf>
    <xf numFmtId="49" fontId="128" fillId="0" borderId="105" xfId="0" applyNumberFormat="1" applyFont="1" applyBorder="1" applyAlignment="1">
      <alignment horizontal="left" wrapText="1" indent="3"/>
    </xf>
    <xf numFmtId="49" fontId="119" fillId="0" borderId="0" xfId="0" applyNumberFormat="1" applyFont="1" applyAlignment="1">
      <alignment horizontal="left" wrapText="1" indent="3"/>
    </xf>
    <xf numFmtId="49" fontId="128" fillId="0" borderId="105" xfId="0" applyNumberFormat="1" applyFont="1" applyBorder="1" applyAlignment="1">
      <alignment horizontal="left" wrapText="1" indent="2"/>
    </xf>
    <xf numFmtId="49" fontId="128" fillId="0" borderId="105" xfId="0" applyNumberFormat="1" applyFont="1" applyBorder="1" applyAlignment="1">
      <alignment horizontal="left" vertical="center" wrapText="1" indent="3"/>
    </xf>
    <xf numFmtId="49" fontId="128" fillId="0" borderId="105" xfId="0" applyNumberFormat="1" applyFont="1" applyBorder="1" applyAlignment="1">
      <alignment vertical="top" wrapText="1"/>
    </xf>
    <xf numFmtId="0" fontId="119" fillId="0" borderId="0" xfId="0" applyFont="1" applyAlignment="1">
      <alignment horizontal="left" wrapText="1" indent="1"/>
    </xf>
    <xf numFmtId="49" fontId="108" fillId="0" borderId="0" xfId="0" applyNumberFormat="1" applyFont="1" applyAlignment="1">
      <alignment horizontal="right" vertical="center"/>
    </xf>
    <xf numFmtId="0" fontId="118" fillId="0" borderId="105" xfId="0" applyFont="1" applyBorder="1" applyAlignment="1">
      <alignment vertical="center" wrapText="1"/>
    </xf>
    <xf numFmtId="0" fontId="118" fillId="0" borderId="105" xfId="0" applyFont="1" applyBorder="1" applyAlignment="1">
      <alignment horizontal="left" vertical="center" wrapText="1" indent="1"/>
    </xf>
    <xf numFmtId="0" fontId="118" fillId="0" borderId="105" xfId="0" applyFont="1" applyBorder="1" applyAlignment="1">
      <alignment horizontal="left" vertical="center" indent="1"/>
    </xf>
    <xf numFmtId="0" fontId="135" fillId="0" borderId="145" xfId="0" applyFont="1" applyBorder="1" applyAlignment="1">
      <alignment horizontal="left" vertical="center" wrapText="1" readingOrder="1"/>
    </xf>
    <xf numFmtId="0" fontId="127" fillId="0" borderId="105" xfId="0" applyFont="1" applyBorder="1" applyAlignment="1">
      <alignment horizontal="left" vertical="center" wrapText="1"/>
    </xf>
    <xf numFmtId="0" fontId="108" fillId="0" borderId="0" xfId="0" applyFont="1" applyAlignment="1">
      <alignment vertical="center" wrapText="1"/>
    </xf>
    <xf numFmtId="0" fontId="108" fillId="0" borderId="0" xfId="0" applyFont="1" applyAlignment="1">
      <alignment horizontal="left" vertical="center" wrapText="1"/>
    </xf>
    <xf numFmtId="43" fontId="127" fillId="0" borderId="105" xfId="7" applyFont="1" applyBorder="1"/>
    <xf numFmtId="43" fontId="127" fillId="0" borderId="100" xfId="7" applyFont="1" applyBorder="1"/>
    <xf numFmtId="164" fontId="127" fillId="0" borderId="105" xfId="7" applyNumberFormat="1" applyFont="1" applyBorder="1"/>
    <xf numFmtId="164" fontId="127" fillId="0" borderId="100" xfId="7" applyNumberFormat="1" applyFont="1" applyBorder="1"/>
    <xf numFmtId="9" fontId="127" fillId="0" borderId="105" xfId="20961" applyFont="1" applyBorder="1"/>
    <xf numFmtId="9" fontId="127" fillId="0" borderId="100" xfId="20961" applyFont="1" applyBorder="1"/>
    <xf numFmtId="164" fontId="137" fillId="0" borderId="105" xfId="7" applyNumberFormat="1" applyFont="1" applyBorder="1"/>
    <xf numFmtId="0" fontId="137" fillId="0" borderId="105" xfId="0" applyFont="1" applyBorder="1"/>
    <xf numFmtId="9" fontId="137" fillId="0" borderId="105" xfId="20961" applyFont="1" applyBorder="1"/>
    <xf numFmtId="43" fontId="137" fillId="0" borderId="105" xfId="7" applyFont="1" applyBorder="1"/>
    <xf numFmtId="164" fontId="122" fillId="82" borderId="105" xfId="7" applyNumberFormat="1" applyFont="1" applyFill="1" applyBorder="1"/>
    <xf numFmtId="0" fontId="106" fillId="0" borderId="72" xfId="0" applyFont="1" applyBorder="1" applyAlignment="1">
      <alignment horizontal="left" vertical="center" wrapText="1"/>
    </xf>
    <xf numFmtId="0" fontId="106" fillId="0" borderId="71"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5"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xf>
    <xf numFmtId="0" fontId="4" fillId="0" borderId="24" xfId="0" applyFont="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4" xfId="0" applyFont="1" applyFill="1" applyBorder="1" applyAlignment="1">
      <alignment horizontal="center" vertical="center" wrapText="1"/>
    </xf>
    <xf numFmtId="0" fontId="103" fillId="3" borderId="73" xfId="13" applyFont="1" applyFill="1" applyBorder="1" applyAlignment="1" applyProtection="1">
      <alignment horizontal="center" vertical="center" wrapText="1"/>
      <protection locked="0"/>
    </xf>
    <xf numFmtId="0" fontId="103" fillId="3" borderId="70"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6" xfId="1" applyNumberFormat="1" applyFont="1" applyFill="1" applyBorder="1" applyAlignment="1" applyProtection="1">
      <alignment horizontal="center" vertical="center" wrapText="1"/>
      <protection locked="0"/>
    </xf>
    <xf numFmtId="164" fontId="15" fillId="0" borderId="97" xfId="1" applyNumberFormat="1" applyFont="1" applyFill="1" applyBorder="1" applyAlignment="1" applyProtection="1">
      <alignment horizontal="center" vertical="center" wrapText="1"/>
      <protection locked="0"/>
    </xf>
    <xf numFmtId="0" fontId="4" fillId="0" borderId="73"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111" xfId="0" applyFont="1" applyBorder="1" applyAlignment="1">
      <alignment horizontal="center" vertical="center" wrapText="1"/>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1" fillId="0" borderId="126" xfId="0" applyFont="1" applyBorder="1" applyAlignment="1">
      <alignment horizontal="left" vertical="center" wrapText="1"/>
    </xf>
    <xf numFmtId="0" fontId="121" fillId="0" borderId="127" xfId="0" applyFont="1" applyBorder="1" applyAlignment="1">
      <alignment horizontal="left" vertical="center" wrapText="1"/>
    </xf>
    <xf numFmtId="0" fontId="121" fillId="0" borderId="129" xfId="0" applyFont="1" applyBorder="1" applyAlignment="1">
      <alignment horizontal="left" vertical="center" wrapText="1"/>
    </xf>
    <xf numFmtId="0" fontId="121" fillId="0" borderId="130" xfId="0" applyFont="1" applyBorder="1" applyAlignment="1">
      <alignment horizontal="left" vertical="center" wrapText="1"/>
    </xf>
    <xf numFmtId="0" fontId="121" fillId="0" borderId="132" xfId="0" applyFont="1" applyBorder="1" applyAlignment="1">
      <alignment horizontal="left" vertical="center" wrapText="1"/>
    </xf>
    <xf numFmtId="0" fontId="121" fillId="0" borderId="133" xfId="0" applyFont="1" applyBorder="1" applyAlignment="1">
      <alignment horizontal="left" vertical="center" wrapText="1"/>
    </xf>
    <xf numFmtId="0" fontId="122" fillId="0" borderId="101" xfId="0" applyFont="1" applyBorder="1" applyAlignment="1">
      <alignment horizontal="center" vertical="center" wrapText="1"/>
    </xf>
    <xf numFmtId="0" fontId="122" fillId="0" borderId="118" xfId="0" applyFont="1" applyBorder="1" applyAlignment="1">
      <alignment horizontal="center" vertical="center" wrapText="1"/>
    </xf>
    <xf numFmtId="0" fontId="122" fillId="0" borderId="128" xfId="0" applyFont="1" applyBorder="1" applyAlignment="1">
      <alignment horizontal="center" vertical="center" wrapText="1"/>
    </xf>
    <xf numFmtId="0" fontId="122" fillId="0" borderId="57" xfId="0" applyFont="1" applyBorder="1" applyAlignment="1">
      <alignment horizontal="center" vertical="center" wrapText="1"/>
    </xf>
    <xf numFmtId="0" fontId="122" fillId="0" borderId="131"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0"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5" xfId="0" applyFont="1" applyBorder="1" applyAlignment="1">
      <alignment horizontal="center" vertical="center" wrapText="1"/>
    </xf>
    <xf numFmtId="0" fontId="126" fillId="0" borderId="105" xfId="0" applyFont="1" applyBorder="1" applyAlignment="1">
      <alignment horizontal="center" vertical="center"/>
    </xf>
    <xf numFmtId="0" fontId="126" fillId="0" borderId="101" xfId="0" applyFont="1" applyBorder="1" applyAlignment="1">
      <alignment horizontal="center" vertical="center"/>
    </xf>
    <xf numFmtId="0" fontId="126" fillId="0" borderId="128" xfId="0" applyFont="1" applyBorder="1" applyAlignment="1">
      <alignment horizontal="center" vertical="center"/>
    </xf>
    <xf numFmtId="0" fontId="126" fillId="0" borderId="57" xfId="0" applyFont="1" applyBorder="1" applyAlignment="1">
      <alignment horizontal="center" vertical="center"/>
    </xf>
    <xf numFmtId="0" fontId="126" fillId="0" borderId="11" xfId="0" applyFont="1" applyBorder="1" applyAlignment="1">
      <alignment horizontal="center" vertical="center"/>
    </xf>
    <xf numFmtId="0" fontId="122" fillId="0" borderId="105" xfId="0" applyFont="1" applyBorder="1" applyAlignment="1">
      <alignment horizontal="center" vertical="center" wrapText="1"/>
    </xf>
    <xf numFmtId="0" fontId="122" fillId="0" borderId="134" xfId="0" applyFont="1" applyBorder="1" applyAlignment="1">
      <alignment horizontal="center" vertical="center" wrapText="1"/>
    </xf>
    <xf numFmtId="0" fontId="122" fillId="0" borderId="135"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104" xfId="0" applyFont="1" applyBorder="1" applyAlignment="1">
      <alignment horizontal="center" vertical="center" wrapText="1"/>
    </xf>
    <xf numFmtId="0" fontId="122" fillId="0" borderId="136"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36" xfId="0" applyFont="1" applyBorder="1" applyAlignment="1">
      <alignment horizontal="center" vertical="center" wrapText="1"/>
    </xf>
    <xf numFmtId="0" fontId="119" fillId="0" borderId="134" xfId="0" applyFont="1" applyBorder="1" applyAlignment="1">
      <alignment horizontal="center" vertical="center" wrapText="1"/>
    </xf>
    <xf numFmtId="0" fontId="119" fillId="0" borderId="0" xfId="0" applyFont="1" applyAlignment="1">
      <alignment horizontal="center" vertical="center" wrapText="1"/>
    </xf>
    <xf numFmtId="0" fontId="119" fillId="0" borderId="135"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1" xfId="0" applyFont="1" applyBorder="1" applyAlignment="1">
      <alignment horizontal="left" vertical="top" wrapText="1"/>
    </xf>
    <xf numFmtId="0" fontId="121" fillId="0" borderId="128" xfId="0" applyFont="1" applyBorder="1" applyAlignment="1">
      <alignment horizontal="left" vertical="top" wrapText="1"/>
    </xf>
    <xf numFmtId="0" fontId="121" fillId="0" borderId="134" xfId="0" applyFont="1" applyBorder="1" applyAlignment="1">
      <alignment horizontal="left" vertical="top" wrapText="1"/>
    </xf>
    <xf numFmtId="0" fontId="121" fillId="0" borderId="135" xfId="0" applyFont="1" applyBorder="1" applyAlignment="1">
      <alignment horizontal="left" vertical="top" wrapText="1"/>
    </xf>
    <xf numFmtId="0" fontId="121" fillId="0" borderId="57" xfId="0" applyFont="1" applyBorder="1" applyAlignment="1">
      <alignment horizontal="left" vertical="top" wrapText="1"/>
    </xf>
    <xf numFmtId="0" fontId="121" fillId="0" borderId="11" xfId="0" applyFont="1" applyBorder="1" applyAlignment="1">
      <alignment horizontal="left" vertical="top" wrapText="1"/>
    </xf>
    <xf numFmtId="0" fontId="119" fillId="0" borderId="101" xfId="0" applyFont="1" applyBorder="1" applyAlignment="1">
      <alignment horizontal="center" vertical="center"/>
    </xf>
    <xf numFmtId="0" fontId="119" fillId="0" borderId="118" xfId="0" applyFont="1" applyBorder="1" applyAlignment="1">
      <alignment horizontal="center" vertical="center"/>
    </xf>
    <xf numFmtId="0" fontId="119" fillId="0" borderId="128" xfId="0" applyFont="1" applyBorder="1" applyAlignment="1">
      <alignment horizontal="center" vertical="center"/>
    </xf>
    <xf numFmtId="0" fontId="119" fillId="0" borderId="101" xfId="0" applyFont="1" applyBorder="1" applyAlignment="1">
      <alignment horizontal="center" vertical="center" wrapText="1"/>
    </xf>
    <xf numFmtId="0" fontId="119" fillId="0" borderId="118" xfId="0" applyFont="1" applyBorder="1" applyAlignment="1">
      <alignment horizontal="center" vertical="center" wrapText="1"/>
    </xf>
    <xf numFmtId="0" fontId="119" fillId="0" borderId="128" xfId="0" applyFont="1" applyBorder="1" applyAlignment="1">
      <alignment horizontal="center" vertical="center" wrapText="1"/>
    </xf>
    <xf numFmtId="0" fontId="119" fillId="0" borderId="101" xfId="0" applyFont="1" applyBorder="1" applyAlignment="1">
      <alignment horizontal="center" vertical="top" wrapText="1"/>
    </xf>
    <xf numFmtId="0" fontId="119" fillId="0" borderId="118" xfId="0" applyFont="1" applyBorder="1" applyAlignment="1">
      <alignment horizontal="center" vertical="top" wrapText="1"/>
    </xf>
    <xf numFmtId="0" fontId="119" fillId="0" borderId="128" xfId="0" applyFont="1" applyBorder="1" applyAlignment="1">
      <alignment horizontal="center" vertical="top" wrapText="1"/>
    </xf>
    <xf numFmtId="0" fontId="119" fillId="0" borderId="103" xfId="0" applyFont="1" applyBorder="1" applyAlignment="1">
      <alignment horizontal="center" vertical="top" wrapText="1"/>
    </xf>
    <xf numFmtId="0" fontId="119" fillId="0" borderId="104" xfId="0" applyFont="1" applyBorder="1" applyAlignment="1">
      <alignment horizontal="center" vertical="top" wrapText="1"/>
    </xf>
    <xf numFmtId="0" fontId="119" fillId="0" borderId="100" xfId="0" applyFont="1" applyBorder="1" applyAlignment="1">
      <alignment horizontal="center" vertical="top" wrapText="1"/>
    </xf>
    <xf numFmtId="0" fontId="119" fillId="0" borderId="7" xfId="0" applyFont="1" applyBorder="1" applyAlignment="1">
      <alignment horizontal="center" vertical="top" wrapText="1"/>
    </xf>
    <xf numFmtId="0" fontId="121" fillId="0" borderId="137" xfId="0" applyFont="1" applyBorder="1" applyAlignment="1">
      <alignment horizontal="left" vertical="top" wrapText="1"/>
    </xf>
    <xf numFmtId="0" fontId="121" fillId="0" borderId="138" xfId="0" applyFont="1" applyBorder="1" applyAlignment="1">
      <alignment horizontal="left" vertical="top" wrapText="1"/>
    </xf>
    <xf numFmtId="0" fontId="127" fillId="0" borderId="105" xfId="0" applyFont="1" applyBorder="1" applyAlignment="1">
      <alignment horizontal="center" vertical="center" wrapText="1"/>
    </xf>
    <xf numFmtId="0" fontId="134" fillId="0" borderId="105" xfId="0" applyFont="1" applyBorder="1" applyAlignment="1">
      <alignment horizontal="center" vertical="center"/>
    </xf>
    <xf numFmtId="0" fontId="127" fillId="0" borderId="100" xfId="0" applyFont="1" applyBorder="1" applyAlignment="1">
      <alignment horizontal="center" vertical="center" wrapText="1"/>
    </xf>
    <xf numFmtId="0" fontId="108" fillId="0" borderId="106" xfId="0" applyFont="1" applyBorder="1" applyAlignment="1">
      <alignment horizontal="left" vertical="center" wrapText="1"/>
    </xf>
    <xf numFmtId="0" fontId="108" fillId="0" borderId="104" xfId="0" applyFont="1" applyBorder="1" applyAlignment="1">
      <alignment horizontal="left" vertical="center" wrapText="1"/>
    </xf>
    <xf numFmtId="0" fontId="108" fillId="0" borderId="106" xfId="0" applyFont="1" applyBorder="1" applyAlignment="1">
      <alignment horizontal="left"/>
    </xf>
    <xf numFmtId="0" fontId="108" fillId="0" borderId="104" xfId="0" applyFont="1" applyBorder="1" applyAlignment="1">
      <alignment horizontal="left"/>
    </xf>
    <xf numFmtId="0" fontId="108" fillId="3" borderId="106" xfId="0" applyFont="1" applyFill="1" applyBorder="1" applyAlignment="1">
      <alignment vertical="center" wrapText="1"/>
    </xf>
    <xf numFmtId="0" fontId="108" fillId="3" borderId="104" xfId="0" applyFont="1" applyFill="1" applyBorder="1" applyAlignment="1">
      <alignment vertical="center" wrapText="1"/>
    </xf>
    <xf numFmtId="0" fontId="107" fillId="0" borderId="76" xfId="0" applyFont="1" applyBorder="1" applyAlignment="1">
      <alignment horizontal="center" vertical="center"/>
    </xf>
    <xf numFmtId="0" fontId="107" fillId="0" borderId="77" xfId="0" applyFont="1" applyBorder="1" applyAlignment="1">
      <alignment horizontal="center" vertical="center"/>
    </xf>
    <xf numFmtId="0" fontId="107" fillId="0" borderId="78" xfId="0" applyFont="1" applyBorder="1" applyAlignment="1">
      <alignment horizontal="center" vertical="center"/>
    </xf>
    <xf numFmtId="0" fontId="108" fillId="0" borderId="105" xfId="0" applyFont="1" applyBorder="1" applyAlignment="1">
      <alignment horizontal="left" vertical="center" wrapText="1"/>
    </xf>
    <xf numFmtId="0" fontId="107" fillId="76" borderId="79" xfId="0" applyFont="1" applyFill="1" applyBorder="1" applyAlignment="1">
      <alignment horizontal="center" vertical="center" wrapText="1"/>
    </xf>
    <xf numFmtId="0" fontId="107" fillId="76" borderId="80" xfId="0" applyFont="1" applyFill="1" applyBorder="1" applyAlignment="1">
      <alignment horizontal="center" vertical="center" wrapText="1"/>
    </xf>
    <xf numFmtId="0" fontId="107" fillId="76" borderId="81"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0" borderId="106" xfId="0" applyFont="1" applyBorder="1" applyAlignment="1">
      <alignment vertical="center" wrapText="1"/>
    </xf>
    <xf numFmtId="0" fontId="108" fillId="0" borderId="104" xfId="0" applyFont="1" applyBorder="1" applyAlignment="1">
      <alignment vertical="center" wrapText="1"/>
    </xf>
    <xf numFmtId="0" fontId="108" fillId="3" borderId="83" xfId="0" applyFont="1" applyFill="1" applyBorder="1" applyAlignment="1">
      <alignment horizontal="left" vertical="center" wrapText="1"/>
    </xf>
    <xf numFmtId="0" fontId="108" fillId="3" borderId="84"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83" xfId="0" applyFont="1" applyBorder="1" applyAlignment="1">
      <alignment vertical="center" wrapText="1"/>
    </xf>
    <xf numFmtId="0" fontId="108" fillId="0" borderId="84" xfId="0" applyFont="1" applyBorder="1" applyAlignment="1">
      <alignment vertical="center" wrapText="1"/>
    </xf>
    <xf numFmtId="0" fontId="108" fillId="3" borderId="106" xfId="0" applyFont="1" applyFill="1" applyBorder="1" applyAlignment="1">
      <alignment horizontal="left" vertical="center" wrapText="1"/>
    </xf>
    <xf numFmtId="0" fontId="108" fillId="3" borderId="104" xfId="0" applyFont="1" applyFill="1" applyBorder="1" applyAlignment="1">
      <alignment horizontal="left" vertical="center" wrapText="1"/>
    </xf>
    <xf numFmtId="0" fontId="107" fillId="76" borderId="88"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9" xfId="0" applyFont="1" applyFill="1" applyBorder="1" applyAlignment="1">
      <alignment horizontal="center" vertical="center" wrapText="1"/>
    </xf>
    <xf numFmtId="0" fontId="108" fillId="78" borderId="106" xfId="0" applyFont="1" applyFill="1" applyBorder="1" applyAlignment="1">
      <alignment vertical="center" wrapText="1"/>
    </xf>
    <xf numFmtId="0" fontId="108" fillId="78" borderId="104" xfId="0" applyFont="1" applyFill="1" applyBorder="1" applyAlignment="1">
      <alignment vertical="center" wrapText="1"/>
    </xf>
    <xf numFmtId="0" fontId="107" fillId="76" borderId="93" xfId="0" applyFont="1" applyFill="1" applyBorder="1" applyAlignment="1">
      <alignment horizontal="center" vertical="center"/>
    </xf>
    <xf numFmtId="0" fontId="107" fillId="76" borderId="94" xfId="0" applyFont="1" applyFill="1" applyBorder="1" applyAlignment="1">
      <alignment horizontal="center" vertical="center"/>
    </xf>
    <xf numFmtId="0" fontId="107" fillId="76" borderId="95" xfId="0" applyFont="1" applyFill="1" applyBorder="1" applyAlignment="1">
      <alignment horizontal="center" vertical="center"/>
    </xf>
    <xf numFmtId="0" fontId="107" fillId="76" borderId="105" xfId="0" applyFont="1" applyFill="1" applyBorder="1" applyAlignment="1">
      <alignment horizontal="center" vertical="center" wrapText="1"/>
    </xf>
    <xf numFmtId="0" fontId="107" fillId="0" borderId="105" xfId="0" applyFont="1" applyBorder="1" applyAlignment="1">
      <alignment horizontal="center" vertical="center"/>
    </xf>
    <xf numFmtId="0" fontId="108" fillId="0" borderId="106" xfId="13" applyFont="1" applyBorder="1" applyAlignment="1" applyProtection="1">
      <alignment horizontal="left" vertical="top" wrapText="1"/>
      <protection locked="0"/>
    </xf>
    <xf numFmtId="0" fontId="108" fillId="0" borderId="104" xfId="13" applyFont="1" applyBorder="1" applyAlignment="1" applyProtection="1">
      <alignment horizontal="left" vertical="top" wrapText="1"/>
      <protection locked="0"/>
    </xf>
    <xf numFmtId="0" fontId="108" fillId="3" borderId="106" xfId="13" applyFont="1" applyFill="1" applyBorder="1" applyAlignment="1" applyProtection="1">
      <alignment horizontal="left" vertical="top" wrapText="1"/>
      <protection locked="0"/>
    </xf>
    <xf numFmtId="0" fontId="108" fillId="3" borderId="104" xfId="13" applyFont="1" applyFill="1" applyBorder="1" applyAlignment="1" applyProtection="1">
      <alignment horizontal="left" vertical="top" wrapText="1"/>
      <protection locked="0"/>
    </xf>
    <xf numFmtId="0" fontId="107" fillId="0" borderId="91" xfId="0" applyFont="1" applyBorder="1" applyAlignment="1">
      <alignment horizontal="center" vertical="center"/>
    </xf>
    <xf numFmtId="0" fontId="107" fillId="76" borderId="106" xfId="0" applyFont="1" applyFill="1" applyBorder="1" applyAlignment="1">
      <alignment horizontal="center" vertical="center" wrapText="1"/>
    </xf>
    <xf numFmtId="0" fontId="107" fillId="76" borderId="104" xfId="0" applyFont="1" applyFill="1" applyBorder="1" applyAlignment="1">
      <alignment horizontal="center" vertical="center" wrapText="1"/>
    </xf>
    <xf numFmtId="0" fontId="108" fillId="0" borderId="106" xfId="0" applyFont="1" applyBorder="1" applyAlignment="1">
      <alignment horizontal="left" vertical="top" wrapText="1"/>
    </xf>
    <xf numFmtId="0" fontId="108" fillId="0" borderId="104" xfId="0" applyFont="1" applyBorder="1" applyAlignment="1">
      <alignment horizontal="left" vertical="top" wrapText="1"/>
    </xf>
    <xf numFmtId="0" fontId="108" fillId="0" borderId="100" xfId="12672" applyFont="1" applyBorder="1" applyAlignment="1">
      <alignment horizontal="left" vertical="center" wrapText="1"/>
    </xf>
    <xf numFmtId="0" fontId="108" fillId="0" borderId="136" xfId="12672" applyFont="1" applyBorder="1" applyAlignment="1">
      <alignment horizontal="left" vertical="center" wrapText="1"/>
    </xf>
    <xf numFmtId="0" fontId="108" fillId="0" borderId="7" xfId="12672" applyFont="1" applyBorder="1" applyAlignment="1">
      <alignment horizontal="left" vertical="center" wrapText="1"/>
    </xf>
    <xf numFmtId="49" fontId="108" fillId="0" borderId="100" xfId="0" applyNumberFormat="1" applyFont="1" applyBorder="1" applyAlignment="1">
      <alignment horizontal="center" vertical="center"/>
    </xf>
    <xf numFmtId="49" fontId="108" fillId="0" borderId="136"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8" fillId="0" borderId="105" xfId="0" applyFont="1" applyBorder="1" applyAlignment="1">
      <alignment horizontal="left" vertical="top" wrapTex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zoomScale="85" zoomScaleNormal="85" workbookViewId="0">
      <pane xSplit="1" ySplit="7" topLeftCell="B8" activePane="bottomRight" state="frozen"/>
      <selection pane="topRight"/>
      <selection pane="bottomLeft"/>
      <selection pane="bottomRight"/>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69" t="s">
        <v>254</v>
      </c>
      <c r="C1" s="83"/>
    </row>
    <row r="2" spans="1:3" s="166" customFormat="1" ht="15.75">
      <c r="A2" s="210">
        <v>1</v>
      </c>
      <c r="B2" s="167" t="s">
        <v>255</v>
      </c>
      <c r="C2" s="518" t="s">
        <v>957</v>
      </c>
    </row>
    <row r="3" spans="1:3" s="166" customFormat="1" ht="15.75">
      <c r="A3" s="210">
        <v>2</v>
      </c>
      <c r="B3" s="168" t="s">
        <v>256</v>
      </c>
      <c r="C3" s="518" t="s">
        <v>958</v>
      </c>
    </row>
    <row r="4" spans="1:3" s="166" customFormat="1" ht="15.75">
      <c r="A4" s="210">
        <v>3</v>
      </c>
      <c r="B4" s="168" t="s">
        <v>257</v>
      </c>
      <c r="C4" s="518" t="s">
        <v>959</v>
      </c>
    </row>
    <row r="5" spans="1:3" s="166" customFormat="1" ht="15.75">
      <c r="A5" s="211">
        <v>4</v>
      </c>
      <c r="B5" s="171" t="s">
        <v>258</v>
      </c>
      <c r="C5" s="519" t="s">
        <v>960</v>
      </c>
    </row>
    <row r="6" spans="1:3" s="170" customFormat="1" ht="65.25" customHeight="1">
      <c r="A6" s="683" t="s">
        <v>490</v>
      </c>
      <c r="B6" s="684"/>
      <c r="C6" s="684"/>
    </row>
    <row r="7" spans="1:3">
      <c r="A7" s="324" t="s">
        <v>404</v>
      </c>
      <c r="B7" s="325" t="s">
        <v>259</v>
      </c>
    </row>
    <row r="8" spans="1:3">
      <c r="A8" s="326">
        <v>1</v>
      </c>
      <c r="B8" s="322" t="s">
        <v>223</v>
      </c>
    </row>
    <row r="9" spans="1:3">
      <c r="A9" s="326">
        <v>2</v>
      </c>
      <c r="B9" s="322" t="s">
        <v>260</v>
      </c>
    </row>
    <row r="10" spans="1:3">
      <c r="A10" s="326">
        <v>3</v>
      </c>
      <c r="B10" s="322" t="s">
        <v>261</v>
      </c>
    </row>
    <row r="11" spans="1:3">
      <c r="A11" s="326">
        <v>4</v>
      </c>
      <c r="B11" s="322" t="s">
        <v>262</v>
      </c>
    </row>
    <row r="12" spans="1:3">
      <c r="A12" s="326">
        <v>5</v>
      </c>
      <c r="B12" s="322" t="s">
        <v>187</v>
      </c>
    </row>
    <row r="13" spans="1:3">
      <c r="A13" s="326">
        <v>6</v>
      </c>
      <c r="B13" s="327" t="s">
        <v>149</v>
      </c>
    </row>
    <row r="14" spans="1:3">
      <c r="A14" s="326">
        <v>7</v>
      </c>
      <c r="B14" s="322" t="s">
        <v>263</v>
      </c>
    </row>
    <row r="15" spans="1:3">
      <c r="A15" s="326">
        <v>8</v>
      </c>
      <c r="B15" s="322" t="s">
        <v>266</v>
      </c>
    </row>
    <row r="16" spans="1:3">
      <c r="A16" s="326">
        <v>9</v>
      </c>
      <c r="B16" s="322" t="s">
        <v>88</v>
      </c>
    </row>
    <row r="17" spans="1:2">
      <c r="A17" s="328" t="s">
        <v>547</v>
      </c>
      <c r="B17" s="322" t="s">
        <v>527</v>
      </c>
    </row>
    <row r="18" spans="1:2">
      <c r="A18" s="326">
        <v>10</v>
      </c>
      <c r="B18" s="322" t="s">
        <v>269</v>
      </c>
    </row>
    <row r="19" spans="1:2">
      <c r="A19" s="326">
        <v>11</v>
      </c>
      <c r="B19" s="327" t="s">
        <v>250</v>
      </c>
    </row>
    <row r="20" spans="1:2">
      <c r="A20" s="326">
        <v>12</v>
      </c>
      <c r="B20" s="327" t="s">
        <v>247</v>
      </c>
    </row>
    <row r="21" spans="1:2">
      <c r="A21" s="326">
        <v>13</v>
      </c>
      <c r="B21" s="329" t="s">
        <v>460</v>
      </c>
    </row>
    <row r="22" spans="1:2">
      <c r="A22" s="326">
        <v>14</v>
      </c>
      <c r="B22" s="330" t="s">
        <v>520</v>
      </c>
    </row>
    <row r="23" spans="1:2">
      <c r="A23" s="326">
        <v>15</v>
      </c>
      <c r="B23" s="327" t="s">
        <v>77</v>
      </c>
    </row>
    <row r="24" spans="1:2">
      <c r="A24" s="326">
        <v>15.1</v>
      </c>
      <c r="B24" s="322" t="s">
        <v>556</v>
      </c>
    </row>
    <row r="25" spans="1:2">
      <c r="A25" s="326">
        <v>16</v>
      </c>
      <c r="B25" s="322" t="s">
        <v>624</v>
      </c>
    </row>
    <row r="26" spans="1:2">
      <c r="A26" s="326">
        <v>17</v>
      </c>
      <c r="B26" s="322" t="s">
        <v>936</v>
      </c>
    </row>
    <row r="27" spans="1:2">
      <c r="A27" s="326">
        <v>18</v>
      </c>
      <c r="B27" s="322" t="s">
        <v>954</v>
      </c>
    </row>
    <row r="28" spans="1:2">
      <c r="A28" s="326">
        <v>19</v>
      </c>
      <c r="B28" s="322" t="s">
        <v>955</v>
      </c>
    </row>
    <row r="29" spans="1:2">
      <c r="A29" s="326">
        <v>20</v>
      </c>
      <c r="B29" s="330" t="s">
        <v>723</v>
      </c>
    </row>
    <row r="30" spans="1:2">
      <c r="A30" s="326">
        <v>21</v>
      </c>
      <c r="B30" s="322" t="s">
        <v>741</v>
      </c>
    </row>
    <row r="31" spans="1:2">
      <c r="A31" s="326">
        <v>22</v>
      </c>
      <c r="B31" s="489" t="s">
        <v>758</v>
      </c>
    </row>
    <row r="32" spans="1:2" ht="26.25">
      <c r="A32" s="326">
        <v>23</v>
      </c>
      <c r="B32" s="489" t="s">
        <v>937</v>
      </c>
    </row>
    <row r="33" spans="1:2">
      <c r="A33" s="326">
        <v>24</v>
      </c>
      <c r="B33" s="322" t="s">
        <v>938</v>
      </c>
    </row>
    <row r="34" spans="1:2">
      <c r="A34" s="326">
        <v>25</v>
      </c>
      <c r="B34" s="322" t="s">
        <v>939</v>
      </c>
    </row>
    <row r="35" spans="1:2">
      <c r="A35" s="326">
        <v>26</v>
      </c>
      <c r="B35" s="330" t="s">
        <v>1051</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"ბანკი ქართუ"</v>
      </c>
      <c r="D1" s="1"/>
      <c r="E1" s="1"/>
      <c r="F1" s="1"/>
    </row>
    <row r="2" spans="1:6" s="14" customFormat="1" ht="15.75" customHeight="1">
      <c r="A2" s="14" t="s">
        <v>189</v>
      </c>
      <c r="B2" s="390">
        <f>'1. key ratios'!B2</f>
        <v>44651</v>
      </c>
    </row>
    <row r="3" spans="1:6" s="14" customFormat="1" ht="15.75" customHeight="1"/>
    <row r="4" spans="1:6" ht="15.75" thickBot="1">
      <c r="A4" s="1" t="s">
        <v>413</v>
      </c>
      <c r="B4" s="52" t="s">
        <v>88</v>
      </c>
    </row>
    <row r="5" spans="1:6">
      <c r="A5" s="122" t="s">
        <v>26</v>
      </c>
      <c r="B5" s="123"/>
      <c r="C5" s="124" t="s">
        <v>27</v>
      </c>
    </row>
    <row r="6" spans="1:6">
      <c r="A6" s="125">
        <v>1</v>
      </c>
      <c r="B6" s="73" t="s">
        <v>28</v>
      </c>
      <c r="C6" s="543">
        <f>SUM(C7:C11)</f>
        <v>195829007</v>
      </c>
    </row>
    <row r="7" spans="1:6">
      <c r="A7" s="125">
        <v>2</v>
      </c>
      <c r="B7" s="70" t="s">
        <v>29</v>
      </c>
      <c r="C7" s="544">
        <v>114430000</v>
      </c>
    </row>
    <row r="8" spans="1:6">
      <c r="A8" s="125">
        <v>3</v>
      </c>
      <c r="B8" s="65" t="s">
        <v>30</v>
      </c>
      <c r="C8" s="544"/>
    </row>
    <row r="9" spans="1:6">
      <c r="A9" s="125">
        <v>4</v>
      </c>
      <c r="B9" s="65" t="s">
        <v>31</v>
      </c>
      <c r="C9" s="544"/>
    </row>
    <row r="10" spans="1:6">
      <c r="A10" s="125">
        <v>5</v>
      </c>
      <c r="B10" s="65" t="s">
        <v>32</v>
      </c>
      <c r="C10" s="544">
        <v>7438034</v>
      </c>
    </row>
    <row r="11" spans="1:6">
      <c r="A11" s="125">
        <v>6</v>
      </c>
      <c r="B11" s="71" t="s">
        <v>33</v>
      </c>
      <c r="C11" s="544">
        <v>73960973</v>
      </c>
    </row>
    <row r="12" spans="1:6" s="2" customFormat="1">
      <c r="A12" s="125">
        <v>7</v>
      </c>
      <c r="B12" s="73" t="s">
        <v>34</v>
      </c>
      <c r="C12" s="545">
        <f>SUM(C13:C27)</f>
        <v>3965614</v>
      </c>
    </row>
    <row r="13" spans="1:6" s="2" customFormat="1">
      <c r="A13" s="125">
        <v>8</v>
      </c>
      <c r="B13" s="72" t="s">
        <v>35</v>
      </c>
      <c r="C13" s="546">
        <v>261450</v>
      </c>
    </row>
    <row r="14" spans="1:6" s="2" customFormat="1" ht="25.5">
      <c r="A14" s="125">
        <v>9</v>
      </c>
      <c r="B14" s="66" t="s">
        <v>36</v>
      </c>
      <c r="C14" s="546"/>
    </row>
    <row r="15" spans="1:6" s="2" customFormat="1">
      <c r="A15" s="125">
        <v>10</v>
      </c>
      <c r="B15" s="67" t="s">
        <v>37</v>
      </c>
      <c r="C15" s="546">
        <v>3704164</v>
      </c>
    </row>
    <row r="16" spans="1:6" s="2" customFormat="1">
      <c r="A16" s="125">
        <v>11</v>
      </c>
      <c r="B16" s="68" t="s">
        <v>38</v>
      </c>
      <c r="C16" s="546"/>
    </row>
    <row r="17" spans="1:3" s="2" customFormat="1">
      <c r="A17" s="125">
        <v>12</v>
      </c>
      <c r="B17" s="67" t="s">
        <v>39</v>
      </c>
      <c r="C17" s="546"/>
    </row>
    <row r="18" spans="1:3" s="2" customFormat="1">
      <c r="A18" s="125">
        <v>13</v>
      </c>
      <c r="B18" s="67" t="s">
        <v>40</v>
      </c>
      <c r="C18" s="546"/>
    </row>
    <row r="19" spans="1:3" s="2" customFormat="1">
      <c r="A19" s="125">
        <v>14</v>
      </c>
      <c r="B19" s="67" t="s">
        <v>41</v>
      </c>
      <c r="C19" s="546"/>
    </row>
    <row r="20" spans="1:3" s="2" customFormat="1" ht="25.5">
      <c r="A20" s="125">
        <v>15</v>
      </c>
      <c r="B20" s="67" t="s">
        <v>42</v>
      </c>
      <c r="C20" s="546">
        <v>0</v>
      </c>
    </row>
    <row r="21" spans="1:3" s="2" customFormat="1" ht="25.5">
      <c r="A21" s="125">
        <v>16</v>
      </c>
      <c r="B21" s="66" t="s">
        <v>43</v>
      </c>
      <c r="C21" s="546"/>
    </row>
    <row r="22" spans="1:3" s="2" customFormat="1">
      <c r="A22" s="125">
        <v>17</v>
      </c>
      <c r="B22" s="126" t="s">
        <v>44</v>
      </c>
      <c r="C22" s="546"/>
    </row>
    <row r="23" spans="1:3" s="2" customFormat="1" ht="25.5">
      <c r="A23" s="125">
        <v>18</v>
      </c>
      <c r="B23" s="66" t="s">
        <v>45</v>
      </c>
      <c r="C23" s="546"/>
    </row>
    <row r="24" spans="1:3" s="2" customFormat="1" ht="25.5">
      <c r="A24" s="125">
        <v>19</v>
      </c>
      <c r="B24" s="66" t="s">
        <v>46</v>
      </c>
      <c r="C24" s="546"/>
    </row>
    <row r="25" spans="1:3" s="2" customFormat="1" ht="25.5">
      <c r="A25" s="125">
        <v>20</v>
      </c>
      <c r="B25" s="68" t="s">
        <v>47</v>
      </c>
      <c r="C25" s="546"/>
    </row>
    <row r="26" spans="1:3" s="2" customFormat="1">
      <c r="A26" s="125">
        <v>21</v>
      </c>
      <c r="B26" s="68" t="s">
        <v>48</v>
      </c>
      <c r="C26" s="546"/>
    </row>
    <row r="27" spans="1:3" s="2" customFormat="1" ht="25.5">
      <c r="A27" s="125">
        <v>22</v>
      </c>
      <c r="B27" s="68" t="s">
        <v>49</v>
      </c>
      <c r="C27" s="546"/>
    </row>
    <row r="28" spans="1:3" s="2" customFormat="1">
      <c r="A28" s="125">
        <v>23</v>
      </c>
      <c r="B28" s="74" t="s">
        <v>23</v>
      </c>
      <c r="C28" s="545">
        <f>C6-C12</f>
        <v>191863393</v>
      </c>
    </row>
    <row r="29" spans="1:3" s="2" customFormat="1">
      <c r="A29" s="127"/>
      <c r="B29" s="69"/>
      <c r="C29" s="546"/>
    </row>
    <row r="30" spans="1:3" s="2" customFormat="1">
      <c r="A30" s="127">
        <v>24</v>
      </c>
      <c r="B30" s="74" t="s">
        <v>50</v>
      </c>
      <c r="C30" s="545">
        <f>C31+C34</f>
        <v>83735100</v>
      </c>
    </row>
    <row r="31" spans="1:3" s="2" customFormat="1">
      <c r="A31" s="127">
        <v>25</v>
      </c>
      <c r="B31" s="65" t="s">
        <v>51</v>
      </c>
      <c r="C31" s="547">
        <f>C32+C33</f>
        <v>83735100</v>
      </c>
    </row>
    <row r="32" spans="1:3" s="2" customFormat="1">
      <c r="A32" s="127">
        <v>26</v>
      </c>
      <c r="B32" s="164" t="s">
        <v>52</v>
      </c>
      <c r="C32" s="546"/>
    </row>
    <row r="33" spans="1:3" s="2" customFormat="1">
      <c r="A33" s="127">
        <v>27</v>
      </c>
      <c r="B33" s="164" t="s">
        <v>53</v>
      </c>
      <c r="C33" s="546">
        <v>83735100</v>
      </c>
    </row>
    <row r="34" spans="1:3" s="2" customFormat="1">
      <c r="A34" s="127">
        <v>28</v>
      </c>
      <c r="B34" s="65" t="s">
        <v>54</v>
      </c>
      <c r="C34" s="546"/>
    </row>
    <row r="35" spans="1:3" s="2" customFormat="1">
      <c r="A35" s="127">
        <v>29</v>
      </c>
      <c r="B35" s="74" t="s">
        <v>55</v>
      </c>
      <c r="C35" s="545">
        <f>SUM(C36:C40)</f>
        <v>0</v>
      </c>
    </row>
    <row r="36" spans="1:3" s="2" customFormat="1">
      <c r="A36" s="127">
        <v>30</v>
      </c>
      <c r="B36" s="66" t="s">
        <v>56</v>
      </c>
      <c r="C36" s="546"/>
    </row>
    <row r="37" spans="1:3" s="2" customFormat="1">
      <c r="A37" s="127">
        <v>31</v>
      </c>
      <c r="B37" s="67" t="s">
        <v>57</v>
      </c>
      <c r="C37" s="546"/>
    </row>
    <row r="38" spans="1:3" s="2" customFormat="1" ht="25.5">
      <c r="A38" s="127">
        <v>32</v>
      </c>
      <c r="B38" s="66" t="s">
        <v>58</v>
      </c>
      <c r="C38" s="546"/>
    </row>
    <row r="39" spans="1:3" s="2" customFormat="1" ht="25.5">
      <c r="A39" s="127">
        <v>33</v>
      </c>
      <c r="B39" s="66" t="s">
        <v>46</v>
      </c>
      <c r="C39" s="546"/>
    </row>
    <row r="40" spans="1:3" s="2" customFormat="1" ht="25.5">
      <c r="A40" s="127">
        <v>34</v>
      </c>
      <c r="B40" s="68" t="s">
        <v>59</v>
      </c>
      <c r="C40" s="546"/>
    </row>
    <row r="41" spans="1:3" s="2" customFormat="1">
      <c r="A41" s="127">
        <v>35</v>
      </c>
      <c r="B41" s="74" t="s">
        <v>24</v>
      </c>
      <c r="C41" s="545">
        <f>C30-C35</f>
        <v>83735100</v>
      </c>
    </row>
    <row r="42" spans="1:3" s="2" customFormat="1">
      <c r="A42" s="127"/>
      <c r="B42" s="69"/>
      <c r="C42" s="546"/>
    </row>
    <row r="43" spans="1:3" s="2" customFormat="1">
      <c r="A43" s="127">
        <v>36</v>
      </c>
      <c r="B43" s="75" t="s">
        <v>60</v>
      </c>
      <c r="C43" s="545">
        <f>SUM(C44:C46)</f>
        <v>49346409</v>
      </c>
    </row>
    <row r="44" spans="1:3" s="2" customFormat="1">
      <c r="A44" s="127">
        <v>37</v>
      </c>
      <c r="B44" s="65" t="s">
        <v>61</v>
      </c>
      <c r="C44" s="546">
        <v>37215600</v>
      </c>
    </row>
    <row r="45" spans="1:3" s="2" customFormat="1">
      <c r="A45" s="127">
        <v>38</v>
      </c>
      <c r="B45" s="65" t="s">
        <v>62</v>
      </c>
      <c r="C45" s="546"/>
    </row>
    <row r="46" spans="1:3" s="2" customFormat="1">
      <c r="A46" s="127">
        <v>39</v>
      </c>
      <c r="B46" s="65" t="s">
        <v>63</v>
      </c>
      <c r="C46" s="546">
        <v>12130809</v>
      </c>
    </row>
    <row r="47" spans="1:3" s="2" customFormat="1">
      <c r="A47" s="127">
        <v>40</v>
      </c>
      <c r="B47" s="75" t="s">
        <v>64</v>
      </c>
      <c r="C47" s="545">
        <f>SUM(C48:C51)</f>
        <v>0</v>
      </c>
    </row>
    <row r="48" spans="1:3" s="2" customFormat="1">
      <c r="A48" s="127">
        <v>41</v>
      </c>
      <c r="B48" s="66" t="s">
        <v>65</v>
      </c>
      <c r="C48" s="546"/>
    </row>
    <row r="49" spans="1:3" s="2" customFormat="1">
      <c r="A49" s="127">
        <v>42</v>
      </c>
      <c r="B49" s="67" t="s">
        <v>66</v>
      </c>
      <c r="C49" s="546"/>
    </row>
    <row r="50" spans="1:3" s="2" customFormat="1" ht="25.5">
      <c r="A50" s="127">
        <v>43</v>
      </c>
      <c r="B50" s="66" t="s">
        <v>67</v>
      </c>
      <c r="C50" s="546"/>
    </row>
    <row r="51" spans="1:3" s="2" customFormat="1" ht="25.5">
      <c r="A51" s="127">
        <v>44</v>
      </c>
      <c r="B51" s="66" t="s">
        <v>46</v>
      </c>
      <c r="C51" s="546"/>
    </row>
    <row r="52" spans="1:3" s="2" customFormat="1" ht="15.75" thickBot="1">
      <c r="A52" s="128">
        <v>45</v>
      </c>
      <c r="B52" s="129" t="s">
        <v>25</v>
      </c>
      <c r="C52" s="229">
        <f>C43-C47</f>
        <v>49346409</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"ბანკი ქართუ"</v>
      </c>
    </row>
    <row r="2" spans="1:4" s="14" customFormat="1" ht="15.75" customHeight="1">
      <c r="A2" s="14" t="s">
        <v>189</v>
      </c>
      <c r="B2" s="390">
        <f>'1. key ratios'!B2</f>
        <v>44651</v>
      </c>
    </row>
    <row r="3" spans="1:4" s="14" customFormat="1" ht="15.75" customHeight="1"/>
    <row r="4" spans="1:4" ht="13.5" thickBot="1">
      <c r="A4" s="1" t="s">
        <v>526</v>
      </c>
      <c r="B4" s="312" t="s">
        <v>527</v>
      </c>
    </row>
    <row r="5" spans="1:4" s="60" customFormat="1">
      <c r="A5" s="702" t="s">
        <v>528</v>
      </c>
      <c r="B5" s="703"/>
      <c r="C5" s="302" t="s">
        <v>529</v>
      </c>
      <c r="D5" s="303" t="s">
        <v>530</v>
      </c>
    </row>
    <row r="6" spans="1:4" s="313" customFormat="1">
      <c r="A6" s="304">
        <v>1</v>
      </c>
      <c r="B6" s="305" t="s">
        <v>531</v>
      </c>
      <c r="C6" s="305"/>
      <c r="D6" s="306"/>
    </row>
    <row r="7" spans="1:4" s="313" customFormat="1">
      <c r="A7" s="307" t="s">
        <v>532</v>
      </c>
      <c r="B7" s="308" t="s">
        <v>533</v>
      </c>
      <c r="C7" s="548">
        <v>4.4999999999999998E-2</v>
      </c>
      <c r="D7" s="549">
        <f>C7*'5. RWA'!$C$13</f>
        <v>61251833.056093186</v>
      </c>
    </row>
    <row r="8" spans="1:4" s="313" customFormat="1">
      <c r="A8" s="307" t="s">
        <v>534</v>
      </c>
      <c r="B8" s="308" t="s">
        <v>535</v>
      </c>
      <c r="C8" s="550">
        <v>0.06</v>
      </c>
      <c r="D8" s="549">
        <f>C8*'5. RWA'!$C$13</f>
        <v>81669110.741457582</v>
      </c>
    </row>
    <row r="9" spans="1:4" s="313" customFormat="1">
      <c r="A9" s="307" t="s">
        <v>536</v>
      </c>
      <c r="B9" s="308" t="s">
        <v>537</v>
      </c>
      <c r="C9" s="550">
        <v>0.08</v>
      </c>
      <c r="D9" s="549">
        <f>C9*'5. RWA'!$C$13</f>
        <v>108892147.65527678</v>
      </c>
    </row>
    <row r="10" spans="1:4" s="313" customFormat="1">
      <c r="A10" s="304" t="s">
        <v>538</v>
      </c>
      <c r="B10" s="305" t="s">
        <v>539</v>
      </c>
      <c r="C10" s="356"/>
      <c r="D10" s="551"/>
    </row>
    <row r="11" spans="1:4" s="314" customFormat="1">
      <c r="A11" s="309" t="s">
        <v>540</v>
      </c>
      <c r="B11" s="310" t="s">
        <v>602</v>
      </c>
      <c r="C11" s="552">
        <v>2.5000000000000001E-2</v>
      </c>
      <c r="D11" s="553">
        <f>C11*'5. RWA'!$C$13</f>
        <v>34028796.142273992</v>
      </c>
    </row>
    <row r="12" spans="1:4" s="314" customFormat="1">
      <c r="A12" s="309" t="s">
        <v>541</v>
      </c>
      <c r="B12" s="310" t="s">
        <v>542</v>
      </c>
      <c r="C12" s="552">
        <v>0</v>
      </c>
      <c r="D12" s="553">
        <f>C12*'5. RWA'!$C$13</f>
        <v>0</v>
      </c>
    </row>
    <row r="13" spans="1:4" s="314" customFormat="1">
      <c r="A13" s="309" t="s">
        <v>543</v>
      </c>
      <c r="B13" s="310" t="s">
        <v>544</v>
      </c>
      <c r="C13" s="552"/>
      <c r="D13" s="553">
        <f>C13*'5. RWA'!$C$13</f>
        <v>0</v>
      </c>
    </row>
    <row r="14" spans="1:4" s="313" customFormat="1">
      <c r="A14" s="304" t="s">
        <v>545</v>
      </c>
      <c r="B14" s="305" t="s">
        <v>600</v>
      </c>
      <c r="C14" s="554"/>
      <c r="D14" s="551"/>
    </row>
    <row r="15" spans="1:4" s="313" customFormat="1">
      <c r="A15" s="323" t="s">
        <v>548</v>
      </c>
      <c r="B15" s="310" t="s">
        <v>601</v>
      </c>
      <c r="C15" s="552">
        <v>4.5176080575978404E-2</v>
      </c>
      <c r="D15" s="553">
        <f>C15*'5. RWA'!$C$13</f>
        <v>61491505.45707652</v>
      </c>
    </row>
    <row r="16" spans="1:4" s="313" customFormat="1">
      <c r="A16" s="323" t="s">
        <v>549</v>
      </c>
      <c r="B16" s="310" t="s">
        <v>551</v>
      </c>
      <c r="C16" s="552">
        <v>6.0304011215380704E-2</v>
      </c>
      <c r="D16" s="553">
        <f>C16*'5. RWA'!$C$13</f>
        <v>82082916.168383777</v>
      </c>
    </row>
    <row r="17" spans="1:4" s="313" customFormat="1">
      <c r="A17" s="323" t="s">
        <v>550</v>
      </c>
      <c r="B17" s="310" t="s">
        <v>598</v>
      </c>
      <c r="C17" s="552">
        <v>9.531390180325551E-2</v>
      </c>
      <c r="D17" s="553">
        <f>C17*'5. RWA'!$C$13</f>
        <v>129736693.35950813</v>
      </c>
    </row>
    <row r="18" spans="1:4" s="60" customFormat="1">
      <c r="A18" s="704" t="s">
        <v>599</v>
      </c>
      <c r="B18" s="705"/>
      <c r="C18" s="356" t="s">
        <v>529</v>
      </c>
      <c r="D18" s="555" t="s">
        <v>530</v>
      </c>
    </row>
    <row r="19" spans="1:4" s="313" customFormat="1">
      <c r="A19" s="311">
        <v>4</v>
      </c>
      <c r="B19" s="310" t="s">
        <v>23</v>
      </c>
      <c r="C19" s="552">
        <f>C7+C11+C12+C13+C15</f>
        <v>0.11517608057597842</v>
      </c>
      <c r="D19" s="549">
        <f>C19*'5. RWA'!$C$13</f>
        <v>156772134.65544373</v>
      </c>
    </row>
    <row r="20" spans="1:4" s="313" customFormat="1">
      <c r="A20" s="311">
        <v>5</v>
      </c>
      <c r="B20" s="310" t="s">
        <v>89</v>
      </c>
      <c r="C20" s="552">
        <f>C8+C11+C12+C13+C16</f>
        <v>0.1453040112153807</v>
      </c>
      <c r="D20" s="549">
        <f>C20*'5. RWA'!$C$13</f>
        <v>197780823.05211535</v>
      </c>
    </row>
    <row r="21" spans="1:4" s="313" customFormat="1" ht="13.5" thickBot="1">
      <c r="A21" s="315" t="s">
        <v>546</v>
      </c>
      <c r="B21" s="316" t="s">
        <v>88</v>
      </c>
      <c r="C21" s="556">
        <f>C9+C11+C12+C13+C17</f>
        <v>0.20031390180325553</v>
      </c>
      <c r="D21" s="557">
        <f>C21*'5. RWA'!$C$13</f>
        <v>272657637.15705895</v>
      </c>
    </row>
    <row r="23" spans="1:4" ht="63.75">
      <c r="B23" s="18"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55"/>
  <sheetViews>
    <sheetView zoomScaleNormal="100" workbookViewId="0">
      <pane xSplit="1" ySplit="5" topLeftCell="B6" activePane="bottomRight" state="frozen"/>
      <selection pane="topRight"/>
      <selection pane="bottomLeft"/>
      <selection pane="bottomRight"/>
    </sheetView>
  </sheetViews>
  <sheetFormatPr defaultRowHeight="15.75"/>
  <cols>
    <col min="1" max="1" width="10.7109375" style="61" customWidth="1"/>
    <col min="2" max="2" width="91.7109375" style="61" customWidth="1"/>
    <col min="3" max="3" width="53.28515625" style="61" customWidth="1"/>
    <col min="4" max="4" width="32.28515625" style="61" customWidth="1"/>
    <col min="5" max="5" width="9.42578125" customWidth="1"/>
  </cols>
  <sheetData>
    <row r="1" spans="1:6">
      <c r="A1" s="14" t="s">
        <v>188</v>
      </c>
      <c r="B1" s="15" t="str">
        <f>Info!C2</f>
        <v>სს "ბანკი ქართუ"</v>
      </c>
      <c r="E1" s="1"/>
      <c r="F1" s="1"/>
    </row>
    <row r="2" spans="1:6" s="14" customFormat="1" ht="15.75" customHeight="1">
      <c r="A2" s="14" t="s">
        <v>189</v>
      </c>
      <c r="B2" s="390">
        <f>'1. key ratios'!B2</f>
        <v>44651</v>
      </c>
    </row>
    <row r="3" spans="1:6" s="14" customFormat="1" ht="15.75" customHeight="1">
      <c r="A3" s="21"/>
    </row>
    <row r="4" spans="1:6" s="14" customFormat="1" ht="15.75" customHeight="1" thickBot="1">
      <c r="A4" s="14" t="s">
        <v>414</v>
      </c>
      <c r="B4" s="186" t="s">
        <v>269</v>
      </c>
      <c r="D4" s="188" t="s">
        <v>93</v>
      </c>
    </row>
    <row r="5" spans="1:6" ht="38.25">
      <c r="A5" s="139" t="s">
        <v>26</v>
      </c>
      <c r="B5" s="140" t="s">
        <v>231</v>
      </c>
      <c r="C5" s="141" t="s">
        <v>237</v>
      </c>
      <c r="D5" s="187" t="s">
        <v>270</v>
      </c>
    </row>
    <row r="6" spans="1:6">
      <c r="A6" s="558">
        <v>1</v>
      </c>
      <c r="B6" s="559" t="s">
        <v>154</v>
      </c>
      <c r="C6" s="560">
        <f>'2. RC'!E7</f>
        <v>14851742</v>
      </c>
      <c r="D6" s="561"/>
      <c r="E6" s="5"/>
    </row>
    <row r="7" spans="1:6">
      <c r="A7" s="558">
        <v>2</v>
      </c>
      <c r="B7" s="76" t="s">
        <v>155</v>
      </c>
      <c r="C7" s="230">
        <f>'2. RC'!E8</f>
        <v>211334277</v>
      </c>
      <c r="D7" s="130"/>
      <c r="E7" s="5"/>
    </row>
    <row r="8" spans="1:6">
      <c r="A8" s="558">
        <v>3</v>
      </c>
      <c r="B8" s="76" t="s">
        <v>156</v>
      </c>
      <c r="C8" s="230">
        <f>'2. RC'!E9</f>
        <v>194640372</v>
      </c>
      <c r="D8" s="130"/>
      <c r="E8" s="5"/>
    </row>
    <row r="9" spans="1:6">
      <c r="A9" s="558">
        <v>4</v>
      </c>
      <c r="B9" s="76" t="s">
        <v>185</v>
      </c>
      <c r="C9" s="230">
        <f>'2. RC'!E10</f>
        <v>0</v>
      </c>
      <c r="D9" s="130"/>
      <c r="E9" s="5"/>
    </row>
    <row r="10" spans="1:6">
      <c r="A10" s="558">
        <v>5</v>
      </c>
      <c r="B10" s="76" t="s">
        <v>157</v>
      </c>
      <c r="C10" s="230">
        <f>'2. RC'!E11-C11</f>
        <v>32405550</v>
      </c>
      <c r="D10" s="130"/>
      <c r="E10" s="5"/>
    </row>
    <row r="11" spans="1:6">
      <c r="A11" s="558">
        <v>5.0999999999999996</v>
      </c>
      <c r="B11" s="562" t="s">
        <v>982</v>
      </c>
      <c r="C11" s="563">
        <v>-60000</v>
      </c>
      <c r="D11" s="212" t="s">
        <v>983</v>
      </c>
      <c r="E11" s="6"/>
    </row>
    <row r="12" spans="1:6">
      <c r="A12" s="558">
        <v>5.2</v>
      </c>
      <c r="B12" s="564" t="s">
        <v>984</v>
      </c>
      <c r="C12" s="563">
        <f>C10+C11</f>
        <v>32345550</v>
      </c>
      <c r="D12" s="131"/>
      <c r="E12" s="6"/>
    </row>
    <row r="13" spans="1:6">
      <c r="A13" s="558">
        <v>6.1</v>
      </c>
      <c r="B13" s="76" t="s">
        <v>158</v>
      </c>
      <c r="C13" s="231">
        <f>'2. RC'!E12</f>
        <v>965150942</v>
      </c>
      <c r="D13" s="131"/>
      <c r="E13" s="6"/>
    </row>
    <row r="14" spans="1:6">
      <c r="A14" s="558">
        <v>6.2</v>
      </c>
      <c r="B14" s="77" t="s">
        <v>159</v>
      </c>
      <c r="C14" s="231">
        <v>-162019834</v>
      </c>
      <c r="D14" s="131"/>
      <c r="E14" s="6"/>
    </row>
    <row r="15" spans="1:6">
      <c r="A15" s="558" t="s">
        <v>487</v>
      </c>
      <c r="B15" s="78" t="s">
        <v>488</v>
      </c>
      <c r="C15" s="231">
        <v>-11638775</v>
      </c>
      <c r="D15" s="212" t="s">
        <v>983</v>
      </c>
      <c r="E15" s="5"/>
    </row>
    <row r="16" spans="1:6">
      <c r="A16" s="558" t="s">
        <v>622</v>
      </c>
      <c r="B16" s="78" t="s">
        <v>611</v>
      </c>
      <c r="C16" s="231">
        <v>0</v>
      </c>
      <c r="D16" s="131"/>
      <c r="E16" s="5"/>
    </row>
    <row r="17" spans="1:5">
      <c r="A17" s="558">
        <v>6</v>
      </c>
      <c r="B17" s="76" t="s">
        <v>160</v>
      </c>
      <c r="C17" s="237">
        <f>C13+C14</f>
        <v>803131108</v>
      </c>
      <c r="D17" s="131"/>
      <c r="E17" s="5"/>
    </row>
    <row r="18" spans="1:5">
      <c r="A18" s="558">
        <v>7</v>
      </c>
      <c r="B18" s="76" t="s">
        <v>161</v>
      </c>
      <c r="C18" s="230">
        <f>'2. RC'!E15</f>
        <v>24782525</v>
      </c>
      <c r="D18" s="130"/>
      <c r="E18" s="5"/>
    </row>
    <row r="19" spans="1:5">
      <c r="A19" s="558">
        <v>8</v>
      </c>
      <c r="B19" s="76" t="s">
        <v>162</v>
      </c>
      <c r="C19" s="230">
        <f>'2. RC'!E16</f>
        <v>15975500</v>
      </c>
      <c r="D19" s="130"/>
      <c r="E19" s="5"/>
    </row>
    <row r="20" spans="1:5">
      <c r="A20" s="558">
        <v>9</v>
      </c>
      <c r="B20" s="76" t="s">
        <v>163</v>
      </c>
      <c r="C20" s="230">
        <f>SUM(C22:C25)</f>
        <v>7793239</v>
      </c>
      <c r="D20" s="130"/>
      <c r="E20" s="5"/>
    </row>
    <row r="21" spans="1:5">
      <c r="A21" s="558">
        <v>9.1</v>
      </c>
      <c r="B21" s="78" t="s">
        <v>246</v>
      </c>
      <c r="C21" s="231"/>
      <c r="D21" s="130"/>
      <c r="E21" s="5"/>
    </row>
    <row r="22" spans="1:5">
      <c r="A22" s="558">
        <v>9.1999999999999993</v>
      </c>
      <c r="B22" s="78" t="s">
        <v>236</v>
      </c>
      <c r="C22" s="231">
        <v>9372300</v>
      </c>
      <c r="D22" s="130"/>
      <c r="E22" s="5"/>
    </row>
    <row r="23" spans="1:5">
      <c r="A23" s="558">
        <v>9.3000000000000007</v>
      </c>
      <c r="B23" s="562" t="s">
        <v>985</v>
      </c>
      <c r="C23" s="565">
        <v>-1634921</v>
      </c>
      <c r="E23" s="5"/>
    </row>
    <row r="24" spans="1:5">
      <c r="A24" s="558">
        <v>9.4</v>
      </c>
      <c r="B24" s="78" t="s">
        <v>235</v>
      </c>
      <c r="C24" s="231">
        <v>57000</v>
      </c>
      <c r="D24" s="130"/>
      <c r="E24" s="5"/>
    </row>
    <row r="25" spans="1:5">
      <c r="A25" s="558">
        <v>9.5</v>
      </c>
      <c r="B25" s="562" t="s">
        <v>986</v>
      </c>
      <c r="C25" s="565">
        <v>-1140</v>
      </c>
      <c r="D25" s="212" t="s">
        <v>983</v>
      </c>
      <c r="E25" s="4"/>
    </row>
    <row r="26" spans="1:5">
      <c r="A26" s="558">
        <v>10</v>
      </c>
      <c r="B26" s="76" t="s">
        <v>164</v>
      </c>
      <c r="C26" s="230">
        <f>'2. RC'!E18</f>
        <v>19652980</v>
      </c>
      <c r="D26" s="130"/>
      <c r="E26" s="5"/>
    </row>
    <row r="27" spans="1:5">
      <c r="A27" s="558">
        <v>10.1</v>
      </c>
      <c r="B27" s="78" t="s">
        <v>234</v>
      </c>
      <c r="C27" s="230">
        <f>'9. Capital'!C15</f>
        <v>3704164</v>
      </c>
      <c r="D27" s="212" t="s">
        <v>440</v>
      </c>
      <c r="E27" s="5"/>
    </row>
    <row r="28" spans="1:5">
      <c r="A28" s="558">
        <v>11</v>
      </c>
      <c r="B28" s="79" t="s">
        <v>165</v>
      </c>
      <c r="C28" s="232">
        <f>'2. RC'!E19-C30-C31</f>
        <v>47924129</v>
      </c>
      <c r="D28" s="132"/>
      <c r="E28" s="5"/>
    </row>
    <row r="29" spans="1:5">
      <c r="A29" s="558">
        <v>11.1</v>
      </c>
      <c r="B29" s="566" t="s">
        <v>987</v>
      </c>
      <c r="C29" s="567">
        <f>'9. Capital'!C20</f>
        <v>0</v>
      </c>
      <c r="D29" s="212" t="s">
        <v>988</v>
      </c>
      <c r="E29" s="5"/>
    </row>
    <row r="30" spans="1:5">
      <c r="A30" s="558">
        <v>11.2</v>
      </c>
      <c r="B30" s="562" t="s">
        <v>989</v>
      </c>
      <c r="C30" s="565">
        <v>0</v>
      </c>
      <c r="D30" s="212" t="s">
        <v>983</v>
      </c>
      <c r="E30" s="5"/>
    </row>
    <row r="31" spans="1:5">
      <c r="A31" s="558">
        <v>11.3</v>
      </c>
      <c r="B31" s="562" t="s">
        <v>990</v>
      </c>
      <c r="C31" s="565">
        <v>-1961140</v>
      </c>
      <c r="D31" s="130"/>
      <c r="E31" s="5"/>
    </row>
    <row r="32" spans="1:5">
      <c r="A32" s="558"/>
      <c r="B32" s="79" t="s">
        <v>991</v>
      </c>
      <c r="C32" s="568">
        <f>SUM(C28,C30:C31)</f>
        <v>45962989</v>
      </c>
      <c r="D32" s="135"/>
      <c r="E32" s="5"/>
    </row>
    <row r="33" spans="1:5">
      <c r="A33" s="558">
        <v>12</v>
      </c>
      <c r="B33" s="81" t="s">
        <v>166</v>
      </c>
      <c r="C33" s="233">
        <f>SUM(C6:C9,C12,C17:C20,C26,C32)</f>
        <v>1370470282</v>
      </c>
      <c r="D33" s="133"/>
      <c r="E33" s="5"/>
    </row>
    <row r="34" spans="1:5">
      <c r="A34" s="558">
        <v>13</v>
      </c>
      <c r="B34" s="76" t="s">
        <v>167</v>
      </c>
      <c r="C34" s="234">
        <f>'2. RC'!E22</f>
        <v>163841</v>
      </c>
      <c r="D34" s="134"/>
      <c r="E34" s="5"/>
    </row>
    <row r="35" spans="1:5">
      <c r="A35" s="558">
        <v>14</v>
      </c>
      <c r="B35" s="76" t="s">
        <v>168</v>
      </c>
      <c r="C35" s="230">
        <f>'2. RC'!E23</f>
        <v>463184649</v>
      </c>
      <c r="D35" s="130"/>
      <c r="E35" s="5"/>
    </row>
    <row r="36" spans="1:5">
      <c r="A36" s="558">
        <v>15</v>
      </c>
      <c r="B36" s="76" t="s">
        <v>169</v>
      </c>
      <c r="C36" s="230">
        <f>'2. RC'!E24</f>
        <v>67995483</v>
      </c>
      <c r="D36" s="130"/>
      <c r="E36" s="5"/>
    </row>
    <row r="37" spans="1:5">
      <c r="A37" s="558">
        <v>16</v>
      </c>
      <c r="B37" s="76" t="s">
        <v>170</v>
      </c>
      <c r="C37" s="230">
        <f>'2. RC'!E25</f>
        <v>499692982</v>
      </c>
      <c r="D37" s="130"/>
      <c r="E37" s="4"/>
    </row>
    <row r="38" spans="1:5">
      <c r="A38" s="558">
        <v>17</v>
      </c>
      <c r="B38" s="76" t="s">
        <v>171</v>
      </c>
      <c r="C38" s="230">
        <f>'2. RC'!E26</f>
        <v>0</v>
      </c>
      <c r="D38" s="130"/>
      <c r="E38" s="5"/>
    </row>
    <row r="39" spans="1:5">
      <c r="A39" s="558">
        <v>18</v>
      </c>
      <c r="B39" s="76" t="s">
        <v>172</v>
      </c>
      <c r="C39" s="230">
        <f>'2. RC'!E27</f>
        <v>0</v>
      </c>
      <c r="D39" s="130"/>
      <c r="E39" s="5"/>
    </row>
    <row r="40" spans="1:5">
      <c r="A40" s="558">
        <v>19</v>
      </c>
      <c r="B40" s="76" t="s">
        <v>173</v>
      </c>
      <c r="C40" s="230">
        <f>'2. RC'!E28</f>
        <v>14722717</v>
      </c>
      <c r="D40" s="130"/>
      <c r="E40" s="5"/>
    </row>
    <row r="41" spans="1:5">
      <c r="A41" s="558">
        <v>20</v>
      </c>
      <c r="B41" s="76" t="s">
        <v>95</v>
      </c>
      <c r="C41" s="230">
        <f>'2. RC'!E29</f>
        <v>8192353</v>
      </c>
      <c r="D41" s="130"/>
      <c r="E41" s="5"/>
    </row>
    <row r="42" spans="1:5">
      <c r="A42" s="558">
        <v>20.100000000000001</v>
      </c>
      <c r="B42" s="80" t="s">
        <v>486</v>
      </c>
      <c r="C42" s="232">
        <v>430894</v>
      </c>
      <c r="D42" s="212" t="s">
        <v>983</v>
      </c>
      <c r="E42" s="5"/>
    </row>
    <row r="43" spans="1:5">
      <c r="A43" s="558">
        <v>21</v>
      </c>
      <c r="B43" s="79" t="s">
        <v>174</v>
      </c>
      <c r="C43" s="232">
        <f>'2. RC'!E30</f>
        <v>120950700</v>
      </c>
      <c r="D43" s="130"/>
      <c r="E43" s="5"/>
    </row>
    <row r="44" spans="1:5">
      <c r="A44" s="558">
        <v>21.1</v>
      </c>
      <c r="B44" s="80" t="s">
        <v>233</v>
      </c>
      <c r="C44" s="235">
        <f>C43-'9. Capital'!C33</f>
        <v>37215600</v>
      </c>
      <c r="D44" s="212" t="s">
        <v>992</v>
      </c>
      <c r="E44" s="5"/>
    </row>
    <row r="45" spans="1:5">
      <c r="A45" s="558">
        <v>22</v>
      </c>
      <c r="B45" s="81" t="s">
        <v>175</v>
      </c>
      <c r="C45" s="233">
        <f>SUM(C34:C41,C43)</f>
        <v>1174902725</v>
      </c>
      <c r="D45" s="133"/>
      <c r="E45" s="4"/>
    </row>
    <row r="46" spans="1:5">
      <c r="A46" s="558">
        <v>23</v>
      </c>
      <c r="B46" s="79" t="s">
        <v>176</v>
      </c>
      <c r="C46" s="230">
        <f>'2. RC'!E33</f>
        <v>114430000</v>
      </c>
      <c r="D46" s="212" t="s">
        <v>993</v>
      </c>
    </row>
    <row r="47" spans="1:5">
      <c r="A47" s="558">
        <v>24</v>
      </c>
      <c r="B47" s="79" t="s">
        <v>177</v>
      </c>
      <c r="C47" s="230">
        <f>'2. RC'!E34</f>
        <v>0</v>
      </c>
      <c r="D47" s="130"/>
    </row>
    <row r="48" spans="1:5">
      <c r="A48" s="558">
        <v>25</v>
      </c>
      <c r="B48" s="79" t="s">
        <v>232</v>
      </c>
      <c r="C48" s="230">
        <f>'2. RC'!E35</f>
        <v>0</v>
      </c>
      <c r="D48" s="130"/>
    </row>
    <row r="49" spans="1:4">
      <c r="A49" s="558">
        <v>26</v>
      </c>
      <c r="B49" s="79" t="s">
        <v>179</v>
      </c>
      <c r="C49" s="230">
        <f>'2. RC'!E36</f>
        <v>0</v>
      </c>
      <c r="D49" s="130"/>
    </row>
    <row r="50" spans="1:4">
      <c r="A50" s="558">
        <v>27</v>
      </c>
      <c r="B50" s="79" t="s">
        <v>180</v>
      </c>
      <c r="C50" s="230">
        <f>'2. RC'!E37</f>
        <v>7438034</v>
      </c>
      <c r="D50" s="130"/>
    </row>
    <row r="51" spans="1:4">
      <c r="A51" s="558">
        <v>27.1</v>
      </c>
      <c r="B51" s="566" t="s">
        <v>994</v>
      </c>
      <c r="C51" s="565">
        <v>6838034</v>
      </c>
      <c r="D51" s="212" t="s">
        <v>995</v>
      </c>
    </row>
    <row r="52" spans="1:4">
      <c r="A52" s="558">
        <v>27.2</v>
      </c>
      <c r="B52" s="566" t="s">
        <v>996</v>
      </c>
      <c r="C52" s="565">
        <v>600000</v>
      </c>
      <c r="D52" s="212" t="s">
        <v>995</v>
      </c>
    </row>
    <row r="53" spans="1:4">
      <c r="A53" s="558">
        <v>28</v>
      </c>
      <c r="B53" s="79" t="s">
        <v>181</v>
      </c>
      <c r="C53" s="230">
        <f>'2. RC'!E38</f>
        <v>73960973</v>
      </c>
      <c r="D53" s="212" t="s">
        <v>997</v>
      </c>
    </row>
    <row r="54" spans="1:4">
      <c r="A54" s="558">
        <v>29</v>
      </c>
      <c r="B54" s="79" t="s">
        <v>35</v>
      </c>
      <c r="C54" s="230">
        <f>'2. RC'!E39</f>
        <v>-261450</v>
      </c>
      <c r="D54" s="212" t="s">
        <v>1053</v>
      </c>
    </row>
    <row r="55" spans="1:4" ht="16.5" thickBot="1">
      <c r="A55" s="136">
        <v>30</v>
      </c>
      <c r="B55" s="137" t="s">
        <v>182</v>
      </c>
      <c r="C55" s="236">
        <f>SUM(C46:C50,C53:C54)</f>
        <v>195567557</v>
      </c>
      <c r="D55" s="13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C8" activePane="bottomRight" state="frozen"/>
      <selection pane="topRight"/>
      <selection pane="bottomLeft"/>
      <selection pane="bottomRight"/>
    </sheetView>
  </sheetViews>
  <sheetFormatPr defaultColWidth="9.28515625" defaultRowHeight="12.75"/>
  <cols>
    <col min="1" max="1" width="10.5703125" style="1" bestFit="1" customWidth="1"/>
    <col min="2" max="2" width="95" style="1" customWidth="1"/>
    <col min="3" max="12" width="12.140625" style="1" customWidth="1"/>
    <col min="13" max="13" width="13.7109375" style="1" customWidth="1"/>
    <col min="14" max="18" width="12.140625" style="1" customWidth="1"/>
    <col min="19" max="19" width="26" style="1" customWidth="1"/>
    <col min="20" max="16384" width="9.28515625" style="9"/>
  </cols>
  <sheetData>
    <row r="1" spans="1:19">
      <c r="A1" s="1" t="s">
        <v>188</v>
      </c>
      <c r="B1" s="1" t="str">
        <f>Info!C2</f>
        <v>სს "ბანკი ქართუ"</v>
      </c>
    </row>
    <row r="2" spans="1:19">
      <c r="A2" s="1" t="s">
        <v>189</v>
      </c>
      <c r="B2" s="390">
        <f>'1. key ratios'!B2</f>
        <v>44651</v>
      </c>
    </row>
    <row r="4" spans="1:19" ht="26.25" thickBot="1">
      <c r="A4" s="60" t="s">
        <v>415</v>
      </c>
      <c r="B4" s="255" t="s">
        <v>457</v>
      </c>
    </row>
    <row r="5" spans="1:19">
      <c r="A5" s="119"/>
      <c r="B5" s="121"/>
      <c r="C5" s="105" t="s">
        <v>0</v>
      </c>
      <c r="D5" s="105" t="s">
        <v>1</v>
      </c>
      <c r="E5" s="105" t="s">
        <v>2</v>
      </c>
      <c r="F5" s="105" t="s">
        <v>3</v>
      </c>
      <c r="G5" s="105" t="s">
        <v>4</v>
      </c>
      <c r="H5" s="105" t="s">
        <v>5</v>
      </c>
      <c r="I5" s="105" t="s">
        <v>238</v>
      </c>
      <c r="J5" s="105" t="s">
        <v>239</v>
      </c>
      <c r="K5" s="105" t="s">
        <v>240</v>
      </c>
      <c r="L5" s="105" t="s">
        <v>241</v>
      </c>
      <c r="M5" s="105" t="s">
        <v>242</v>
      </c>
      <c r="N5" s="105" t="s">
        <v>243</v>
      </c>
      <c r="O5" s="105" t="s">
        <v>444</v>
      </c>
      <c r="P5" s="105" t="s">
        <v>445</v>
      </c>
      <c r="Q5" s="105" t="s">
        <v>446</v>
      </c>
      <c r="R5" s="250" t="s">
        <v>447</v>
      </c>
      <c r="S5" s="106" t="s">
        <v>448</v>
      </c>
    </row>
    <row r="6" spans="1:19" ht="46.5" customHeight="1">
      <c r="A6" s="142"/>
      <c r="B6" s="710" t="s">
        <v>449</v>
      </c>
      <c r="C6" s="708">
        <v>0</v>
      </c>
      <c r="D6" s="709"/>
      <c r="E6" s="708">
        <v>0.2</v>
      </c>
      <c r="F6" s="709"/>
      <c r="G6" s="708">
        <v>0.35</v>
      </c>
      <c r="H6" s="709"/>
      <c r="I6" s="708">
        <v>0.5</v>
      </c>
      <c r="J6" s="709"/>
      <c r="K6" s="708">
        <v>0.75</v>
      </c>
      <c r="L6" s="709"/>
      <c r="M6" s="708">
        <v>1</v>
      </c>
      <c r="N6" s="709"/>
      <c r="O6" s="708">
        <v>1.5</v>
      </c>
      <c r="P6" s="709"/>
      <c r="Q6" s="708">
        <v>2.5</v>
      </c>
      <c r="R6" s="709"/>
      <c r="S6" s="706" t="s">
        <v>251</v>
      </c>
    </row>
    <row r="7" spans="1:19">
      <c r="A7" s="142"/>
      <c r="B7" s="711"/>
      <c r="C7" s="254" t="s">
        <v>442</v>
      </c>
      <c r="D7" s="254" t="s">
        <v>443</v>
      </c>
      <c r="E7" s="254" t="s">
        <v>442</v>
      </c>
      <c r="F7" s="254" t="s">
        <v>443</v>
      </c>
      <c r="G7" s="254" t="s">
        <v>442</v>
      </c>
      <c r="H7" s="254" t="s">
        <v>443</v>
      </c>
      <c r="I7" s="254" t="s">
        <v>442</v>
      </c>
      <c r="J7" s="254" t="s">
        <v>443</v>
      </c>
      <c r="K7" s="254" t="s">
        <v>442</v>
      </c>
      <c r="L7" s="254" t="s">
        <v>443</v>
      </c>
      <c r="M7" s="254" t="s">
        <v>442</v>
      </c>
      <c r="N7" s="254" t="s">
        <v>443</v>
      </c>
      <c r="O7" s="254" t="s">
        <v>442</v>
      </c>
      <c r="P7" s="254" t="s">
        <v>443</v>
      </c>
      <c r="Q7" s="254" t="s">
        <v>442</v>
      </c>
      <c r="R7" s="254" t="s">
        <v>443</v>
      </c>
      <c r="S7" s="707"/>
    </row>
    <row r="8" spans="1:19">
      <c r="A8" s="109">
        <v>1</v>
      </c>
      <c r="B8" s="163" t="s">
        <v>216</v>
      </c>
      <c r="C8" s="569">
        <v>37056049</v>
      </c>
      <c r="D8" s="569"/>
      <c r="E8" s="569"/>
      <c r="F8" s="570"/>
      <c r="G8" s="569"/>
      <c r="H8" s="569"/>
      <c r="I8" s="569"/>
      <c r="J8" s="569"/>
      <c r="K8" s="569"/>
      <c r="L8" s="569"/>
      <c r="M8" s="569">
        <v>204617975</v>
      </c>
      <c r="N8" s="569"/>
      <c r="O8" s="569"/>
      <c r="P8" s="569"/>
      <c r="Q8" s="569"/>
      <c r="R8" s="570"/>
      <c r="S8" s="571">
        <f>$C$6*SUM(C8:D8)+$E$6*SUM(E8:F8)+$G$6*SUM(G8:H8)+$I$6*SUM(I8:J8)+$K$6*SUM(K8:L8)+$M$6*SUM(M8:N8)+$O$6*SUM(O8:P8)+$Q$6*SUM(Q8:R8)</f>
        <v>204617975</v>
      </c>
    </row>
    <row r="9" spans="1:19">
      <c r="A9" s="109">
        <v>2</v>
      </c>
      <c r="B9" s="163" t="s">
        <v>217</v>
      </c>
      <c r="C9" s="569"/>
      <c r="D9" s="569"/>
      <c r="E9" s="569"/>
      <c r="F9" s="569"/>
      <c r="G9" s="569"/>
      <c r="H9" s="569"/>
      <c r="I9" s="569"/>
      <c r="J9" s="569"/>
      <c r="K9" s="569"/>
      <c r="L9" s="569"/>
      <c r="M9" s="569">
        <v>0</v>
      </c>
      <c r="N9" s="569"/>
      <c r="O9" s="569"/>
      <c r="P9" s="569"/>
      <c r="Q9" s="569"/>
      <c r="R9" s="570"/>
      <c r="S9" s="571">
        <f t="shared" ref="S9:S21" si="0">$C$6*SUM(C9:D9)+$E$6*SUM(E9:F9)+$G$6*SUM(G9:H9)+$I$6*SUM(I9:J9)+$K$6*SUM(K9:L9)+$M$6*SUM(M9:N9)+$O$6*SUM(O9:P9)+$Q$6*SUM(Q9:R9)</f>
        <v>0</v>
      </c>
    </row>
    <row r="10" spans="1:19">
      <c r="A10" s="109">
        <v>3</v>
      </c>
      <c r="B10" s="163" t="s">
        <v>218</v>
      </c>
      <c r="C10" s="569"/>
      <c r="D10" s="569"/>
      <c r="E10" s="569"/>
      <c r="F10" s="569"/>
      <c r="G10" s="569"/>
      <c r="H10" s="569"/>
      <c r="I10" s="569"/>
      <c r="J10" s="569"/>
      <c r="K10" s="569"/>
      <c r="L10" s="569"/>
      <c r="M10" s="569">
        <v>0</v>
      </c>
      <c r="N10" s="569"/>
      <c r="O10" s="569"/>
      <c r="P10" s="569"/>
      <c r="Q10" s="569"/>
      <c r="R10" s="570"/>
      <c r="S10" s="571">
        <f t="shared" si="0"/>
        <v>0</v>
      </c>
    </row>
    <row r="11" spans="1:19">
      <c r="A11" s="109">
        <v>4</v>
      </c>
      <c r="B11" s="163" t="s">
        <v>219</v>
      </c>
      <c r="C11" s="569"/>
      <c r="D11" s="569"/>
      <c r="E11" s="569"/>
      <c r="F11" s="569"/>
      <c r="G11" s="569"/>
      <c r="H11" s="569"/>
      <c r="I11" s="569"/>
      <c r="J11" s="569"/>
      <c r="K11" s="569"/>
      <c r="L11" s="569"/>
      <c r="M11" s="569">
        <v>0</v>
      </c>
      <c r="N11" s="569"/>
      <c r="O11" s="569"/>
      <c r="P11" s="569"/>
      <c r="Q11" s="569"/>
      <c r="R11" s="570"/>
      <c r="S11" s="571">
        <f t="shared" si="0"/>
        <v>0</v>
      </c>
    </row>
    <row r="12" spans="1:19">
      <c r="A12" s="109">
        <v>5</v>
      </c>
      <c r="B12" s="163" t="s">
        <v>220</v>
      </c>
      <c r="C12" s="569"/>
      <c r="D12" s="569"/>
      <c r="E12" s="569"/>
      <c r="F12" s="569"/>
      <c r="G12" s="569"/>
      <c r="H12" s="569"/>
      <c r="I12" s="569"/>
      <c r="J12" s="569"/>
      <c r="K12" s="569"/>
      <c r="L12" s="569"/>
      <c r="M12" s="569">
        <v>0</v>
      </c>
      <c r="N12" s="569"/>
      <c r="O12" s="569"/>
      <c r="P12" s="569"/>
      <c r="Q12" s="569"/>
      <c r="R12" s="570"/>
      <c r="S12" s="571">
        <f t="shared" si="0"/>
        <v>0</v>
      </c>
    </row>
    <row r="13" spans="1:19">
      <c r="A13" s="109">
        <v>6</v>
      </c>
      <c r="B13" s="163" t="s">
        <v>221</v>
      </c>
      <c r="C13" s="569">
        <v>0</v>
      </c>
      <c r="D13" s="569"/>
      <c r="E13" s="569">
        <v>85340315.519999996</v>
      </c>
      <c r="F13" s="569"/>
      <c r="G13" s="569"/>
      <c r="H13" s="569"/>
      <c r="I13" s="569">
        <v>108988503.64</v>
      </c>
      <c r="J13" s="569"/>
      <c r="K13" s="569"/>
      <c r="L13" s="569"/>
      <c r="M13" s="569">
        <v>149521.84000000358</v>
      </c>
      <c r="N13" s="569"/>
      <c r="O13" s="569">
        <v>162031</v>
      </c>
      <c r="P13" s="569"/>
      <c r="Q13" s="569"/>
      <c r="R13" s="570"/>
      <c r="S13" s="571">
        <f t="shared" si="0"/>
        <v>71954883.263999999</v>
      </c>
    </row>
    <row r="14" spans="1:19">
      <c r="A14" s="109">
        <v>7</v>
      </c>
      <c r="B14" s="163" t="s">
        <v>73</v>
      </c>
      <c r="C14" s="569"/>
      <c r="D14" s="569"/>
      <c r="E14" s="569"/>
      <c r="F14" s="569"/>
      <c r="G14" s="569"/>
      <c r="H14" s="569"/>
      <c r="I14" s="569"/>
      <c r="J14" s="569"/>
      <c r="K14" s="569"/>
      <c r="L14" s="569"/>
      <c r="M14" s="569">
        <v>721517768.86174488</v>
      </c>
      <c r="N14" s="569">
        <v>25568153.175408587</v>
      </c>
      <c r="O14" s="569">
        <v>0</v>
      </c>
      <c r="P14" s="569"/>
      <c r="Q14" s="569">
        <v>0</v>
      </c>
      <c r="R14" s="570">
        <v>0</v>
      </c>
      <c r="S14" s="571">
        <f t="shared" si="0"/>
        <v>747085922.03715348</v>
      </c>
    </row>
    <row r="15" spans="1:19">
      <c r="A15" s="109">
        <v>8</v>
      </c>
      <c r="B15" s="163" t="s">
        <v>74</v>
      </c>
      <c r="C15" s="569"/>
      <c r="D15" s="569"/>
      <c r="E15" s="569"/>
      <c r="F15" s="569"/>
      <c r="G15" s="569"/>
      <c r="H15" s="569"/>
      <c r="I15" s="569"/>
      <c r="J15" s="569"/>
      <c r="K15" s="569"/>
      <c r="L15" s="569"/>
      <c r="M15" s="569"/>
      <c r="N15" s="569"/>
      <c r="O15" s="569"/>
      <c r="P15" s="569"/>
      <c r="Q15" s="569"/>
      <c r="R15" s="570"/>
      <c r="S15" s="571">
        <f t="shared" si="0"/>
        <v>0</v>
      </c>
    </row>
    <row r="16" spans="1:19">
      <c r="A16" s="109">
        <v>9</v>
      </c>
      <c r="B16" s="163" t="s">
        <v>75</v>
      </c>
      <c r="C16" s="569"/>
      <c r="D16" s="569"/>
      <c r="E16" s="569"/>
      <c r="F16" s="569"/>
      <c r="G16" s="569"/>
      <c r="H16" s="569"/>
      <c r="I16" s="569"/>
      <c r="J16" s="569"/>
      <c r="K16" s="569"/>
      <c r="L16" s="569"/>
      <c r="M16" s="569">
        <v>0</v>
      </c>
      <c r="N16" s="569"/>
      <c r="O16" s="569"/>
      <c r="P16" s="569"/>
      <c r="Q16" s="569"/>
      <c r="R16" s="570"/>
      <c r="S16" s="571">
        <f t="shared" si="0"/>
        <v>0</v>
      </c>
    </row>
    <row r="17" spans="1:19">
      <c r="A17" s="109">
        <v>10</v>
      </c>
      <c r="B17" s="163" t="s">
        <v>69</v>
      </c>
      <c r="C17" s="569"/>
      <c r="D17" s="569"/>
      <c r="E17" s="569"/>
      <c r="F17" s="569"/>
      <c r="G17" s="569"/>
      <c r="H17" s="569"/>
      <c r="I17" s="569"/>
      <c r="J17" s="569"/>
      <c r="K17" s="569"/>
      <c r="L17" s="569"/>
      <c r="M17" s="569">
        <v>97620234.997077942</v>
      </c>
      <c r="N17" s="569">
        <v>186445.58499997854</v>
      </c>
      <c r="O17" s="569">
        <v>0</v>
      </c>
      <c r="P17" s="569"/>
      <c r="Q17" s="569">
        <v>0</v>
      </c>
      <c r="R17" s="570"/>
      <c r="S17" s="571">
        <f t="shared" si="0"/>
        <v>97806680.58207792</v>
      </c>
    </row>
    <row r="18" spans="1:19">
      <c r="A18" s="109">
        <v>11</v>
      </c>
      <c r="B18" s="163" t="s">
        <v>70</v>
      </c>
      <c r="C18" s="569"/>
      <c r="D18" s="569"/>
      <c r="E18" s="569"/>
      <c r="F18" s="569"/>
      <c r="G18" s="569"/>
      <c r="H18" s="569"/>
      <c r="I18" s="569"/>
      <c r="J18" s="569"/>
      <c r="K18" s="569"/>
      <c r="L18" s="569"/>
      <c r="M18" s="569">
        <v>0</v>
      </c>
      <c r="N18" s="569"/>
      <c r="O18" s="569"/>
      <c r="P18" s="569"/>
      <c r="Q18" s="569"/>
      <c r="R18" s="570"/>
      <c r="S18" s="571">
        <f t="shared" si="0"/>
        <v>0</v>
      </c>
    </row>
    <row r="19" spans="1:19">
      <c r="A19" s="109">
        <v>12</v>
      </c>
      <c r="B19" s="163" t="s">
        <v>71</v>
      </c>
      <c r="C19" s="569"/>
      <c r="D19" s="569"/>
      <c r="E19" s="569"/>
      <c r="F19" s="569"/>
      <c r="G19" s="569"/>
      <c r="H19" s="569"/>
      <c r="I19" s="569"/>
      <c r="J19" s="569"/>
      <c r="K19" s="569"/>
      <c r="L19" s="569"/>
      <c r="M19" s="569">
        <v>0</v>
      </c>
      <c r="N19" s="569"/>
      <c r="O19" s="569"/>
      <c r="P19" s="569"/>
      <c r="Q19" s="569"/>
      <c r="R19" s="570"/>
      <c r="S19" s="571">
        <f t="shared" si="0"/>
        <v>0</v>
      </c>
    </row>
    <row r="20" spans="1:19">
      <c r="A20" s="109">
        <v>13</v>
      </c>
      <c r="B20" s="163" t="s">
        <v>72</v>
      </c>
      <c r="C20" s="569"/>
      <c r="D20" s="569"/>
      <c r="E20" s="569"/>
      <c r="F20" s="569"/>
      <c r="G20" s="569"/>
      <c r="H20" s="569"/>
      <c r="I20" s="569"/>
      <c r="J20" s="569"/>
      <c r="K20" s="569"/>
      <c r="L20" s="569"/>
      <c r="M20" s="569">
        <v>0</v>
      </c>
      <c r="N20" s="569"/>
      <c r="O20" s="569"/>
      <c r="P20" s="569"/>
      <c r="Q20" s="569"/>
      <c r="R20" s="570"/>
      <c r="S20" s="571">
        <f t="shared" si="0"/>
        <v>0</v>
      </c>
    </row>
    <row r="21" spans="1:19">
      <c r="A21" s="109">
        <v>14</v>
      </c>
      <c r="B21" s="163" t="s">
        <v>249</v>
      </c>
      <c r="C21" s="569">
        <v>17408924</v>
      </c>
      <c r="D21" s="569"/>
      <c r="E21" s="569">
        <v>0</v>
      </c>
      <c r="F21" s="569"/>
      <c r="G21" s="569"/>
      <c r="H21" s="569">
        <v>0</v>
      </c>
      <c r="I21" s="569">
        <v>0</v>
      </c>
      <c r="J21" s="569"/>
      <c r="K21" s="569"/>
      <c r="L21" s="569"/>
      <c r="M21" s="569">
        <v>90030133.188834012</v>
      </c>
      <c r="N21" s="569">
        <v>1308453.7765499982</v>
      </c>
      <c r="O21" s="569">
        <v>0</v>
      </c>
      <c r="P21" s="569"/>
      <c r="Q21" s="569">
        <v>15836020</v>
      </c>
      <c r="R21" s="570"/>
      <c r="S21" s="571">
        <f t="shared" si="0"/>
        <v>130928636.96538401</v>
      </c>
    </row>
    <row r="22" spans="1:19" ht="13.5" thickBot="1">
      <c r="A22" s="92"/>
      <c r="B22" s="147" t="s">
        <v>68</v>
      </c>
      <c r="C22" s="238">
        <f>SUM(C8:C21)</f>
        <v>54464973</v>
      </c>
      <c r="D22" s="238">
        <f t="shared" ref="D22:S22" si="1">SUM(D8:D21)</f>
        <v>0</v>
      </c>
      <c r="E22" s="238">
        <f t="shared" si="1"/>
        <v>85340315.519999996</v>
      </c>
      <c r="F22" s="238">
        <f t="shared" si="1"/>
        <v>0</v>
      </c>
      <c r="G22" s="238">
        <f t="shared" si="1"/>
        <v>0</v>
      </c>
      <c r="H22" s="238">
        <f t="shared" si="1"/>
        <v>0</v>
      </c>
      <c r="I22" s="238">
        <f t="shared" si="1"/>
        <v>108988503.64</v>
      </c>
      <c r="J22" s="238">
        <f t="shared" si="1"/>
        <v>0</v>
      </c>
      <c r="K22" s="238">
        <f t="shared" si="1"/>
        <v>0</v>
      </c>
      <c r="L22" s="238">
        <f t="shared" si="1"/>
        <v>0</v>
      </c>
      <c r="M22" s="238">
        <f t="shared" si="1"/>
        <v>1113935633.8876569</v>
      </c>
      <c r="N22" s="238">
        <f t="shared" si="1"/>
        <v>27063052.536958564</v>
      </c>
      <c r="O22" s="238">
        <f t="shared" si="1"/>
        <v>162031</v>
      </c>
      <c r="P22" s="238">
        <f t="shared" si="1"/>
        <v>0</v>
      </c>
      <c r="Q22" s="238">
        <f t="shared" si="1"/>
        <v>15836020</v>
      </c>
      <c r="R22" s="238">
        <f t="shared" si="1"/>
        <v>0</v>
      </c>
      <c r="S22" s="572">
        <f t="shared" si="1"/>
        <v>1252394097.8486154</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7" activePane="bottomRight" state="frozen"/>
      <selection activeCell="G22" sqref="G22"/>
      <selection pane="topRight" activeCell="G22" sqref="G22"/>
      <selection pane="bottomLeft" activeCell="G22" sqref="G22"/>
      <selection pane="bottomRight"/>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"ბანკი ქართუ"</v>
      </c>
    </row>
    <row r="2" spans="1:22">
      <c r="A2" s="1" t="s">
        <v>189</v>
      </c>
      <c r="B2" s="390">
        <f>'1. key ratios'!B2</f>
        <v>44651</v>
      </c>
    </row>
    <row r="4" spans="1:22" ht="27.75" thickBot="1">
      <c r="A4" s="1" t="s">
        <v>416</v>
      </c>
      <c r="B4" s="255" t="s">
        <v>458</v>
      </c>
      <c r="V4" s="188" t="s">
        <v>93</v>
      </c>
    </row>
    <row r="5" spans="1:22">
      <c r="A5" s="90"/>
      <c r="B5" s="91"/>
      <c r="C5" s="712" t="s">
        <v>198</v>
      </c>
      <c r="D5" s="713"/>
      <c r="E5" s="713"/>
      <c r="F5" s="713"/>
      <c r="G5" s="713"/>
      <c r="H5" s="713"/>
      <c r="I5" s="713"/>
      <c r="J5" s="713"/>
      <c r="K5" s="713"/>
      <c r="L5" s="714"/>
      <c r="M5" s="712" t="s">
        <v>199</v>
      </c>
      <c r="N5" s="713"/>
      <c r="O5" s="713"/>
      <c r="P5" s="713"/>
      <c r="Q5" s="713"/>
      <c r="R5" s="713"/>
      <c r="S5" s="714"/>
      <c r="T5" s="717" t="s">
        <v>456</v>
      </c>
      <c r="U5" s="717" t="s">
        <v>455</v>
      </c>
      <c r="V5" s="715" t="s">
        <v>200</v>
      </c>
    </row>
    <row r="6" spans="1:22" s="60" customFormat="1" ht="127.5">
      <c r="A6" s="107"/>
      <c r="B6" s="165"/>
      <c r="C6" s="88" t="s">
        <v>201</v>
      </c>
      <c r="D6" s="87" t="s">
        <v>202</v>
      </c>
      <c r="E6" s="85" t="s">
        <v>203</v>
      </c>
      <c r="F6" s="85" t="s">
        <v>450</v>
      </c>
      <c r="G6" s="87" t="s">
        <v>204</v>
      </c>
      <c r="H6" s="87" t="s">
        <v>205</v>
      </c>
      <c r="I6" s="87" t="s">
        <v>206</v>
      </c>
      <c r="J6" s="87" t="s">
        <v>248</v>
      </c>
      <c r="K6" s="87" t="s">
        <v>207</v>
      </c>
      <c r="L6" s="89" t="s">
        <v>208</v>
      </c>
      <c r="M6" s="88" t="s">
        <v>209</v>
      </c>
      <c r="N6" s="87" t="s">
        <v>210</v>
      </c>
      <c r="O6" s="87" t="s">
        <v>211</v>
      </c>
      <c r="P6" s="87" t="s">
        <v>212</v>
      </c>
      <c r="Q6" s="87" t="s">
        <v>213</v>
      </c>
      <c r="R6" s="87" t="s">
        <v>214</v>
      </c>
      <c r="S6" s="89" t="s">
        <v>215</v>
      </c>
      <c r="T6" s="718"/>
      <c r="U6" s="718"/>
      <c r="V6" s="716"/>
    </row>
    <row r="7" spans="1:22">
      <c r="A7" s="146">
        <v>1</v>
      </c>
      <c r="B7" s="145" t="s">
        <v>216</v>
      </c>
      <c r="C7" s="573"/>
      <c r="D7" s="569"/>
      <c r="E7" s="569"/>
      <c r="F7" s="569"/>
      <c r="G7" s="569"/>
      <c r="H7" s="569"/>
      <c r="I7" s="569"/>
      <c r="J7" s="569"/>
      <c r="K7" s="569"/>
      <c r="L7" s="574"/>
      <c r="M7" s="573"/>
      <c r="N7" s="569"/>
      <c r="O7" s="569"/>
      <c r="P7" s="569"/>
      <c r="Q7" s="569"/>
      <c r="R7" s="569"/>
      <c r="S7" s="574"/>
      <c r="T7" s="252"/>
      <c r="U7" s="575"/>
      <c r="V7" s="576">
        <f>SUM(C7:S7)</f>
        <v>0</v>
      </c>
    </row>
    <row r="8" spans="1:22">
      <c r="A8" s="146">
        <v>2</v>
      </c>
      <c r="B8" s="145" t="s">
        <v>217</v>
      </c>
      <c r="C8" s="573"/>
      <c r="D8" s="569"/>
      <c r="E8" s="569"/>
      <c r="F8" s="569"/>
      <c r="G8" s="569"/>
      <c r="H8" s="569"/>
      <c r="I8" s="569"/>
      <c r="J8" s="569"/>
      <c r="K8" s="569"/>
      <c r="L8" s="574"/>
      <c r="M8" s="573"/>
      <c r="N8" s="569"/>
      <c r="O8" s="569"/>
      <c r="P8" s="569"/>
      <c r="Q8" s="569"/>
      <c r="R8" s="569"/>
      <c r="S8" s="574"/>
      <c r="T8" s="575"/>
      <c r="U8" s="575"/>
      <c r="V8" s="576">
        <f t="shared" ref="V8:V20" si="0">SUM(C8:S8)</f>
        <v>0</v>
      </c>
    </row>
    <row r="9" spans="1:22">
      <c r="A9" s="146">
        <v>3</v>
      </c>
      <c r="B9" s="145" t="s">
        <v>218</v>
      </c>
      <c r="C9" s="573"/>
      <c r="D9" s="569"/>
      <c r="E9" s="569"/>
      <c r="F9" s="569"/>
      <c r="G9" s="569"/>
      <c r="H9" s="569"/>
      <c r="I9" s="569"/>
      <c r="J9" s="569"/>
      <c r="K9" s="569"/>
      <c r="L9" s="574"/>
      <c r="M9" s="573"/>
      <c r="N9" s="569"/>
      <c r="O9" s="569"/>
      <c r="P9" s="569"/>
      <c r="Q9" s="569"/>
      <c r="R9" s="569"/>
      <c r="S9" s="574"/>
      <c r="T9" s="575"/>
      <c r="U9" s="575"/>
      <c r="V9" s="576">
        <f>SUM(C9:S9)</f>
        <v>0</v>
      </c>
    </row>
    <row r="10" spans="1:22">
      <c r="A10" s="146">
        <v>4</v>
      </c>
      <c r="B10" s="145" t="s">
        <v>219</v>
      </c>
      <c r="C10" s="573"/>
      <c r="D10" s="569"/>
      <c r="E10" s="569"/>
      <c r="F10" s="569"/>
      <c r="G10" s="569"/>
      <c r="H10" s="569"/>
      <c r="I10" s="569"/>
      <c r="J10" s="569"/>
      <c r="K10" s="569"/>
      <c r="L10" s="574"/>
      <c r="M10" s="573"/>
      <c r="N10" s="569"/>
      <c r="O10" s="569"/>
      <c r="P10" s="569"/>
      <c r="Q10" s="569"/>
      <c r="R10" s="569"/>
      <c r="S10" s="574"/>
      <c r="T10" s="575"/>
      <c r="U10" s="575"/>
      <c r="V10" s="576">
        <f t="shared" si="0"/>
        <v>0</v>
      </c>
    </row>
    <row r="11" spans="1:22">
      <c r="A11" s="146">
        <v>5</v>
      </c>
      <c r="B11" s="145" t="s">
        <v>220</v>
      </c>
      <c r="C11" s="573"/>
      <c r="D11" s="569"/>
      <c r="E11" s="569"/>
      <c r="F11" s="569"/>
      <c r="G11" s="569"/>
      <c r="H11" s="569"/>
      <c r="I11" s="569"/>
      <c r="J11" s="569"/>
      <c r="K11" s="569"/>
      <c r="L11" s="574"/>
      <c r="M11" s="573"/>
      <c r="N11" s="569"/>
      <c r="O11" s="569"/>
      <c r="P11" s="569"/>
      <c r="Q11" s="569"/>
      <c r="R11" s="569"/>
      <c r="S11" s="574"/>
      <c r="T11" s="575"/>
      <c r="U11" s="575"/>
      <c r="V11" s="576">
        <f t="shared" si="0"/>
        <v>0</v>
      </c>
    </row>
    <row r="12" spans="1:22">
      <c r="A12" s="146">
        <v>6</v>
      </c>
      <c r="B12" s="145" t="s">
        <v>221</v>
      </c>
      <c r="C12" s="573"/>
      <c r="D12" s="569"/>
      <c r="E12" s="569"/>
      <c r="F12" s="569"/>
      <c r="G12" s="569"/>
      <c r="H12" s="569"/>
      <c r="I12" s="569"/>
      <c r="J12" s="569"/>
      <c r="K12" s="569"/>
      <c r="L12" s="574"/>
      <c r="M12" s="573"/>
      <c r="N12" s="569"/>
      <c r="O12" s="569"/>
      <c r="P12" s="569"/>
      <c r="Q12" s="569"/>
      <c r="R12" s="569"/>
      <c r="S12" s="574"/>
      <c r="T12" s="575"/>
      <c r="U12" s="575"/>
      <c r="V12" s="576">
        <f t="shared" si="0"/>
        <v>0</v>
      </c>
    </row>
    <row r="13" spans="1:22">
      <c r="A13" s="146">
        <v>7</v>
      </c>
      <c r="B13" s="145" t="s">
        <v>73</v>
      </c>
      <c r="C13" s="573"/>
      <c r="D13" s="569">
        <v>36103805.90161071</v>
      </c>
      <c r="E13" s="569"/>
      <c r="F13" s="569"/>
      <c r="G13" s="569"/>
      <c r="H13" s="569"/>
      <c r="I13" s="569"/>
      <c r="J13" s="569"/>
      <c r="K13" s="569"/>
      <c r="L13" s="574"/>
      <c r="M13" s="573"/>
      <c r="N13" s="569"/>
      <c r="O13" s="569"/>
      <c r="P13" s="569"/>
      <c r="Q13" s="569"/>
      <c r="R13" s="569"/>
      <c r="S13" s="574"/>
      <c r="T13" s="575">
        <v>33948043.683700733</v>
      </c>
      <c r="U13" s="575">
        <v>2155762.2179099745</v>
      </c>
      <c r="V13" s="576">
        <f t="shared" si="0"/>
        <v>36103805.90161071</v>
      </c>
    </row>
    <row r="14" spans="1:22">
      <c r="A14" s="146">
        <v>8</v>
      </c>
      <c r="B14" s="145" t="s">
        <v>74</v>
      </c>
      <c r="C14" s="573"/>
      <c r="D14" s="569"/>
      <c r="E14" s="569"/>
      <c r="F14" s="569"/>
      <c r="G14" s="569"/>
      <c r="H14" s="569"/>
      <c r="I14" s="569"/>
      <c r="J14" s="569"/>
      <c r="K14" s="569"/>
      <c r="L14" s="574"/>
      <c r="M14" s="573"/>
      <c r="N14" s="569"/>
      <c r="O14" s="569"/>
      <c r="P14" s="569"/>
      <c r="Q14" s="569"/>
      <c r="R14" s="569"/>
      <c r="S14" s="574"/>
      <c r="T14" s="575"/>
      <c r="U14" s="575"/>
      <c r="V14" s="576">
        <f t="shared" si="0"/>
        <v>0</v>
      </c>
    </row>
    <row r="15" spans="1:22">
      <c r="A15" s="146">
        <v>9</v>
      </c>
      <c r="B15" s="145" t="s">
        <v>75</v>
      </c>
      <c r="C15" s="573"/>
      <c r="D15" s="569"/>
      <c r="E15" s="569"/>
      <c r="F15" s="569"/>
      <c r="G15" s="569"/>
      <c r="H15" s="569"/>
      <c r="I15" s="569"/>
      <c r="J15" s="569"/>
      <c r="K15" s="569"/>
      <c r="L15" s="574"/>
      <c r="M15" s="573"/>
      <c r="N15" s="569"/>
      <c r="O15" s="569"/>
      <c r="P15" s="569"/>
      <c r="Q15" s="569"/>
      <c r="R15" s="569"/>
      <c r="S15" s="574"/>
      <c r="T15" s="575"/>
      <c r="U15" s="575"/>
      <c r="V15" s="576">
        <f t="shared" si="0"/>
        <v>0</v>
      </c>
    </row>
    <row r="16" spans="1:22">
      <c r="A16" s="146">
        <v>10</v>
      </c>
      <c r="B16" s="145" t="s">
        <v>69</v>
      </c>
      <c r="C16" s="573"/>
      <c r="D16" s="569">
        <v>92960.293085485755</v>
      </c>
      <c r="E16" s="569"/>
      <c r="F16" s="569"/>
      <c r="G16" s="569"/>
      <c r="H16" s="569"/>
      <c r="I16" s="569"/>
      <c r="J16" s="569"/>
      <c r="K16" s="569"/>
      <c r="L16" s="574"/>
      <c r="M16" s="573"/>
      <c r="N16" s="569"/>
      <c r="O16" s="569"/>
      <c r="P16" s="569"/>
      <c r="Q16" s="569"/>
      <c r="R16" s="569"/>
      <c r="S16" s="574"/>
      <c r="T16" s="575">
        <v>92960.293085485755</v>
      </c>
      <c r="U16" s="575">
        <v>0</v>
      </c>
      <c r="V16" s="576">
        <f t="shared" si="0"/>
        <v>92960.293085485755</v>
      </c>
    </row>
    <row r="17" spans="1:22">
      <c r="A17" s="146">
        <v>11</v>
      </c>
      <c r="B17" s="145" t="s">
        <v>70</v>
      </c>
      <c r="C17" s="573"/>
      <c r="D17" s="569"/>
      <c r="E17" s="569"/>
      <c r="F17" s="569"/>
      <c r="G17" s="569"/>
      <c r="H17" s="569"/>
      <c r="I17" s="569"/>
      <c r="J17" s="569"/>
      <c r="K17" s="569"/>
      <c r="L17" s="574"/>
      <c r="M17" s="573"/>
      <c r="N17" s="569"/>
      <c r="O17" s="569"/>
      <c r="P17" s="569"/>
      <c r="Q17" s="569"/>
      <c r="R17" s="569"/>
      <c r="S17" s="574"/>
      <c r="T17" s="575"/>
      <c r="U17" s="575"/>
      <c r="V17" s="576">
        <f t="shared" si="0"/>
        <v>0</v>
      </c>
    </row>
    <row r="18" spans="1:22">
      <c r="A18" s="146">
        <v>12</v>
      </c>
      <c r="B18" s="145" t="s">
        <v>71</v>
      </c>
      <c r="C18" s="573"/>
      <c r="D18" s="569"/>
      <c r="E18" s="569"/>
      <c r="F18" s="569"/>
      <c r="G18" s="569"/>
      <c r="H18" s="569"/>
      <c r="I18" s="569"/>
      <c r="J18" s="569"/>
      <c r="K18" s="569"/>
      <c r="L18" s="574"/>
      <c r="M18" s="573"/>
      <c r="N18" s="569"/>
      <c r="O18" s="569"/>
      <c r="P18" s="569"/>
      <c r="Q18" s="569"/>
      <c r="R18" s="569"/>
      <c r="S18" s="574"/>
      <c r="T18" s="575"/>
      <c r="U18" s="575"/>
      <c r="V18" s="576">
        <f t="shared" si="0"/>
        <v>0</v>
      </c>
    </row>
    <row r="19" spans="1:22">
      <c r="A19" s="146">
        <v>13</v>
      </c>
      <c r="B19" s="145" t="s">
        <v>72</v>
      </c>
      <c r="C19" s="573"/>
      <c r="D19" s="569"/>
      <c r="E19" s="569"/>
      <c r="F19" s="569"/>
      <c r="G19" s="569"/>
      <c r="H19" s="569"/>
      <c r="I19" s="569"/>
      <c r="J19" s="569"/>
      <c r="K19" s="569"/>
      <c r="L19" s="574"/>
      <c r="M19" s="573"/>
      <c r="N19" s="569"/>
      <c r="O19" s="569"/>
      <c r="P19" s="569"/>
      <c r="Q19" s="569"/>
      <c r="R19" s="569"/>
      <c r="S19" s="574"/>
      <c r="T19" s="575"/>
      <c r="U19" s="575"/>
      <c r="V19" s="576">
        <f t="shared" si="0"/>
        <v>0</v>
      </c>
    </row>
    <row r="20" spans="1:22">
      <c r="A20" s="146">
        <v>14</v>
      </c>
      <c r="B20" s="145" t="s">
        <v>249</v>
      </c>
      <c r="C20" s="573"/>
      <c r="D20" s="569">
        <v>2020139.7791275999</v>
      </c>
      <c r="E20" s="569"/>
      <c r="F20" s="569"/>
      <c r="G20" s="569"/>
      <c r="H20" s="569"/>
      <c r="I20" s="569"/>
      <c r="J20" s="569"/>
      <c r="K20" s="569"/>
      <c r="L20" s="574"/>
      <c r="M20" s="573"/>
      <c r="N20" s="569"/>
      <c r="O20" s="569"/>
      <c r="P20" s="569"/>
      <c r="Q20" s="569"/>
      <c r="R20" s="569"/>
      <c r="S20" s="574"/>
      <c r="T20" s="575">
        <v>2019639.6541275999</v>
      </c>
      <c r="U20" s="575">
        <v>500.125</v>
      </c>
      <c r="V20" s="576">
        <f t="shared" si="0"/>
        <v>2020139.7791275999</v>
      </c>
    </row>
    <row r="21" spans="1:22" ht="13.5" thickBot="1">
      <c r="A21" s="92"/>
      <c r="B21" s="93" t="s">
        <v>68</v>
      </c>
      <c r="C21" s="239">
        <f>SUM(C7:C20)</f>
        <v>0</v>
      </c>
      <c r="D21" s="238">
        <f t="shared" ref="D21:V21" si="1">SUM(D7:D20)</f>
        <v>38216905.973823793</v>
      </c>
      <c r="E21" s="238">
        <f t="shared" si="1"/>
        <v>0</v>
      </c>
      <c r="F21" s="238">
        <f t="shared" si="1"/>
        <v>0</v>
      </c>
      <c r="G21" s="238">
        <f t="shared" si="1"/>
        <v>0</v>
      </c>
      <c r="H21" s="238">
        <f t="shared" si="1"/>
        <v>0</v>
      </c>
      <c r="I21" s="238">
        <f t="shared" si="1"/>
        <v>0</v>
      </c>
      <c r="J21" s="238">
        <f t="shared" si="1"/>
        <v>0</v>
      </c>
      <c r="K21" s="238">
        <f t="shared" si="1"/>
        <v>0</v>
      </c>
      <c r="L21" s="240">
        <f t="shared" si="1"/>
        <v>0</v>
      </c>
      <c r="M21" s="239">
        <f t="shared" si="1"/>
        <v>0</v>
      </c>
      <c r="N21" s="238">
        <f t="shared" si="1"/>
        <v>0</v>
      </c>
      <c r="O21" s="238">
        <f t="shared" si="1"/>
        <v>0</v>
      </c>
      <c r="P21" s="238">
        <f t="shared" si="1"/>
        <v>0</v>
      </c>
      <c r="Q21" s="238">
        <f t="shared" si="1"/>
        <v>0</v>
      </c>
      <c r="R21" s="238">
        <f t="shared" si="1"/>
        <v>0</v>
      </c>
      <c r="S21" s="240">
        <f t="shared" si="1"/>
        <v>0</v>
      </c>
      <c r="T21" s="240">
        <f>SUM(T7:T20)</f>
        <v>36060643.630913816</v>
      </c>
      <c r="U21" s="240">
        <f t="shared" si="1"/>
        <v>2156262.3429099745</v>
      </c>
      <c r="V21" s="241">
        <f t="shared" si="1"/>
        <v>38216905.973823793</v>
      </c>
    </row>
    <row r="24" spans="1:22">
      <c r="C24" s="64"/>
      <c r="D24" s="64"/>
      <c r="E24" s="64"/>
    </row>
    <row r="25" spans="1:22">
      <c r="A25" s="59"/>
      <c r="B25" s="59"/>
      <c r="D25" s="64"/>
      <c r="E25" s="64"/>
    </row>
    <row r="26" spans="1:22">
      <c r="A26" s="59"/>
      <c r="B26" s="86"/>
      <c r="D26" s="64"/>
      <c r="E26" s="64"/>
    </row>
    <row r="27" spans="1:22">
      <c r="A27" s="59"/>
      <c r="B27" s="59"/>
      <c r="D27" s="64"/>
      <c r="E27" s="64"/>
    </row>
    <row r="28" spans="1:22">
      <c r="A28" s="59"/>
      <c r="B28" s="86"/>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pane="topRight"/>
      <selection pane="bottomLeft"/>
      <selection pane="bottomRight" activeCell="A21" sqref="A21"/>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"ბანკი ქართუ"</v>
      </c>
    </row>
    <row r="2" spans="1:9">
      <c r="A2" s="1" t="s">
        <v>189</v>
      </c>
      <c r="B2" s="390">
        <f>'1. key ratios'!B2</f>
        <v>44651</v>
      </c>
    </row>
    <row r="4" spans="1:9" ht="13.5" thickBot="1">
      <c r="A4" s="1" t="s">
        <v>417</v>
      </c>
      <c r="B4" s="52" t="s">
        <v>459</v>
      </c>
    </row>
    <row r="5" spans="1:9">
      <c r="A5" s="90"/>
      <c r="B5" s="143"/>
      <c r="C5" s="148" t="s">
        <v>0</v>
      </c>
      <c r="D5" s="148" t="s">
        <v>1</v>
      </c>
      <c r="E5" s="148" t="s">
        <v>2</v>
      </c>
      <c r="F5" s="148" t="s">
        <v>3</v>
      </c>
      <c r="G5" s="251" t="s">
        <v>4</v>
      </c>
      <c r="H5" s="149" t="s">
        <v>5</v>
      </c>
      <c r="I5" s="19"/>
    </row>
    <row r="6" spans="1:9" ht="15" customHeight="1">
      <c r="A6" s="142"/>
      <c r="B6" s="17"/>
      <c r="C6" s="710" t="s">
        <v>451</v>
      </c>
      <c r="D6" s="721" t="s">
        <v>472</v>
      </c>
      <c r="E6" s="722"/>
      <c r="F6" s="710" t="s">
        <v>478</v>
      </c>
      <c r="G6" s="710" t="s">
        <v>479</v>
      </c>
      <c r="H6" s="719" t="s">
        <v>453</v>
      </c>
      <c r="I6" s="19"/>
    </row>
    <row r="7" spans="1:9" ht="63.75">
      <c r="A7" s="142"/>
      <c r="B7" s="17"/>
      <c r="C7" s="711"/>
      <c r="D7" s="253" t="s">
        <v>454</v>
      </c>
      <c r="E7" s="253" t="s">
        <v>452</v>
      </c>
      <c r="F7" s="711"/>
      <c r="G7" s="711"/>
      <c r="H7" s="720"/>
      <c r="I7" s="19"/>
    </row>
    <row r="8" spans="1:9">
      <c r="A8" s="82">
        <v>1</v>
      </c>
      <c r="B8" s="66" t="s">
        <v>216</v>
      </c>
      <c r="C8" s="569">
        <v>241674024</v>
      </c>
      <c r="D8" s="569"/>
      <c r="E8" s="569"/>
      <c r="F8" s="569">
        <v>204617975</v>
      </c>
      <c r="G8" s="570">
        <v>204617975</v>
      </c>
      <c r="H8" s="577">
        <f>IFERROR(G8/(C8+E8),0)</f>
        <v>0.84666929284878378</v>
      </c>
    </row>
    <row r="9" spans="1:9" ht="15" customHeight="1">
      <c r="A9" s="82">
        <v>2</v>
      </c>
      <c r="B9" s="66" t="s">
        <v>217</v>
      </c>
      <c r="C9" s="569">
        <v>0</v>
      </c>
      <c r="D9" s="569"/>
      <c r="E9" s="569"/>
      <c r="F9" s="569">
        <v>0</v>
      </c>
      <c r="G9" s="570">
        <v>0</v>
      </c>
      <c r="H9" s="577">
        <f t="shared" ref="H9:H22" si="0">IFERROR(G9/(C9+E9),0)</f>
        <v>0</v>
      </c>
    </row>
    <row r="10" spans="1:9">
      <c r="A10" s="82">
        <v>3</v>
      </c>
      <c r="B10" s="66" t="s">
        <v>218</v>
      </c>
      <c r="C10" s="569">
        <v>0</v>
      </c>
      <c r="D10" s="569"/>
      <c r="E10" s="569"/>
      <c r="F10" s="569">
        <v>0</v>
      </c>
      <c r="G10" s="570">
        <v>0</v>
      </c>
      <c r="H10" s="577">
        <f t="shared" si="0"/>
        <v>0</v>
      </c>
    </row>
    <row r="11" spans="1:9">
      <c r="A11" s="82">
        <v>4</v>
      </c>
      <c r="B11" s="66" t="s">
        <v>219</v>
      </c>
      <c r="C11" s="569">
        <v>0</v>
      </c>
      <c r="D11" s="569"/>
      <c r="E11" s="569"/>
      <c r="F11" s="569">
        <v>0</v>
      </c>
      <c r="G11" s="570">
        <v>0</v>
      </c>
      <c r="H11" s="577">
        <f t="shared" si="0"/>
        <v>0</v>
      </c>
    </row>
    <row r="12" spans="1:9">
      <c r="A12" s="82">
        <v>5</v>
      </c>
      <c r="B12" s="66" t="s">
        <v>220</v>
      </c>
      <c r="C12" s="569">
        <v>0</v>
      </c>
      <c r="D12" s="569"/>
      <c r="E12" s="569"/>
      <c r="F12" s="569">
        <v>0</v>
      </c>
      <c r="G12" s="570">
        <v>0</v>
      </c>
      <c r="H12" s="577">
        <f t="shared" si="0"/>
        <v>0</v>
      </c>
    </row>
    <row r="13" spans="1:9">
      <c r="A13" s="82">
        <v>6</v>
      </c>
      <c r="B13" s="66" t="s">
        <v>221</v>
      </c>
      <c r="C13" s="569">
        <v>194640372</v>
      </c>
      <c r="D13" s="569"/>
      <c r="E13" s="569"/>
      <c r="F13" s="569">
        <v>71954883.263999999</v>
      </c>
      <c r="G13" s="570">
        <v>71954883.263999999</v>
      </c>
      <c r="H13" s="577">
        <f t="shared" si="0"/>
        <v>0.36968118445642922</v>
      </c>
    </row>
    <row r="14" spans="1:9">
      <c r="A14" s="82">
        <v>7</v>
      </c>
      <c r="B14" s="66" t="s">
        <v>73</v>
      </c>
      <c r="C14" s="569">
        <v>721517768.86174488</v>
      </c>
      <c r="D14" s="569">
        <v>47011521.565586172</v>
      </c>
      <c r="E14" s="569">
        <v>25568153.175408587</v>
      </c>
      <c r="F14" s="569">
        <v>747085922.03715348</v>
      </c>
      <c r="G14" s="570">
        <v>710982116.13554275</v>
      </c>
      <c r="H14" s="577">
        <f t="shared" si="0"/>
        <v>0.95167382380441212</v>
      </c>
    </row>
    <row r="15" spans="1:9">
      <c r="A15" s="82">
        <v>8</v>
      </c>
      <c r="B15" s="66" t="s">
        <v>74</v>
      </c>
      <c r="C15" s="569">
        <v>0</v>
      </c>
      <c r="D15" s="569"/>
      <c r="E15" s="569">
        <v>0</v>
      </c>
      <c r="F15" s="569">
        <v>0</v>
      </c>
      <c r="G15" s="570">
        <v>0</v>
      </c>
      <c r="H15" s="577">
        <f t="shared" si="0"/>
        <v>0</v>
      </c>
    </row>
    <row r="16" spans="1:9">
      <c r="A16" s="82">
        <v>9</v>
      </c>
      <c r="B16" s="66" t="s">
        <v>75</v>
      </c>
      <c r="C16" s="569">
        <v>0</v>
      </c>
      <c r="D16" s="569"/>
      <c r="E16" s="569">
        <v>0</v>
      </c>
      <c r="F16" s="569">
        <v>0</v>
      </c>
      <c r="G16" s="570">
        <v>0</v>
      </c>
      <c r="H16" s="577">
        <f t="shared" si="0"/>
        <v>0</v>
      </c>
    </row>
    <row r="17" spans="1:8">
      <c r="A17" s="82">
        <v>10</v>
      </c>
      <c r="B17" s="66" t="s">
        <v>69</v>
      </c>
      <c r="C17" s="569">
        <v>97620234.997077942</v>
      </c>
      <c r="D17" s="569">
        <v>372891.16999995708</v>
      </c>
      <c r="E17" s="569">
        <v>186445.58499997854</v>
      </c>
      <c r="F17" s="569">
        <v>97806680.58207792</v>
      </c>
      <c r="G17" s="570">
        <v>97713720.288992435</v>
      </c>
      <c r="H17" s="577">
        <f t="shared" si="0"/>
        <v>0.99904955067964429</v>
      </c>
    </row>
    <row r="18" spans="1:8">
      <c r="A18" s="82">
        <v>11</v>
      </c>
      <c r="B18" s="66" t="s">
        <v>70</v>
      </c>
      <c r="C18" s="569">
        <v>0</v>
      </c>
      <c r="D18" s="569"/>
      <c r="E18" s="569">
        <v>0</v>
      </c>
      <c r="F18" s="569">
        <v>0</v>
      </c>
      <c r="G18" s="570">
        <v>0</v>
      </c>
      <c r="H18" s="577">
        <f t="shared" si="0"/>
        <v>0</v>
      </c>
    </row>
    <row r="19" spans="1:8">
      <c r="A19" s="82">
        <v>12</v>
      </c>
      <c r="B19" s="66" t="s">
        <v>71</v>
      </c>
      <c r="C19" s="569">
        <v>0</v>
      </c>
      <c r="D19" s="569"/>
      <c r="E19" s="569">
        <v>0</v>
      </c>
      <c r="F19" s="569">
        <v>0</v>
      </c>
      <c r="G19" s="570">
        <v>0</v>
      </c>
      <c r="H19" s="577">
        <f t="shared" si="0"/>
        <v>0</v>
      </c>
    </row>
    <row r="20" spans="1:8">
      <c r="A20" s="82">
        <v>13</v>
      </c>
      <c r="B20" s="66" t="s">
        <v>72</v>
      </c>
      <c r="C20" s="569">
        <v>0</v>
      </c>
      <c r="D20" s="569"/>
      <c r="E20" s="569">
        <v>0</v>
      </c>
      <c r="F20" s="569">
        <v>0</v>
      </c>
      <c r="G20" s="570">
        <v>0</v>
      </c>
      <c r="H20" s="577">
        <f t="shared" si="0"/>
        <v>0</v>
      </c>
    </row>
    <row r="21" spans="1:8">
      <c r="A21" s="82">
        <v>14</v>
      </c>
      <c r="B21" s="66" t="s">
        <v>249</v>
      </c>
      <c r="C21" s="569">
        <v>123275077.18883401</v>
      </c>
      <c r="D21" s="569">
        <v>2616907.5530999964</v>
      </c>
      <c r="E21" s="569">
        <v>1308453.7765499982</v>
      </c>
      <c r="F21" s="569">
        <v>130928636.96538401</v>
      </c>
      <c r="G21" s="570">
        <v>128908497.18625641</v>
      </c>
      <c r="H21" s="577">
        <f t="shared" si="0"/>
        <v>1.0347153928561723</v>
      </c>
    </row>
    <row r="22" spans="1:8" ht="13.5" thickBot="1">
      <c r="A22" s="144"/>
      <c r="B22" s="150" t="s">
        <v>68</v>
      </c>
      <c r="C22" s="238">
        <f>SUM(C8:C21)</f>
        <v>1378727477.0476568</v>
      </c>
      <c r="D22" s="238">
        <f>SUM(D8:D21)</f>
        <v>50001320.288686126</v>
      </c>
      <c r="E22" s="238">
        <f>SUM(E8:E21)</f>
        <v>27063052.536958564</v>
      </c>
      <c r="F22" s="238">
        <f>SUM(F8:F21)</f>
        <v>1252394097.8486154</v>
      </c>
      <c r="G22" s="238">
        <f>SUM(G8:G21)</f>
        <v>1214177191.8747916</v>
      </c>
      <c r="H22" s="256">
        <f t="shared" si="0"/>
        <v>0.86369709165245145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E16" activePane="bottomRight" state="frozen"/>
      <selection pane="topRight"/>
      <selection pane="bottomLeft"/>
      <selection pane="bottomRight" activeCell="J24" sqref="J24"/>
    </sheetView>
  </sheetViews>
  <sheetFormatPr defaultColWidth="9.28515625" defaultRowHeight="12.75"/>
  <cols>
    <col min="1" max="1" width="10.5703125" style="1" bestFit="1" customWidth="1"/>
    <col min="2" max="2" width="104.28515625" style="1" customWidth="1"/>
    <col min="3" max="3" width="12.7109375" style="1" customWidth="1"/>
    <col min="4" max="5" width="13.5703125" style="1" bestFit="1" customWidth="1"/>
    <col min="6" max="11" width="12.7109375" style="1" customWidth="1"/>
    <col min="12" max="16384" width="9.28515625" style="1"/>
  </cols>
  <sheetData>
    <row r="1" spans="1:11">
      <c r="A1" s="1" t="s">
        <v>188</v>
      </c>
      <c r="B1" s="1" t="str">
        <f>Info!C2</f>
        <v>სს "ბანკი ქართუ"</v>
      </c>
    </row>
    <row r="2" spans="1:11">
      <c r="A2" s="1" t="s">
        <v>189</v>
      </c>
      <c r="B2" s="390">
        <f>'1. key ratios'!B2</f>
        <v>44651</v>
      </c>
    </row>
    <row r="4" spans="1:11" ht="13.5" thickBot="1">
      <c r="A4" s="1" t="s">
        <v>521</v>
      </c>
      <c r="B4" s="52" t="s">
        <v>520</v>
      </c>
    </row>
    <row r="5" spans="1:11" ht="30" customHeight="1">
      <c r="A5" s="726"/>
      <c r="B5" s="727"/>
      <c r="C5" s="724" t="s">
        <v>553</v>
      </c>
      <c r="D5" s="724"/>
      <c r="E5" s="724"/>
      <c r="F5" s="724" t="s">
        <v>554</v>
      </c>
      <c r="G5" s="724"/>
      <c r="H5" s="724"/>
      <c r="I5" s="724" t="s">
        <v>555</v>
      </c>
      <c r="J5" s="724"/>
      <c r="K5" s="725"/>
    </row>
    <row r="6" spans="1:11">
      <c r="A6" s="277"/>
      <c r="B6" s="278"/>
      <c r="C6" s="279" t="s">
        <v>27</v>
      </c>
      <c r="D6" s="279" t="s">
        <v>96</v>
      </c>
      <c r="E6" s="279" t="s">
        <v>68</v>
      </c>
      <c r="F6" s="279" t="s">
        <v>27</v>
      </c>
      <c r="G6" s="279" t="s">
        <v>96</v>
      </c>
      <c r="H6" s="279" t="s">
        <v>68</v>
      </c>
      <c r="I6" s="279" t="s">
        <v>27</v>
      </c>
      <c r="J6" s="279" t="s">
        <v>96</v>
      </c>
      <c r="K6" s="280" t="s">
        <v>68</v>
      </c>
    </row>
    <row r="7" spans="1:11">
      <c r="A7" s="281" t="s">
        <v>491</v>
      </c>
      <c r="B7" s="276"/>
      <c r="C7" s="276"/>
      <c r="D7" s="276"/>
      <c r="E7" s="276"/>
      <c r="F7" s="276"/>
      <c r="G7" s="276"/>
      <c r="H7" s="276"/>
      <c r="I7" s="276"/>
      <c r="J7" s="276"/>
      <c r="K7" s="282"/>
    </row>
    <row r="8" spans="1:11">
      <c r="A8" s="275">
        <v>1</v>
      </c>
      <c r="B8" s="261" t="s">
        <v>491</v>
      </c>
      <c r="C8" s="495"/>
      <c r="D8" s="495"/>
      <c r="E8" s="495"/>
      <c r="F8" s="417">
        <v>47336798.793707885</v>
      </c>
      <c r="G8" s="578">
        <v>325998882.4035731</v>
      </c>
      <c r="H8" s="578">
        <v>373335681.19728094</v>
      </c>
      <c r="I8" s="578">
        <v>42964235.889325835</v>
      </c>
      <c r="J8" s="578">
        <v>203536734.69705608</v>
      </c>
      <c r="K8" s="579">
        <v>246500970.58638197</v>
      </c>
    </row>
    <row r="9" spans="1:11">
      <c r="A9" s="281" t="s">
        <v>492</v>
      </c>
      <c r="B9" s="276"/>
      <c r="C9" s="276"/>
      <c r="D9" s="276"/>
      <c r="E9" s="276"/>
      <c r="F9" s="276"/>
      <c r="G9" s="276"/>
      <c r="H9" s="276"/>
      <c r="I9" s="276"/>
      <c r="J9" s="276"/>
      <c r="K9" s="282"/>
    </row>
    <row r="10" spans="1:11">
      <c r="A10" s="283">
        <v>2</v>
      </c>
      <c r="B10" s="262" t="s">
        <v>493</v>
      </c>
      <c r="C10" s="417">
        <v>17710514.307114676</v>
      </c>
      <c r="D10" s="578">
        <v>323230574.05179662</v>
      </c>
      <c r="E10" s="578">
        <v>340941088.35891122</v>
      </c>
      <c r="F10" s="417">
        <v>3017721.4374117008</v>
      </c>
      <c r="G10" s="578">
        <v>38621452.412437558</v>
      </c>
      <c r="H10" s="578">
        <v>41639173.849849254</v>
      </c>
      <c r="I10" s="417">
        <v>653827.42404786893</v>
      </c>
      <c r="J10" s="578">
        <v>4917436.3153748475</v>
      </c>
      <c r="K10" s="579">
        <v>5571263.7394227162</v>
      </c>
    </row>
    <row r="11" spans="1:11">
      <c r="A11" s="283">
        <v>3</v>
      </c>
      <c r="B11" s="262" t="s">
        <v>494</v>
      </c>
      <c r="C11" s="417">
        <v>105399298.51683147</v>
      </c>
      <c r="D11" s="578">
        <v>598474723.69998741</v>
      </c>
      <c r="E11" s="578">
        <v>703874022.21681905</v>
      </c>
      <c r="F11" s="417">
        <v>21053122.219935395</v>
      </c>
      <c r="G11" s="578">
        <v>138909620.22113398</v>
      </c>
      <c r="H11" s="578">
        <v>159962742.44106925</v>
      </c>
      <c r="I11" s="417">
        <v>17160957.298870787</v>
      </c>
      <c r="J11" s="578">
        <v>71575889.318269894</v>
      </c>
      <c r="K11" s="579">
        <v>88736846.617140681</v>
      </c>
    </row>
    <row r="12" spans="1:11">
      <c r="A12" s="283">
        <v>4</v>
      </c>
      <c r="B12" s="262" t="s">
        <v>495</v>
      </c>
      <c r="C12" s="417">
        <v>0</v>
      </c>
      <c r="D12" s="578">
        <v>0</v>
      </c>
      <c r="E12" s="578">
        <v>0</v>
      </c>
      <c r="F12" s="417">
        <v>0</v>
      </c>
      <c r="G12" s="578">
        <v>0</v>
      </c>
      <c r="H12" s="578">
        <v>0</v>
      </c>
      <c r="I12" s="417">
        <v>0</v>
      </c>
      <c r="J12" s="578">
        <v>0</v>
      </c>
      <c r="K12" s="579">
        <v>0</v>
      </c>
    </row>
    <row r="13" spans="1:11">
      <c r="A13" s="283">
        <v>5</v>
      </c>
      <c r="B13" s="262" t="s">
        <v>496</v>
      </c>
      <c r="C13" s="417">
        <v>31978072.238672979</v>
      </c>
      <c r="D13" s="578">
        <v>28308790.326827198</v>
      </c>
      <c r="E13" s="578">
        <v>60286862.565500155</v>
      </c>
      <c r="F13" s="417">
        <v>7148707.5809682449</v>
      </c>
      <c r="G13" s="578">
        <v>6854917.7779237339</v>
      </c>
      <c r="H13" s="578">
        <v>14003625.35889197</v>
      </c>
      <c r="I13" s="417">
        <v>2760304.4757605563</v>
      </c>
      <c r="J13" s="578">
        <v>2236504.693357517</v>
      </c>
      <c r="K13" s="579">
        <v>4996809.1691180728</v>
      </c>
    </row>
    <row r="14" spans="1:11">
      <c r="A14" s="283">
        <v>6</v>
      </c>
      <c r="B14" s="262" t="s">
        <v>511</v>
      </c>
      <c r="C14" s="417"/>
      <c r="D14" s="578"/>
      <c r="E14" s="578"/>
      <c r="F14" s="417"/>
      <c r="G14" s="578"/>
      <c r="H14" s="578"/>
      <c r="I14" s="417"/>
      <c r="J14" s="578"/>
      <c r="K14" s="579"/>
    </row>
    <row r="15" spans="1:11">
      <c r="A15" s="283">
        <v>7</v>
      </c>
      <c r="B15" s="262" t="s">
        <v>498</v>
      </c>
      <c r="C15" s="417">
        <v>16354716.497528089</v>
      </c>
      <c r="D15" s="578">
        <v>27596642.394382026</v>
      </c>
      <c r="E15" s="578">
        <v>43951358.891910113</v>
      </c>
      <c r="F15" s="417">
        <v>4043930.8826584858</v>
      </c>
      <c r="G15" s="578">
        <v>8244851.4688088335</v>
      </c>
      <c r="H15" s="578">
        <v>12288782.351467317</v>
      </c>
      <c r="I15" s="417">
        <v>4043930.8826584858</v>
      </c>
      <c r="J15" s="578">
        <v>8244851.4688088335</v>
      </c>
      <c r="K15" s="579">
        <v>12288782.351467317</v>
      </c>
    </row>
    <row r="16" spans="1:11">
      <c r="A16" s="283">
        <v>8</v>
      </c>
      <c r="B16" s="263" t="s">
        <v>499</v>
      </c>
      <c r="C16" s="580">
        <f>SUM(C10:C15)</f>
        <v>171442601.5601472</v>
      </c>
      <c r="D16" s="580">
        <f t="shared" ref="D16:K16" si="0">SUM(D10:D15)</f>
        <v>977610730.47299325</v>
      </c>
      <c r="E16" s="580">
        <f t="shared" si="0"/>
        <v>1149053332.0331407</v>
      </c>
      <c r="F16" s="580">
        <f t="shared" si="0"/>
        <v>35263482.120973825</v>
      </c>
      <c r="G16" s="580">
        <f t="shared" si="0"/>
        <v>192630841.8803041</v>
      </c>
      <c r="H16" s="580">
        <f t="shared" si="0"/>
        <v>227894324.00127777</v>
      </c>
      <c r="I16" s="580">
        <f t="shared" si="0"/>
        <v>24619020.081337698</v>
      </c>
      <c r="J16" s="580">
        <f t="shared" si="0"/>
        <v>86974681.795811087</v>
      </c>
      <c r="K16" s="581">
        <f t="shared" si="0"/>
        <v>111593701.87714878</v>
      </c>
    </row>
    <row r="17" spans="1:11">
      <c r="A17" s="281" t="s">
        <v>500</v>
      </c>
      <c r="B17" s="276"/>
      <c r="C17" s="417"/>
      <c r="D17" s="578"/>
      <c r="E17" s="578"/>
      <c r="F17" s="417"/>
      <c r="G17" s="578"/>
      <c r="H17" s="578"/>
      <c r="I17" s="417"/>
      <c r="J17" s="578"/>
      <c r="K17" s="579"/>
    </row>
    <row r="18" spans="1:11">
      <c r="A18" s="283">
        <v>9</v>
      </c>
      <c r="B18" s="262" t="s">
        <v>501</v>
      </c>
      <c r="C18" s="417">
        <v>0</v>
      </c>
      <c r="D18" s="578">
        <v>0</v>
      </c>
      <c r="E18" s="578">
        <v>0</v>
      </c>
      <c r="F18" s="417">
        <v>0</v>
      </c>
      <c r="G18" s="578">
        <v>0</v>
      </c>
      <c r="H18" s="578">
        <v>0</v>
      </c>
      <c r="I18" s="417">
        <v>0</v>
      </c>
      <c r="J18" s="578">
        <v>0</v>
      </c>
      <c r="K18" s="579">
        <v>0</v>
      </c>
    </row>
    <row r="19" spans="1:11">
      <c r="A19" s="283">
        <v>10</v>
      </c>
      <c r="B19" s="262" t="s">
        <v>502</v>
      </c>
      <c r="C19" s="417">
        <v>227991416.77253032</v>
      </c>
      <c r="D19" s="578">
        <v>493378541.86301929</v>
      </c>
      <c r="E19" s="578">
        <v>721369958.63554966</v>
      </c>
      <c r="F19" s="417">
        <v>3545504.5967934667</v>
      </c>
      <c r="G19" s="578">
        <v>5203614.611460737</v>
      </c>
      <c r="H19" s="578">
        <v>8749119.2082542032</v>
      </c>
      <c r="I19" s="417">
        <v>7918346.0103889704</v>
      </c>
      <c r="J19" s="578">
        <v>128543344.49033712</v>
      </c>
      <c r="K19" s="579">
        <v>136461690.50072607</v>
      </c>
    </row>
    <row r="20" spans="1:11">
      <c r="A20" s="283">
        <v>11</v>
      </c>
      <c r="B20" s="262" t="s">
        <v>503</v>
      </c>
      <c r="C20" s="417">
        <v>3356124.8715590909</v>
      </c>
      <c r="D20" s="578">
        <v>26740583.911488768</v>
      </c>
      <c r="E20" s="578">
        <v>30096708.783047859</v>
      </c>
      <c r="F20" s="417">
        <v>268615.86089887639</v>
      </c>
      <c r="G20" s="578">
        <v>7577734.850573035</v>
      </c>
      <c r="H20" s="578">
        <v>7846350.7114719097</v>
      </c>
      <c r="I20" s="417">
        <v>268615.86089887639</v>
      </c>
      <c r="J20" s="578">
        <v>7577734.850573035</v>
      </c>
      <c r="K20" s="579">
        <v>7846350.7114719097</v>
      </c>
    </row>
    <row r="21" spans="1:11" ht="13.5" thickBot="1">
      <c r="A21" s="205">
        <v>12</v>
      </c>
      <c r="B21" s="284" t="s">
        <v>504</v>
      </c>
      <c r="C21" s="582">
        <f>SUM(C18:C20)</f>
        <v>231347541.6440894</v>
      </c>
      <c r="D21" s="582">
        <f t="shared" ref="D21:K21" si="1">SUM(D18:D20)</f>
        <v>520119125.77450806</v>
      </c>
      <c r="E21" s="582">
        <f t="shared" si="1"/>
        <v>751466667.41859758</v>
      </c>
      <c r="F21" s="582">
        <f t="shared" si="1"/>
        <v>3814120.4576923433</v>
      </c>
      <c r="G21" s="582">
        <f t="shared" si="1"/>
        <v>12781349.462033771</v>
      </c>
      <c r="H21" s="582">
        <f t="shared" si="1"/>
        <v>16595469.919726113</v>
      </c>
      <c r="I21" s="582">
        <f t="shared" si="1"/>
        <v>8186961.8712878469</v>
      </c>
      <c r="J21" s="582">
        <f t="shared" si="1"/>
        <v>136121079.34091017</v>
      </c>
      <c r="K21" s="583">
        <f t="shared" si="1"/>
        <v>144308041.21219799</v>
      </c>
    </row>
    <row r="22" spans="1:11" ht="38.25" customHeight="1" thickBot="1">
      <c r="A22" s="273"/>
      <c r="B22" s="274"/>
      <c r="C22" s="274"/>
      <c r="D22" s="274"/>
      <c r="E22" s="274"/>
      <c r="F22" s="723" t="s">
        <v>505</v>
      </c>
      <c r="G22" s="724"/>
      <c r="H22" s="724"/>
      <c r="I22" s="723" t="s">
        <v>506</v>
      </c>
      <c r="J22" s="724"/>
      <c r="K22" s="725"/>
    </row>
    <row r="23" spans="1:11">
      <c r="A23" s="267">
        <v>13</v>
      </c>
      <c r="B23" s="264" t="s">
        <v>491</v>
      </c>
      <c r="C23" s="272"/>
      <c r="D23" s="272"/>
      <c r="E23" s="272"/>
      <c r="F23" s="584">
        <f>F8</f>
        <v>47336798.793707885</v>
      </c>
      <c r="G23" s="584">
        <f t="shared" ref="G23:K23" si="2">G8</f>
        <v>325998882.4035731</v>
      </c>
      <c r="H23" s="584">
        <f t="shared" si="2"/>
        <v>373335681.19728094</v>
      </c>
      <c r="I23" s="584">
        <f t="shared" si="2"/>
        <v>42964235.889325835</v>
      </c>
      <c r="J23" s="584">
        <f t="shared" si="2"/>
        <v>203536734.69705608</v>
      </c>
      <c r="K23" s="585">
        <f t="shared" si="2"/>
        <v>246500970.58638197</v>
      </c>
    </row>
    <row r="24" spans="1:11" ht="13.5" thickBot="1">
      <c r="A24" s="268">
        <v>14</v>
      </c>
      <c r="B24" s="265" t="s">
        <v>507</v>
      </c>
      <c r="C24" s="285"/>
      <c r="D24" s="271"/>
      <c r="E24" s="423"/>
      <c r="F24" s="586">
        <f>MAX(F16-F21,F16*0.25)</f>
        <v>31449361.663281482</v>
      </c>
      <c r="G24" s="586">
        <f t="shared" ref="G24:K24" si="3">MAX(G16-G21,G16*0.25)</f>
        <v>179849492.41827032</v>
      </c>
      <c r="H24" s="586">
        <f t="shared" si="3"/>
        <v>211298854.08155167</v>
      </c>
      <c r="I24" s="586">
        <f t="shared" si="3"/>
        <v>16432058.210049851</v>
      </c>
      <c r="J24" s="586">
        <f t="shared" si="3"/>
        <v>21743670.448952772</v>
      </c>
      <c r="K24" s="587">
        <f t="shared" si="3"/>
        <v>27898425.469287194</v>
      </c>
    </row>
    <row r="25" spans="1:11" ht="13.5" thickBot="1">
      <c r="A25" s="269">
        <v>15</v>
      </c>
      <c r="B25" s="266" t="s">
        <v>508</v>
      </c>
      <c r="C25" s="270"/>
      <c r="D25" s="270"/>
      <c r="E25" s="270"/>
      <c r="F25" s="588">
        <f>F23/F24</f>
        <v>1.5051751860825744</v>
      </c>
      <c r="G25" s="588">
        <f t="shared" ref="G25:K25" si="4">G23/G24</f>
        <v>1.8126205307569494</v>
      </c>
      <c r="H25" s="588">
        <f t="shared" si="4"/>
        <v>1.7668608891423068</v>
      </c>
      <c r="I25" s="588">
        <f t="shared" si="4"/>
        <v>2.614659426111873</v>
      </c>
      <c r="J25" s="588">
        <f t="shared" si="4"/>
        <v>9.3607348940877149</v>
      </c>
      <c r="K25" s="589">
        <f t="shared" si="4"/>
        <v>8.8356588746468816</v>
      </c>
    </row>
    <row r="28" spans="1:11" ht="38.25">
      <c r="B28" s="18"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selection pane="bottomLeft"/>
      <selection pane="bottomRight"/>
    </sheetView>
  </sheetViews>
  <sheetFormatPr defaultColWidth="9.28515625" defaultRowHeight="15"/>
  <cols>
    <col min="1" max="1" width="10.5703125" style="61" bestFit="1" customWidth="1"/>
    <col min="2" max="2" width="95" style="61" customWidth="1"/>
    <col min="3" max="3" width="12.5703125" style="61" bestFit="1" customWidth="1"/>
    <col min="4" max="4" width="10" style="61" bestFit="1" customWidth="1"/>
    <col min="5" max="5" width="18.28515625" style="61" bestFit="1" customWidth="1"/>
    <col min="6" max="13" width="10.7109375" style="61" customWidth="1"/>
    <col min="14" max="14" width="31" style="61" bestFit="1" customWidth="1"/>
    <col min="15" max="16384" width="9.28515625" style="9"/>
  </cols>
  <sheetData>
    <row r="1" spans="1:14">
      <c r="A1" s="1" t="s">
        <v>188</v>
      </c>
      <c r="B1" s="61" t="str">
        <f>Info!C2</f>
        <v>სს "ბანკი ქართუ"</v>
      </c>
    </row>
    <row r="2" spans="1:14" ht="14.25" customHeight="1">
      <c r="A2" s="61" t="s">
        <v>189</v>
      </c>
      <c r="B2" s="390">
        <f>'1. key ratios'!B2</f>
        <v>44651</v>
      </c>
    </row>
    <row r="3" spans="1:14" ht="14.25" customHeight="1"/>
    <row r="4" spans="1:14" ht="15.75" thickBot="1">
      <c r="A4" s="1" t="s">
        <v>418</v>
      </c>
      <c r="B4" s="84" t="s">
        <v>77</v>
      </c>
    </row>
    <row r="5" spans="1:14" s="20" customFormat="1" ht="12.75">
      <c r="A5" s="159"/>
      <c r="B5" s="160"/>
      <c r="C5" s="161" t="s">
        <v>0</v>
      </c>
      <c r="D5" s="161" t="s">
        <v>1</v>
      </c>
      <c r="E5" s="161" t="s">
        <v>2</v>
      </c>
      <c r="F5" s="161" t="s">
        <v>3</v>
      </c>
      <c r="G5" s="161" t="s">
        <v>4</v>
      </c>
      <c r="H5" s="161" t="s">
        <v>5</v>
      </c>
      <c r="I5" s="161" t="s">
        <v>238</v>
      </c>
      <c r="J5" s="161" t="s">
        <v>239</v>
      </c>
      <c r="K5" s="161" t="s">
        <v>240</v>
      </c>
      <c r="L5" s="161" t="s">
        <v>241</v>
      </c>
      <c r="M5" s="161" t="s">
        <v>242</v>
      </c>
      <c r="N5" s="162" t="s">
        <v>243</v>
      </c>
    </row>
    <row r="6" spans="1:14" ht="45">
      <c r="A6" s="151"/>
      <c r="B6" s="94"/>
      <c r="C6" s="95" t="s">
        <v>87</v>
      </c>
      <c r="D6" s="96" t="s">
        <v>76</v>
      </c>
      <c r="E6" s="97" t="s">
        <v>86</v>
      </c>
      <c r="F6" s="98">
        <v>0</v>
      </c>
      <c r="G6" s="98">
        <v>0.2</v>
      </c>
      <c r="H6" s="98">
        <v>0.35</v>
      </c>
      <c r="I6" s="98">
        <v>0.5</v>
      </c>
      <c r="J6" s="98">
        <v>0.75</v>
      </c>
      <c r="K6" s="98">
        <v>1</v>
      </c>
      <c r="L6" s="98">
        <v>1.5</v>
      </c>
      <c r="M6" s="98">
        <v>2.5</v>
      </c>
      <c r="N6" s="152" t="s">
        <v>77</v>
      </c>
    </row>
    <row r="7" spans="1:14">
      <c r="A7" s="153">
        <v>1</v>
      </c>
      <c r="B7" s="99" t="s">
        <v>78</v>
      </c>
      <c r="C7" s="242">
        <f>SUM(C8:C13)</f>
        <v>23763400</v>
      </c>
      <c r="D7" s="94"/>
      <c r="E7" s="245">
        <f t="shared" ref="E7:M7" si="0">SUM(E8:E13)</f>
        <v>475268</v>
      </c>
      <c r="F7" s="242">
        <f>SUM(F8:F13)</f>
        <v>0</v>
      </c>
      <c r="G7" s="242">
        <f t="shared" si="0"/>
        <v>0</v>
      </c>
      <c r="H7" s="242">
        <f t="shared" si="0"/>
        <v>0</v>
      </c>
      <c r="I7" s="242">
        <f t="shared" si="0"/>
        <v>0</v>
      </c>
      <c r="J7" s="242">
        <f t="shared" si="0"/>
        <v>0</v>
      </c>
      <c r="K7" s="242">
        <f t="shared" si="0"/>
        <v>475268</v>
      </c>
      <c r="L7" s="242">
        <f t="shared" si="0"/>
        <v>0</v>
      </c>
      <c r="M7" s="242">
        <f t="shared" si="0"/>
        <v>0</v>
      </c>
      <c r="N7" s="154">
        <f>SUM(N8:N13)</f>
        <v>475268</v>
      </c>
    </row>
    <row r="8" spans="1:14">
      <c r="A8" s="153">
        <v>1.1000000000000001</v>
      </c>
      <c r="B8" s="100" t="s">
        <v>79</v>
      </c>
      <c r="C8" s="590">
        <v>23763400</v>
      </c>
      <c r="D8" s="101">
        <v>0.02</v>
      </c>
      <c r="E8" s="245">
        <f>C8*D8</f>
        <v>475268</v>
      </c>
      <c r="F8" s="243"/>
      <c r="G8" s="243"/>
      <c r="H8" s="243"/>
      <c r="I8" s="243"/>
      <c r="J8" s="243"/>
      <c r="K8" s="590">
        <v>475268</v>
      </c>
      <c r="L8" s="243"/>
      <c r="M8" s="243"/>
      <c r="N8" s="154">
        <f>SUMPRODUCT($F$6:$M$6,F8:M8)</f>
        <v>475268</v>
      </c>
    </row>
    <row r="9" spans="1:14">
      <c r="A9" s="153">
        <v>1.2</v>
      </c>
      <c r="B9" s="100" t="s">
        <v>80</v>
      </c>
      <c r="C9" s="243">
        <v>0</v>
      </c>
      <c r="D9" s="101">
        <v>0.05</v>
      </c>
      <c r="E9" s="245">
        <f>C9*D9</f>
        <v>0</v>
      </c>
      <c r="F9" s="243"/>
      <c r="G9" s="243"/>
      <c r="H9" s="243"/>
      <c r="I9" s="243"/>
      <c r="J9" s="243"/>
      <c r="K9" s="243"/>
      <c r="L9" s="243"/>
      <c r="M9" s="243"/>
      <c r="N9" s="154">
        <f t="shared" ref="N9:N12" si="1">SUMPRODUCT($F$6:$M$6,F9:M9)</f>
        <v>0</v>
      </c>
    </row>
    <row r="10" spans="1:14">
      <c r="A10" s="153">
        <v>1.3</v>
      </c>
      <c r="B10" s="100" t="s">
        <v>81</v>
      </c>
      <c r="C10" s="243">
        <v>0</v>
      </c>
      <c r="D10" s="101">
        <v>0.08</v>
      </c>
      <c r="E10" s="245">
        <f>C10*D10</f>
        <v>0</v>
      </c>
      <c r="F10" s="243"/>
      <c r="G10" s="243"/>
      <c r="H10" s="243"/>
      <c r="I10" s="243"/>
      <c r="J10" s="243"/>
      <c r="K10" s="243"/>
      <c r="L10" s="243"/>
      <c r="M10" s="243"/>
      <c r="N10" s="154">
        <f>SUMPRODUCT($F$6:$M$6,F10:M10)</f>
        <v>0</v>
      </c>
    </row>
    <row r="11" spans="1:14">
      <c r="A11" s="153">
        <v>1.4</v>
      </c>
      <c r="B11" s="100" t="s">
        <v>82</v>
      </c>
      <c r="C11" s="243">
        <v>0</v>
      </c>
      <c r="D11" s="101">
        <v>0.11</v>
      </c>
      <c r="E11" s="245">
        <f>C11*D11</f>
        <v>0</v>
      </c>
      <c r="F11" s="243"/>
      <c r="G11" s="243"/>
      <c r="H11" s="243"/>
      <c r="I11" s="243"/>
      <c r="J11" s="243"/>
      <c r="K11" s="243"/>
      <c r="L11" s="243"/>
      <c r="M11" s="243"/>
      <c r="N11" s="154">
        <f t="shared" si="1"/>
        <v>0</v>
      </c>
    </row>
    <row r="12" spans="1:14">
      <c r="A12" s="153">
        <v>1.5</v>
      </c>
      <c r="B12" s="100" t="s">
        <v>83</v>
      </c>
      <c r="C12" s="243">
        <v>0</v>
      </c>
      <c r="D12" s="101">
        <v>0.14000000000000001</v>
      </c>
      <c r="E12" s="245">
        <f>C12*D12</f>
        <v>0</v>
      </c>
      <c r="F12" s="243"/>
      <c r="G12" s="243"/>
      <c r="H12" s="243"/>
      <c r="I12" s="243"/>
      <c r="J12" s="243"/>
      <c r="K12" s="243"/>
      <c r="L12" s="243"/>
      <c r="M12" s="243"/>
      <c r="N12" s="154">
        <f t="shared" si="1"/>
        <v>0</v>
      </c>
    </row>
    <row r="13" spans="1:14">
      <c r="A13" s="153">
        <v>1.6</v>
      </c>
      <c r="B13" s="102" t="s">
        <v>84</v>
      </c>
      <c r="C13" s="243">
        <v>0</v>
      </c>
      <c r="D13" s="103"/>
      <c r="E13" s="243"/>
      <c r="F13" s="243"/>
      <c r="G13" s="243"/>
      <c r="H13" s="243"/>
      <c r="I13" s="243"/>
      <c r="J13" s="243"/>
      <c r="K13" s="243"/>
      <c r="L13" s="243"/>
      <c r="M13" s="243"/>
      <c r="N13" s="154">
        <f>SUMPRODUCT($F$6:$M$6,F13:M13)</f>
        <v>0</v>
      </c>
    </row>
    <row r="14" spans="1:14">
      <c r="A14" s="153">
        <v>2</v>
      </c>
      <c r="B14" s="104" t="s">
        <v>85</v>
      </c>
      <c r="C14" s="242">
        <f>SUM(C15:C20)</f>
        <v>0</v>
      </c>
      <c r="D14" s="94"/>
      <c r="E14" s="245">
        <f t="shared" ref="E14:M14" si="2">SUM(E15:E20)</f>
        <v>0</v>
      </c>
      <c r="F14" s="243">
        <f t="shared" si="2"/>
        <v>0</v>
      </c>
      <c r="G14" s="243">
        <f t="shared" si="2"/>
        <v>0</v>
      </c>
      <c r="H14" s="243">
        <f t="shared" si="2"/>
        <v>0</v>
      </c>
      <c r="I14" s="243">
        <f t="shared" si="2"/>
        <v>0</v>
      </c>
      <c r="J14" s="243">
        <f t="shared" si="2"/>
        <v>0</v>
      </c>
      <c r="K14" s="243">
        <f t="shared" si="2"/>
        <v>0</v>
      </c>
      <c r="L14" s="243">
        <f t="shared" si="2"/>
        <v>0</v>
      </c>
      <c r="M14" s="243">
        <f t="shared" si="2"/>
        <v>0</v>
      </c>
      <c r="N14" s="154">
        <f>SUM(N15:N20)</f>
        <v>0</v>
      </c>
    </row>
    <row r="15" spans="1:14">
      <c r="A15" s="153">
        <v>2.1</v>
      </c>
      <c r="B15" s="102" t="s">
        <v>79</v>
      </c>
      <c r="C15" s="243"/>
      <c r="D15" s="101">
        <v>5.0000000000000001E-3</v>
      </c>
      <c r="E15" s="245">
        <f>C15*D15</f>
        <v>0</v>
      </c>
      <c r="F15" s="243"/>
      <c r="G15" s="243"/>
      <c r="H15" s="243"/>
      <c r="I15" s="243"/>
      <c r="J15" s="243"/>
      <c r="K15" s="243"/>
      <c r="L15" s="243"/>
      <c r="M15" s="243"/>
      <c r="N15" s="154">
        <f>SUMPRODUCT($F$6:$M$6,F15:M15)</f>
        <v>0</v>
      </c>
    </row>
    <row r="16" spans="1:14">
      <c r="A16" s="153">
        <v>2.2000000000000002</v>
      </c>
      <c r="B16" s="102" t="s">
        <v>80</v>
      </c>
      <c r="C16" s="243"/>
      <c r="D16" s="101">
        <v>0.01</v>
      </c>
      <c r="E16" s="245">
        <f>C16*D16</f>
        <v>0</v>
      </c>
      <c r="F16" s="243"/>
      <c r="G16" s="243"/>
      <c r="H16" s="243"/>
      <c r="I16" s="243"/>
      <c r="J16" s="243"/>
      <c r="K16" s="243"/>
      <c r="L16" s="243"/>
      <c r="M16" s="243"/>
      <c r="N16" s="154">
        <f t="shared" ref="N16:N20" si="3">SUMPRODUCT($F$6:$M$6,F16:M16)</f>
        <v>0</v>
      </c>
    </row>
    <row r="17" spans="1:14">
      <c r="A17" s="153">
        <v>2.2999999999999998</v>
      </c>
      <c r="B17" s="102" t="s">
        <v>81</v>
      </c>
      <c r="C17" s="243"/>
      <c r="D17" s="101">
        <v>0.02</v>
      </c>
      <c r="E17" s="245">
        <f>C17*D17</f>
        <v>0</v>
      </c>
      <c r="F17" s="243"/>
      <c r="G17" s="243"/>
      <c r="H17" s="243"/>
      <c r="I17" s="243"/>
      <c r="J17" s="243"/>
      <c r="K17" s="243"/>
      <c r="L17" s="243"/>
      <c r="M17" s="243"/>
      <c r="N17" s="154">
        <f t="shared" si="3"/>
        <v>0</v>
      </c>
    </row>
    <row r="18" spans="1:14">
      <c r="A18" s="153">
        <v>2.4</v>
      </c>
      <c r="B18" s="102" t="s">
        <v>82</v>
      </c>
      <c r="C18" s="243"/>
      <c r="D18" s="101">
        <v>0.03</v>
      </c>
      <c r="E18" s="245">
        <f>C18*D18</f>
        <v>0</v>
      </c>
      <c r="F18" s="243"/>
      <c r="G18" s="243"/>
      <c r="H18" s="243"/>
      <c r="I18" s="243"/>
      <c r="J18" s="243"/>
      <c r="K18" s="243"/>
      <c r="L18" s="243"/>
      <c r="M18" s="243"/>
      <c r="N18" s="154">
        <f t="shared" si="3"/>
        <v>0</v>
      </c>
    </row>
    <row r="19" spans="1:14">
      <c r="A19" s="153">
        <v>2.5</v>
      </c>
      <c r="B19" s="102" t="s">
        <v>83</v>
      </c>
      <c r="C19" s="243"/>
      <c r="D19" s="101">
        <v>0.04</v>
      </c>
      <c r="E19" s="245">
        <f>C19*D19</f>
        <v>0</v>
      </c>
      <c r="F19" s="243"/>
      <c r="G19" s="243"/>
      <c r="H19" s="243"/>
      <c r="I19" s="243"/>
      <c r="J19" s="243"/>
      <c r="K19" s="243"/>
      <c r="L19" s="243"/>
      <c r="M19" s="243"/>
      <c r="N19" s="154">
        <f t="shared" si="3"/>
        <v>0</v>
      </c>
    </row>
    <row r="20" spans="1:14">
      <c r="A20" s="153">
        <v>2.6</v>
      </c>
      <c r="B20" s="102" t="s">
        <v>84</v>
      </c>
      <c r="C20" s="243"/>
      <c r="D20" s="103"/>
      <c r="E20" s="246"/>
      <c r="F20" s="243"/>
      <c r="G20" s="243"/>
      <c r="H20" s="243"/>
      <c r="I20" s="243"/>
      <c r="J20" s="243"/>
      <c r="K20" s="243"/>
      <c r="L20" s="243"/>
      <c r="M20" s="243"/>
      <c r="N20" s="154">
        <f t="shared" si="3"/>
        <v>0</v>
      </c>
    </row>
    <row r="21" spans="1:14" ht="15.75" thickBot="1">
      <c r="A21" s="155">
        <v>3</v>
      </c>
      <c r="B21" s="156" t="s">
        <v>68</v>
      </c>
      <c r="C21" s="244">
        <f>C14+C7</f>
        <v>23763400</v>
      </c>
      <c r="D21" s="157"/>
      <c r="E21" s="247">
        <f>E14+E7</f>
        <v>475268</v>
      </c>
      <c r="F21" s="248">
        <f>F7+F14</f>
        <v>0</v>
      </c>
      <c r="G21" s="248">
        <f t="shared" ref="G21:L21" si="4">G7+G14</f>
        <v>0</v>
      </c>
      <c r="H21" s="248">
        <f t="shared" si="4"/>
        <v>0</v>
      </c>
      <c r="I21" s="248">
        <f t="shared" si="4"/>
        <v>0</v>
      </c>
      <c r="J21" s="248">
        <f t="shared" si="4"/>
        <v>0</v>
      </c>
      <c r="K21" s="248">
        <f t="shared" si="4"/>
        <v>475268</v>
      </c>
      <c r="L21" s="248">
        <f t="shared" si="4"/>
        <v>0</v>
      </c>
      <c r="M21" s="248">
        <f>M7+M14</f>
        <v>0</v>
      </c>
      <c r="N21" s="158">
        <f>N14+N7</f>
        <v>475268</v>
      </c>
    </row>
    <row r="22" spans="1:14">
      <c r="E22" s="249"/>
      <c r="F22" s="249"/>
      <c r="G22" s="249"/>
      <c r="H22" s="249"/>
      <c r="I22" s="249"/>
      <c r="J22" s="249"/>
      <c r="K22" s="249"/>
      <c r="L22" s="249"/>
      <c r="M22" s="24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22" workbookViewId="0">
      <selection activeCell="C36" sqref="C36"/>
    </sheetView>
  </sheetViews>
  <sheetFormatPr defaultRowHeight="15"/>
  <cols>
    <col min="1" max="1" width="11.42578125" customWidth="1"/>
    <col min="2" max="2" width="76.7109375" style="2" customWidth="1"/>
    <col min="3" max="3" width="22.7109375" customWidth="1"/>
  </cols>
  <sheetData>
    <row r="1" spans="1:3">
      <c r="A1" s="1" t="s">
        <v>188</v>
      </c>
      <c r="B1" t="str">
        <f>Info!C2</f>
        <v>სს "ბანკი ქართუ"</v>
      </c>
    </row>
    <row r="2" spans="1:3">
      <c r="A2" s="1" t="s">
        <v>189</v>
      </c>
      <c r="B2" s="390">
        <f>'1. key ratios'!B2</f>
        <v>44651</v>
      </c>
    </row>
    <row r="3" spans="1:3">
      <c r="A3" s="1"/>
      <c r="B3"/>
    </row>
    <row r="4" spans="1:3">
      <c r="A4" s="1" t="s">
        <v>597</v>
      </c>
      <c r="B4" t="s">
        <v>556</v>
      </c>
    </row>
    <row r="5" spans="1:3">
      <c r="A5" s="331"/>
      <c r="B5" s="331" t="s">
        <v>557</v>
      </c>
      <c r="C5" s="343"/>
    </row>
    <row r="6" spans="1:3">
      <c r="A6" s="332">
        <v>1</v>
      </c>
      <c r="B6" s="344" t="s">
        <v>609</v>
      </c>
      <c r="C6" s="345">
        <v>1382170191.0476568</v>
      </c>
    </row>
    <row r="7" spans="1:3">
      <c r="A7" s="332">
        <v>2</v>
      </c>
      <c r="B7" s="344" t="s">
        <v>558</v>
      </c>
      <c r="C7" s="345">
        <v>-3965614</v>
      </c>
    </row>
    <row r="8" spans="1:3">
      <c r="A8" s="333">
        <v>3</v>
      </c>
      <c r="B8" s="346" t="s">
        <v>559</v>
      </c>
      <c r="C8" s="347">
        <f>C6+C7</f>
        <v>1378204577.0476568</v>
      </c>
    </row>
    <row r="9" spans="1:3">
      <c r="A9" s="334"/>
      <c r="B9" s="334" t="s">
        <v>560</v>
      </c>
      <c r="C9" s="348"/>
    </row>
    <row r="10" spans="1:3">
      <c r="A10" s="335">
        <v>4</v>
      </c>
      <c r="B10" s="349" t="s">
        <v>561</v>
      </c>
      <c r="C10" s="345"/>
    </row>
    <row r="11" spans="1:3">
      <c r="A11" s="335">
        <v>5</v>
      </c>
      <c r="B11" s="350" t="s">
        <v>562</v>
      </c>
      <c r="C11" s="345"/>
    </row>
    <row r="12" spans="1:3">
      <c r="A12" s="335" t="s">
        <v>563</v>
      </c>
      <c r="B12" s="344" t="s">
        <v>564</v>
      </c>
      <c r="C12" s="347">
        <f>'15. CCR'!E21</f>
        <v>475268</v>
      </c>
    </row>
    <row r="13" spans="1:3">
      <c r="A13" s="336">
        <v>6</v>
      </c>
      <c r="B13" s="351" t="s">
        <v>565</v>
      </c>
      <c r="C13" s="345"/>
    </row>
    <row r="14" spans="1:3">
      <c r="A14" s="336">
        <v>7</v>
      </c>
      <c r="B14" s="352" t="s">
        <v>566</v>
      </c>
      <c r="C14" s="345"/>
    </row>
    <row r="15" spans="1:3">
      <c r="A15" s="337">
        <v>8</v>
      </c>
      <c r="B15" s="344" t="s">
        <v>567</v>
      </c>
      <c r="C15" s="345"/>
    </row>
    <row r="16" spans="1:3" ht="24">
      <c r="A16" s="336">
        <v>9</v>
      </c>
      <c r="B16" s="352" t="s">
        <v>568</v>
      </c>
      <c r="C16" s="345"/>
    </row>
    <row r="17" spans="1:3">
      <c r="A17" s="336">
        <v>10</v>
      </c>
      <c r="B17" s="352" t="s">
        <v>569</v>
      </c>
      <c r="C17" s="345"/>
    </row>
    <row r="18" spans="1:3">
      <c r="A18" s="338">
        <v>11</v>
      </c>
      <c r="B18" s="353" t="s">
        <v>570</v>
      </c>
      <c r="C18" s="347">
        <f>SUM(C10:C17)</f>
        <v>475268</v>
      </c>
    </row>
    <row r="19" spans="1:3">
      <c r="A19" s="334"/>
      <c r="B19" s="334" t="s">
        <v>571</v>
      </c>
      <c r="C19" s="354"/>
    </row>
    <row r="20" spans="1:3">
      <c r="A20" s="336">
        <v>12</v>
      </c>
      <c r="B20" s="349" t="s">
        <v>572</v>
      </c>
      <c r="C20" s="345"/>
    </row>
    <row r="21" spans="1:3">
      <c r="A21" s="336">
        <v>13</v>
      </c>
      <c r="B21" s="349" t="s">
        <v>573</v>
      </c>
      <c r="C21" s="345"/>
    </row>
    <row r="22" spans="1:3">
      <c r="A22" s="336">
        <v>14</v>
      </c>
      <c r="B22" s="349" t="s">
        <v>574</v>
      </c>
      <c r="C22" s="345"/>
    </row>
    <row r="23" spans="1:3" ht="24">
      <c r="A23" s="336" t="s">
        <v>575</v>
      </c>
      <c r="B23" s="349" t="s">
        <v>576</v>
      </c>
      <c r="C23" s="345"/>
    </row>
    <row r="24" spans="1:3">
      <c r="A24" s="336">
        <v>15</v>
      </c>
      <c r="B24" s="349" t="s">
        <v>577</v>
      </c>
      <c r="C24" s="345"/>
    </row>
    <row r="25" spans="1:3">
      <c r="A25" s="336" t="s">
        <v>578</v>
      </c>
      <c r="B25" s="344" t="s">
        <v>579</v>
      </c>
      <c r="C25" s="345"/>
    </row>
    <row r="26" spans="1:3">
      <c r="A26" s="338">
        <v>16</v>
      </c>
      <c r="B26" s="353" t="s">
        <v>580</v>
      </c>
      <c r="C26" s="347">
        <f>SUM(C20:C25)</f>
        <v>0</v>
      </c>
    </row>
    <row r="27" spans="1:3">
      <c r="A27" s="334"/>
      <c r="B27" s="334" t="s">
        <v>581</v>
      </c>
      <c r="C27" s="348"/>
    </row>
    <row r="28" spans="1:3">
      <c r="A28" s="335">
        <v>17</v>
      </c>
      <c r="B28" s="344" t="s">
        <v>582</v>
      </c>
      <c r="C28" s="345">
        <v>50001320.288685933</v>
      </c>
    </row>
    <row r="29" spans="1:3">
      <c r="A29" s="335">
        <v>18</v>
      </c>
      <c r="B29" s="344" t="s">
        <v>583</v>
      </c>
      <c r="C29" s="345">
        <v>-22938267.751727469</v>
      </c>
    </row>
    <row r="30" spans="1:3">
      <c r="A30" s="338">
        <v>19</v>
      </c>
      <c r="B30" s="353" t="s">
        <v>584</v>
      </c>
      <c r="C30" s="347">
        <f>C28+C29</f>
        <v>27063052.536958463</v>
      </c>
    </row>
    <row r="31" spans="1:3">
      <c r="A31" s="339"/>
      <c r="B31" s="334" t="s">
        <v>585</v>
      </c>
      <c r="C31" s="348"/>
    </row>
    <row r="32" spans="1:3">
      <c r="A32" s="335" t="s">
        <v>586</v>
      </c>
      <c r="B32" s="349" t="s">
        <v>587</v>
      </c>
      <c r="C32" s="355"/>
    </row>
    <row r="33" spans="1:3">
      <c r="A33" s="335" t="s">
        <v>588</v>
      </c>
      <c r="B33" s="350" t="s">
        <v>589</v>
      </c>
      <c r="C33" s="355"/>
    </row>
    <row r="34" spans="1:3">
      <c r="A34" s="334"/>
      <c r="B34" s="334" t="s">
        <v>590</v>
      </c>
      <c r="C34" s="348"/>
    </row>
    <row r="35" spans="1:3">
      <c r="A35" s="338">
        <v>20</v>
      </c>
      <c r="B35" s="353" t="s">
        <v>89</v>
      </c>
      <c r="C35" s="347">
        <f>'1. key ratios'!C9</f>
        <v>275598493</v>
      </c>
    </row>
    <row r="36" spans="1:3">
      <c r="A36" s="338">
        <v>21</v>
      </c>
      <c r="B36" s="353" t="s">
        <v>591</v>
      </c>
      <c r="C36" s="347">
        <f>C8+C18+C26+C30</f>
        <v>1405742897.5846152</v>
      </c>
    </row>
    <row r="37" spans="1:3">
      <c r="A37" s="340"/>
      <c r="B37" s="340" t="s">
        <v>556</v>
      </c>
      <c r="C37" s="348"/>
    </row>
    <row r="38" spans="1:3">
      <c r="A38" s="338">
        <v>22</v>
      </c>
      <c r="B38" s="353" t="s">
        <v>556</v>
      </c>
      <c r="C38" s="591">
        <f>IFERROR(C35/C36,0)</f>
        <v>0.19605184808227782</v>
      </c>
    </row>
    <row r="39" spans="1:3">
      <c r="A39" s="340"/>
      <c r="B39" s="340" t="s">
        <v>592</v>
      </c>
      <c r="C39" s="348"/>
    </row>
    <row r="40" spans="1:3">
      <c r="A40" s="341" t="s">
        <v>593</v>
      </c>
      <c r="B40" s="349" t="s">
        <v>594</v>
      </c>
      <c r="C40" s="355"/>
    </row>
    <row r="41" spans="1:3">
      <c r="A41" s="342" t="s">
        <v>595</v>
      </c>
      <c r="B41" s="350" t="s">
        <v>596</v>
      </c>
      <c r="C41" s="355"/>
    </row>
    <row r="43" spans="1:3">
      <c r="B43" s="35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Normal="100" workbookViewId="0">
      <pane xSplit="2" ySplit="6" topLeftCell="C7" activePane="bottomRight" state="frozen"/>
      <selection pane="topRight"/>
      <selection pane="bottomLeft"/>
      <selection pane="bottomRight"/>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"ბანკი ქართუ"</v>
      </c>
    </row>
    <row r="2" spans="1:7">
      <c r="A2" s="1" t="s">
        <v>189</v>
      </c>
      <c r="B2" s="390">
        <f>'1. key ratios'!B2</f>
        <v>44651</v>
      </c>
    </row>
    <row r="3" spans="1:7">
      <c r="B3" s="390"/>
    </row>
    <row r="4" spans="1:7" ht="15.75" thickBot="1">
      <c r="A4" s="1" t="s">
        <v>659</v>
      </c>
      <c r="B4" s="255" t="s">
        <v>624</v>
      </c>
    </row>
    <row r="5" spans="1:7">
      <c r="A5" s="393"/>
      <c r="B5" s="394"/>
      <c r="C5" s="728" t="s">
        <v>625</v>
      </c>
      <c r="D5" s="728"/>
      <c r="E5" s="728"/>
      <c r="F5" s="728"/>
      <c r="G5" s="729" t="s">
        <v>626</v>
      </c>
    </row>
    <row r="6" spans="1:7">
      <c r="A6" s="395"/>
      <c r="B6" s="396"/>
      <c r="C6" s="397" t="s">
        <v>627</v>
      </c>
      <c r="D6" s="397" t="s">
        <v>628</v>
      </c>
      <c r="E6" s="397" t="s">
        <v>629</v>
      </c>
      <c r="F6" s="397" t="s">
        <v>630</v>
      </c>
      <c r="G6" s="730"/>
    </row>
    <row r="7" spans="1:7">
      <c r="A7" s="398"/>
      <c r="B7" s="399" t="s">
        <v>631</v>
      </c>
      <c r="C7" s="400"/>
      <c r="D7" s="400"/>
      <c r="E7" s="400"/>
      <c r="F7" s="400"/>
      <c r="G7" s="401"/>
    </row>
    <row r="8" spans="1:7">
      <c r="A8" s="402">
        <v>1</v>
      </c>
      <c r="B8" s="403" t="s">
        <v>632</v>
      </c>
      <c r="C8" s="404">
        <f>SUM(C9:C10)</f>
        <v>77433393</v>
      </c>
      <c r="D8" s="404">
        <f>SUM(D9:D10)</f>
        <v>0</v>
      </c>
      <c r="E8" s="404">
        <f>SUM(E9:E10)</f>
        <v>0</v>
      </c>
      <c r="F8" s="404">
        <f>SUM(F9:F10)</f>
        <v>353153351.91840005</v>
      </c>
      <c r="G8" s="405">
        <f>SUM(G9:G10)</f>
        <v>430586744.91840005</v>
      </c>
    </row>
    <row r="9" spans="1:7">
      <c r="A9" s="402">
        <v>2</v>
      </c>
      <c r="B9" s="406" t="s">
        <v>88</v>
      </c>
      <c r="C9" s="404">
        <v>77433393</v>
      </c>
      <c r="D9" s="404"/>
      <c r="E9" s="404"/>
      <c r="F9" s="404">
        <v>235380700</v>
      </c>
      <c r="G9" s="405">
        <v>312814093</v>
      </c>
    </row>
    <row r="10" spans="1:7">
      <c r="A10" s="402">
        <v>3</v>
      </c>
      <c r="B10" s="406" t="s">
        <v>633</v>
      </c>
      <c r="C10" s="407"/>
      <c r="D10" s="407"/>
      <c r="E10" s="407"/>
      <c r="F10" s="404">
        <v>117772651.91840002</v>
      </c>
      <c r="G10" s="405">
        <v>117772651.91840002</v>
      </c>
    </row>
    <row r="11" spans="1:7" ht="26.25">
      <c r="A11" s="402">
        <v>4</v>
      </c>
      <c r="B11" s="403" t="s">
        <v>634</v>
      </c>
      <c r="C11" s="404">
        <f t="shared" ref="C11:F11" si="0">SUM(C12:C13)</f>
        <v>122281143.61269936</v>
      </c>
      <c r="D11" s="404">
        <f t="shared" si="0"/>
        <v>67193907.834600002</v>
      </c>
      <c r="E11" s="404">
        <f t="shared" si="0"/>
        <v>110481333.22189999</v>
      </c>
      <c r="F11" s="404">
        <f t="shared" si="0"/>
        <v>0</v>
      </c>
      <c r="G11" s="405">
        <f>SUM(G12:G13)</f>
        <v>275049300.77458435</v>
      </c>
    </row>
    <row r="12" spans="1:7">
      <c r="A12" s="402">
        <v>5</v>
      </c>
      <c r="B12" s="406" t="s">
        <v>635</v>
      </c>
      <c r="C12" s="404">
        <v>108325522.74699935</v>
      </c>
      <c r="D12" s="408">
        <v>63174586.414400004</v>
      </c>
      <c r="E12" s="404">
        <v>106435687.37189999</v>
      </c>
      <c r="F12" s="404"/>
      <c r="G12" s="405">
        <v>264039006.70663434</v>
      </c>
    </row>
    <row r="13" spans="1:7">
      <c r="A13" s="402">
        <v>6</v>
      </c>
      <c r="B13" s="406" t="s">
        <v>636</v>
      </c>
      <c r="C13" s="404">
        <v>13955620.865699999</v>
      </c>
      <c r="D13" s="408">
        <v>4019321.4202000001</v>
      </c>
      <c r="E13" s="404">
        <v>4045645.85</v>
      </c>
      <c r="F13" s="404"/>
      <c r="G13" s="405">
        <v>11010294.067950001</v>
      </c>
    </row>
    <row r="14" spans="1:7">
      <c r="A14" s="402">
        <v>7</v>
      </c>
      <c r="B14" s="403" t="s">
        <v>637</v>
      </c>
      <c r="C14" s="404">
        <f t="shared" ref="C14:F14" si="1">SUM(C15:C16)</f>
        <v>195754339.25769994</v>
      </c>
      <c r="D14" s="404">
        <f t="shared" si="1"/>
        <v>352534384.84100002</v>
      </c>
      <c r="E14" s="404">
        <f t="shared" si="1"/>
        <v>65019193.743700005</v>
      </c>
      <c r="F14" s="404">
        <f t="shared" si="1"/>
        <v>0</v>
      </c>
      <c r="G14" s="405">
        <f>SUM(G15:G16)</f>
        <v>289410368.33249998</v>
      </c>
    </row>
    <row r="15" spans="1:7" ht="51.75">
      <c r="A15" s="402">
        <v>8</v>
      </c>
      <c r="B15" s="406" t="s">
        <v>638</v>
      </c>
      <c r="C15" s="404">
        <v>192325572.73029995</v>
      </c>
      <c r="D15" s="404">
        <v>321475970.19100004</v>
      </c>
      <c r="E15" s="404">
        <v>34149724.313700005</v>
      </c>
      <c r="F15" s="404"/>
      <c r="G15" s="405">
        <v>273975633.61750001</v>
      </c>
    </row>
    <row r="16" spans="1:7" ht="26.25">
      <c r="A16" s="402">
        <v>9</v>
      </c>
      <c r="B16" s="406" t="s">
        <v>639</v>
      </c>
      <c r="C16" s="404">
        <v>3428766.5274</v>
      </c>
      <c r="D16" s="408">
        <v>31058414.649999999</v>
      </c>
      <c r="E16" s="404">
        <v>30869469.43</v>
      </c>
      <c r="F16" s="404"/>
      <c r="G16" s="405">
        <v>15434734.715</v>
      </c>
    </row>
    <row r="17" spans="1:7">
      <c r="A17" s="402">
        <v>10</v>
      </c>
      <c r="B17" s="403" t="s">
        <v>640</v>
      </c>
      <c r="C17" s="404"/>
      <c r="D17" s="408"/>
      <c r="E17" s="404"/>
      <c r="F17" s="404"/>
      <c r="G17" s="405"/>
    </row>
    <row r="18" spans="1:7">
      <c r="A18" s="402">
        <v>11</v>
      </c>
      <c r="B18" s="403" t="s">
        <v>95</v>
      </c>
      <c r="C18" s="404">
        <f>SUM(C19:C20)</f>
        <v>0</v>
      </c>
      <c r="D18" s="408">
        <f t="shared" ref="D18:G18" si="2">SUM(D19:D20)</f>
        <v>34611402.454000711</v>
      </c>
      <c r="E18" s="404">
        <f t="shared" si="2"/>
        <v>7265121.0344000086</v>
      </c>
      <c r="F18" s="404">
        <f t="shared" si="2"/>
        <v>4801945.0815999806</v>
      </c>
      <c r="G18" s="405">
        <f t="shared" si="2"/>
        <v>0</v>
      </c>
    </row>
    <row r="19" spans="1:7">
      <c r="A19" s="402">
        <v>12</v>
      </c>
      <c r="B19" s="406" t="s">
        <v>641</v>
      </c>
      <c r="C19" s="407"/>
      <c r="D19" s="408">
        <v>23763400</v>
      </c>
      <c r="E19" s="404">
        <v>0</v>
      </c>
      <c r="F19" s="404"/>
      <c r="G19" s="405">
        <v>0</v>
      </c>
    </row>
    <row r="20" spans="1:7" ht="26.25">
      <c r="A20" s="402">
        <v>13</v>
      </c>
      <c r="B20" s="406" t="s">
        <v>642</v>
      </c>
      <c r="C20" s="404">
        <v>0</v>
      </c>
      <c r="D20" s="404">
        <v>10848002.454000711</v>
      </c>
      <c r="E20" s="404">
        <v>7265121.0344000086</v>
      </c>
      <c r="F20" s="404">
        <v>4801945.0815999806</v>
      </c>
      <c r="G20" s="405">
        <v>0</v>
      </c>
    </row>
    <row r="21" spans="1:7">
      <c r="A21" s="409">
        <v>14</v>
      </c>
      <c r="B21" s="410" t="s">
        <v>643</v>
      </c>
      <c r="C21" s="407"/>
      <c r="D21" s="407"/>
      <c r="E21" s="407"/>
      <c r="F21" s="407"/>
      <c r="G21" s="411">
        <f>SUM(G8,G11,G14,G17,G18)</f>
        <v>995046414.02548432</v>
      </c>
    </row>
    <row r="22" spans="1:7">
      <c r="A22" s="412"/>
      <c r="B22" s="428" t="s">
        <v>644</v>
      </c>
      <c r="C22" s="413"/>
      <c r="D22" s="414"/>
      <c r="E22" s="413"/>
      <c r="F22" s="413"/>
      <c r="G22" s="415"/>
    </row>
    <row r="23" spans="1:7">
      <c r="A23" s="402">
        <v>15</v>
      </c>
      <c r="B23" s="403" t="s">
        <v>491</v>
      </c>
      <c r="C23" s="416">
        <v>444937207.11000001</v>
      </c>
      <c r="D23" s="417">
        <v>620260</v>
      </c>
      <c r="E23" s="416">
        <v>3000</v>
      </c>
      <c r="F23" s="416"/>
      <c r="G23" s="405">
        <v>10970072.4055</v>
      </c>
    </row>
    <row r="24" spans="1:7">
      <c r="A24" s="402">
        <v>16</v>
      </c>
      <c r="B24" s="403" t="s">
        <v>645</v>
      </c>
      <c r="C24" s="404">
        <f>SUM(C25:C27,C29,C31)</f>
        <v>1152827.22</v>
      </c>
      <c r="D24" s="408">
        <f t="shared" ref="D24:G24" si="3">SUM(D25:D27,D29,D31)</f>
        <v>211563088.51831198</v>
      </c>
      <c r="E24" s="404">
        <f t="shared" si="3"/>
        <v>56581661.634582251</v>
      </c>
      <c r="F24" s="404">
        <f t="shared" si="3"/>
        <v>308976400.81601971</v>
      </c>
      <c r="G24" s="405">
        <f t="shared" si="3"/>
        <v>396875239.85306382</v>
      </c>
    </row>
    <row r="25" spans="1:7" ht="26.25">
      <c r="A25" s="402">
        <v>17</v>
      </c>
      <c r="B25" s="406" t="s">
        <v>646</v>
      </c>
      <c r="C25" s="404"/>
      <c r="D25" s="408">
        <v>0</v>
      </c>
      <c r="E25" s="404"/>
      <c r="F25" s="404"/>
      <c r="G25" s="405"/>
    </row>
    <row r="26" spans="1:7" ht="26.25">
      <c r="A26" s="402">
        <v>18</v>
      </c>
      <c r="B26" s="406" t="s">
        <v>647</v>
      </c>
      <c r="C26" s="404">
        <v>1152827.22</v>
      </c>
      <c r="D26" s="408">
        <v>0</v>
      </c>
      <c r="E26" s="404">
        <v>146522</v>
      </c>
      <c r="F26" s="404">
        <v>0</v>
      </c>
      <c r="G26" s="405">
        <v>246185.08299999998</v>
      </c>
    </row>
    <row r="27" spans="1:7">
      <c r="A27" s="402">
        <v>19</v>
      </c>
      <c r="B27" s="406" t="s">
        <v>648</v>
      </c>
      <c r="C27" s="404"/>
      <c r="D27" s="408">
        <v>202272881.99387971</v>
      </c>
      <c r="E27" s="404">
        <v>46805962.012259759</v>
      </c>
      <c r="F27" s="404">
        <v>284931614.2361719</v>
      </c>
      <c r="G27" s="405">
        <v>366731294.10381579</v>
      </c>
    </row>
    <row r="28" spans="1:7">
      <c r="A28" s="402">
        <v>20</v>
      </c>
      <c r="B28" s="418" t="s">
        <v>649</v>
      </c>
      <c r="C28" s="404"/>
      <c r="D28" s="408"/>
      <c r="E28" s="404"/>
      <c r="F28" s="404"/>
      <c r="G28" s="405"/>
    </row>
    <row r="29" spans="1:7">
      <c r="A29" s="402">
        <v>21</v>
      </c>
      <c r="B29" s="406" t="s">
        <v>650</v>
      </c>
      <c r="C29" s="404"/>
      <c r="D29" s="408">
        <v>8450927.2944322824</v>
      </c>
      <c r="E29" s="404">
        <v>9188177.6223224923</v>
      </c>
      <c r="F29" s="404">
        <v>22642136.579847805</v>
      </c>
      <c r="G29" s="405">
        <v>28065368.551248021</v>
      </c>
    </row>
    <row r="30" spans="1:7">
      <c r="A30" s="402">
        <v>22</v>
      </c>
      <c r="B30" s="418" t="s">
        <v>649</v>
      </c>
      <c r="C30" s="404"/>
      <c r="D30" s="408"/>
      <c r="E30" s="404"/>
      <c r="F30" s="404"/>
      <c r="G30" s="405"/>
    </row>
    <row r="31" spans="1:7" ht="26.25">
      <c r="A31" s="402">
        <v>23</v>
      </c>
      <c r="B31" s="406" t="s">
        <v>651</v>
      </c>
      <c r="C31" s="404"/>
      <c r="D31" s="408">
        <v>839279.23</v>
      </c>
      <c r="E31" s="404">
        <v>441000.00000000006</v>
      </c>
      <c r="F31" s="404">
        <v>1402650</v>
      </c>
      <c r="G31" s="405">
        <v>1832392.115</v>
      </c>
    </row>
    <row r="32" spans="1:7">
      <c r="A32" s="402">
        <v>24</v>
      </c>
      <c r="B32" s="403" t="s">
        <v>652</v>
      </c>
      <c r="C32" s="404"/>
      <c r="D32" s="408"/>
      <c r="E32" s="404"/>
      <c r="F32" s="404"/>
      <c r="G32" s="405"/>
    </row>
    <row r="33" spans="1:7">
      <c r="A33" s="402">
        <v>25</v>
      </c>
      <c r="B33" s="403" t="s">
        <v>165</v>
      </c>
      <c r="C33" s="404">
        <f>SUM(C34:C35)</f>
        <v>0</v>
      </c>
      <c r="D33" s="404">
        <f>SUM(D34:D35)</f>
        <v>60712849.436687961</v>
      </c>
      <c r="E33" s="404">
        <f>SUM(E34:E35)</f>
        <v>38652211.605417758</v>
      </c>
      <c r="F33" s="404">
        <f>SUM(F34:F35)</f>
        <v>267145030.64398021</v>
      </c>
      <c r="G33" s="405">
        <f>SUM(G34:G35)</f>
        <v>332913829.78503913</v>
      </c>
    </row>
    <row r="34" spans="1:7">
      <c r="A34" s="402">
        <v>26</v>
      </c>
      <c r="B34" s="406" t="s">
        <v>653</v>
      </c>
      <c r="C34" s="407"/>
      <c r="D34" s="408">
        <v>23316968.984999999</v>
      </c>
      <c r="E34" s="404"/>
      <c r="F34" s="404"/>
      <c r="G34" s="405">
        <v>23316968.984999999</v>
      </c>
    </row>
    <row r="35" spans="1:7">
      <c r="A35" s="402">
        <v>27</v>
      </c>
      <c r="B35" s="406" t="s">
        <v>654</v>
      </c>
      <c r="C35" s="404"/>
      <c r="D35" s="408">
        <v>37395880.451687962</v>
      </c>
      <c r="E35" s="404">
        <v>38652211.605417758</v>
      </c>
      <c r="F35" s="404">
        <v>267145030.64398021</v>
      </c>
      <c r="G35" s="405">
        <v>309596860.80003911</v>
      </c>
    </row>
    <row r="36" spans="1:7">
      <c r="A36" s="402">
        <v>28</v>
      </c>
      <c r="B36" s="403" t="s">
        <v>655</v>
      </c>
      <c r="C36" s="404"/>
      <c r="D36" s="408">
        <v>35374989.899151079</v>
      </c>
      <c r="E36" s="404">
        <v>10527464.838909999</v>
      </c>
      <c r="F36" s="404">
        <v>3667972.4552310002</v>
      </c>
      <c r="G36" s="405">
        <v>4071574.8960544085</v>
      </c>
    </row>
    <row r="37" spans="1:7">
      <c r="A37" s="409">
        <v>29</v>
      </c>
      <c r="B37" s="410" t="s">
        <v>656</v>
      </c>
      <c r="C37" s="407"/>
      <c r="D37" s="407"/>
      <c r="E37" s="407"/>
      <c r="F37" s="407"/>
      <c r="G37" s="411">
        <f>SUM(G23:G24,G32:G33,G36)</f>
        <v>744830716.93965733</v>
      </c>
    </row>
    <row r="38" spans="1:7">
      <c r="A38" s="398"/>
      <c r="B38" s="419"/>
      <c r="C38" s="592"/>
      <c r="D38" s="592"/>
      <c r="E38" s="592"/>
      <c r="F38" s="592"/>
      <c r="G38" s="420"/>
    </row>
    <row r="39" spans="1:7" ht="15.75" thickBot="1">
      <c r="A39" s="421">
        <v>30</v>
      </c>
      <c r="B39" s="422" t="s">
        <v>624</v>
      </c>
      <c r="C39" s="285"/>
      <c r="D39" s="271"/>
      <c r="E39" s="271"/>
      <c r="F39" s="423"/>
      <c r="G39" s="424">
        <f>IFERROR(G21/G37,0)</f>
        <v>1.3359363294171154</v>
      </c>
    </row>
    <row r="42" spans="1:7" ht="39">
      <c r="B42" s="18" t="s">
        <v>657</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selection pane="bottomLeft"/>
      <selection pane="bottomRight" activeCell="B1" sqref="B1"/>
    </sheetView>
  </sheetViews>
  <sheetFormatPr defaultRowHeight="15.75"/>
  <cols>
    <col min="1" max="1" width="9.5703125" style="15" bestFit="1" customWidth="1"/>
    <col min="2" max="2" width="88.28515625" style="13" customWidth="1"/>
    <col min="3" max="3" width="12.7109375" style="13" customWidth="1"/>
    <col min="4" max="7" width="12.7109375" style="1" customWidth="1"/>
    <col min="8" max="13" width="6.7109375" customWidth="1"/>
  </cols>
  <sheetData>
    <row r="1" spans="1:7">
      <c r="A1" s="14" t="s">
        <v>188</v>
      </c>
      <c r="B1" s="357" t="str">
        <f>Info!C2</f>
        <v>სს "ბანკი ქართუ"</v>
      </c>
    </row>
    <row r="2" spans="1:7">
      <c r="A2" s="14" t="s">
        <v>189</v>
      </c>
      <c r="B2" s="378">
        <v>44651</v>
      </c>
    </row>
    <row r="3" spans="1:7">
      <c r="A3" s="14"/>
    </row>
    <row r="4" spans="1:7" ht="16.5" thickBot="1">
      <c r="A4" s="62" t="s">
        <v>405</v>
      </c>
      <c r="B4" s="191" t="s">
        <v>223</v>
      </c>
      <c r="C4" s="192"/>
      <c r="D4" s="193"/>
      <c r="E4" s="193"/>
      <c r="F4" s="193"/>
      <c r="G4" s="193"/>
    </row>
    <row r="5" spans="1:7" ht="15">
      <c r="A5" s="258" t="s">
        <v>26</v>
      </c>
      <c r="B5" s="259"/>
      <c r="C5" s="379" t="str">
        <f>INT((MONTH($B$2))/3)&amp;"Q"&amp;"-"&amp;YEAR($B$2)</f>
        <v>1Q-2022</v>
      </c>
      <c r="D5" s="379" t="str">
        <f>IF(INT(MONTH($B$2))=3, "4"&amp;"Q"&amp;"-"&amp;YEAR($B$2)-1, IF(INT(MONTH($B$2))=6, "1"&amp;"Q"&amp;"-"&amp;YEAR($B$2), IF(INT(MONTH($B$2))=9, "2"&amp;"Q"&amp;"-"&amp;YEAR($B$2),IF(INT(MONTH($B$2))=12, "3"&amp;"Q"&amp;"-"&amp;YEAR($B$2), 0))))</f>
        <v>4Q-2021</v>
      </c>
      <c r="E5" s="379" t="str">
        <f>IF(INT(MONTH($B$2))=3, "3"&amp;"Q"&amp;"-"&amp;YEAR($B$2)-1, IF(INT(MONTH($B$2))=6, "4"&amp;"Q"&amp;"-"&amp;YEAR($B$2)-1, IF(INT(MONTH($B$2))=9, "1"&amp;"Q"&amp;"-"&amp;YEAR($B$2),IF(INT(MONTH($B$2))=12, "2"&amp;"Q"&amp;"-"&amp;YEAR($B$2), 0))))</f>
        <v>3Q-2021</v>
      </c>
      <c r="F5" s="379" t="str">
        <f>IF(INT(MONTH($B$2))=3, "2"&amp;"Q"&amp;"-"&amp;YEAR($B$2)-1, IF(INT(MONTH($B$2))=6, "3"&amp;"Q"&amp;"-"&amp;YEAR($B$2)-1, IF(INT(MONTH($B$2))=9, "4"&amp;"Q"&amp;"-"&amp;YEAR($B$2)-1,IF(INT(MONTH($B$2))=12, "1"&amp;"Q"&amp;"-"&amp;YEAR($B$2), 0))))</f>
        <v>2Q-2021</v>
      </c>
      <c r="G5" s="494" t="str">
        <f>IF(INT(MONTH($B$2))=3, "1"&amp;"Q"&amp;"-"&amp;YEAR($B$2)-1, IF(INT(MONTH($B$2))=6, "2"&amp;"Q"&amp;"-"&amp;YEAR($B$2)-1, IF(INT(MONTH($B$2))=9, "3"&amp;"Q"&amp;"-"&amp;YEAR($B$2)-1,IF(INT(MONTH($B$2))=12, "4"&amp;"Q"&amp;"-"&amp;YEAR($B$2)-1, 0))))</f>
        <v>1Q-2021</v>
      </c>
    </row>
    <row r="6" spans="1:7" ht="15">
      <c r="A6" s="380"/>
      <c r="B6" s="381" t="s">
        <v>186</v>
      </c>
      <c r="C6" s="495"/>
      <c r="D6" s="495"/>
      <c r="E6" s="495"/>
      <c r="F6" s="495"/>
      <c r="G6" s="260"/>
    </row>
    <row r="7" spans="1:7" ht="15">
      <c r="A7" s="380"/>
      <c r="B7" s="382" t="s">
        <v>190</v>
      </c>
      <c r="C7" s="495"/>
      <c r="D7" s="495"/>
      <c r="E7" s="495"/>
      <c r="F7" s="495"/>
      <c r="G7" s="260"/>
    </row>
    <row r="8" spans="1:7" ht="15">
      <c r="A8" s="361">
        <v>1</v>
      </c>
      <c r="B8" s="362" t="s">
        <v>23</v>
      </c>
      <c r="C8" s="496">
        <v>191863393</v>
      </c>
      <c r="D8" s="496">
        <v>189239889</v>
      </c>
      <c r="E8" s="496">
        <v>175613617.65000001</v>
      </c>
      <c r="F8" s="496">
        <v>168291279.65000001</v>
      </c>
      <c r="G8" s="497">
        <v>180388469.65000001</v>
      </c>
    </row>
    <row r="9" spans="1:7" ht="15">
      <c r="A9" s="361">
        <v>2</v>
      </c>
      <c r="B9" s="362" t="s">
        <v>89</v>
      </c>
      <c r="C9" s="496">
        <v>275598493</v>
      </c>
      <c r="D9" s="496">
        <v>272875089</v>
      </c>
      <c r="E9" s="496">
        <v>259929217.65000001</v>
      </c>
      <c r="F9" s="496">
        <v>253619379.65000001</v>
      </c>
      <c r="G9" s="497">
        <v>238389069.65000001</v>
      </c>
    </row>
    <row r="10" spans="1:7" ht="15">
      <c r="A10" s="361">
        <v>3</v>
      </c>
      <c r="B10" s="362" t="s">
        <v>88</v>
      </c>
      <c r="C10" s="496">
        <v>324944902</v>
      </c>
      <c r="D10" s="496">
        <v>322397605</v>
      </c>
      <c r="E10" s="496">
        <v>309904913.64999998</v>
      </c>
      <c r="F10" s="496">
        <v>351699748.64999998</v>
      </c>
      <c r="G10" s="497">
        <v>419211592.64999998</v>
      </c>
    </row>
    <row r="11" spans="1:7" ht="15">
      <c r="A11" s="361">
        <v>4</v>
      </c>
      <c r="B11" s="362" t="s">
        <v>615</v>
      </c>
      <c r="C11" s="496">
        <v>156772134.65544373</v>
      </c>
      <c r="D11" s="496">
        <v>136577495.8508997</v>
      </c>
      <c r="E11" s="496">
        <v>138365879.42782193</v>
      </c>
      <c r="F11" s="496">
        <v>145963792.78535116</v>
      </c>
      <c r="G11" s="497">
        <v>159279293.63442346</v>
      </c>
    </row>
    <row r="12" spans="1:7" ht="15">
      <c r="A12" s="361">
        <v>5</v>
      </c>
      <c r="B12" s="362" t="s">
        <v>616</v>
      </c>
      <c r="C12" s="496">
        <v>197780823.05211535</v>
      </c>
      <c r="D12" s="496">
        <v>171373251.16610357</v>
      </c>
      <c r="E12" s="496">
        <v>173604853.06885102</v>
      </c>
      <c r="F12" s="496">
        <v>183360504.28682971</v>
      </c>
      <c r="G12" s="497">
        <v>200349795.65585443</v>
      </c>
    </row>
    <row r="13" spans="1:7" ht="15">
      <c r="A13" s="361">
        <v>6</v>
      </c>
      <c r="B13" s="362" t="s">
        <v>617</v>
      </c>
      <c r="C13" s="496">
        <v>272657637.15705895</v>
      </c>
      <c r="D13" s="496">
        <v>263543735.53833356</v>
      </c>
      <c r="E13" s="496">
        <v>265118839.3574006</v>
      </c>
      <c r="F13" s="496">
        <v>282749317.92180848</v>
      </c>
      <c r="G13" s="497">
        <v>310509572.82126808</v>
      </c>
    </row>
    <row r="14" spans="1:7" ht="15">
      <c r="A14" s="380"/>
      <c r="B14" s="381" t="s">
        <v>619</v>
      </c>
      <c r="C14" s="495"/>
      <c r="D14" s="495"/>
      <c r="E14" s="495"/>
      <c r="F14" s="495"/>
      <c r="G14" s="260"/>
    </row>
    <row r="15" spans="1:7" ht="15" customHeight="1">
      <c r="A15" s="361">
        <v>7</v>
      </c>
      <c r="B15" s="362" t="s">
        <v>618</v>
      </c>
      <c r="C15" s="496">
        <v>1361151845.6909597</v>
      </c>
      <c r="D15" s="496">
        <v>1299143576.9453716</v>
      </c>
      <c r="E15" s="496">
        <v>1318377848.5747347</v>
      </c>
      <c r="F15" s="496">
        <v>1364203504.3029904</v>
      </c>
      <c r="G15" s="497">
        <v>1458081188.9781187</v>
      </c>
    </row>
    <row r="16" spans="1:7" ht="15">
      <c r="A16" s="380"/>
      <c r="B16" s="381" t="s">
        <v>623</v>
      </c>
      <c r="C16" s="495"/>
      <c r="D16" s="495"/>
      <c r="E16" s="495"/>
      <c r="F16" s="495"/>
      <c r="G16" s="260"/>
    </row>
    <row r="17" spans="1:7" ht="15">
      <c r="A17" s="361"/>
      <c r="B17" s="382" t="s">
        <v>604</v>
      </c>
      <c r="C17" s="495"/>
      <c r="D17" s="495"/>
      <c r="E17" s="495"/>
      <c r="F17" s="495"/>
      <c r="G17" s="260"/>
    </row>
    <row r="18" spans="1:7" ht="15">
      <c r="A18" s="361">
        <v>8</v>
      </c>
      <c r="B18" s="362" t="s">
        <v>613</v>
      </c>
      <c r="C18" s="391">
        <v>0.14095664169092365</v>
      </c>
      <c r="D18" s="391">
        <v>0.14566510765881072</v>
      </c>
      <c r="E18" s="391">
        <v>0.13320431455963214</v>
      </c>
      <c r="F18" s="391">
        <v>0.1233622983075276</v>
      </c>
      <c r="G18" s="392">
        <v>0.1237163410471151</v>
      </c>
    </row>
    <row r="19" spans="1:7" ht="15" customHeight="1">
      <c r="A19" s="361">
        <v>9</v>
      </c>
      <c r="B19" s="362" t="s">
        <v>612</v>
      </c>
      <c r="C19" s="391">
        <v>0.20247446592565749</v>
      </c>
      <c r="D19" s="391">
        <v>0.21004228773666506</v>
      </c>
      <c r="E19" s="391">
        <v>0.19715836240043247</v>
      </c>
      <c r="F19" s="391">
        <v>0.1859102244276826</v>
      </c>
      <c r="G19" s="392">
        <v>0.16349505874708703</v>
      </c>
    </row>
    <row r="20" spans="1:7" ht="15">
      <c r="A20" s="361">
        <v>10</v>
      </c>
      <c r="B20" s="362" t="s">
        <v>614</v>
      </c>
      <c r="C20" s="391">
        <v>0.23872788552481347</v>
      </c>
      <c r="D20" s="391">
        <v>0.24816164334818297</v>
      </c>
      <c r="E20" s="391">
        <v>0.23506532211917125</v>
      </c>
      <c r="F20" s="391">
        <v>0.25780592671156727</v>
      </c>
      <c r="G20" s="392">
        <v>0.28750908784702184</v>
      </c>
    </row>
    <row r="21" spans="1:7" ht="15">
      <c r="A21" s="361">
        <v>11</v>
      </c>
      <c r="B21" s="362" t="s">
        <v>615</v>
      </c>
      <c r="C21" s="498">
        <v>0.11517608057597843</v>
      </c>
      <c r="D21" s="498">
        <v>0.1051288697220282</v>
      </c>
      <c r="E21" s="498">
        <v>0.10495161123755668</v>
      </c>
      <c r="F21" s="498">
        <v>0.10699561489539504</v>
      </c>
      <c r="G21" s="499">
        <v>0.10923897437155247</v>
      </c>
    </row>
    <row r="22" spans="1:7" ht="15">
      <c r="A22" s="361">
        <v>12</v>
      </c>
      <c r="B22" s="362" t="s">
        <v>616</v>
      </c>
      <c r="C22" s="498">
        <v>0.1453040112153807</v>
      </c>
      <c r="D22" s="498">
        <v>0.1319124800424655</v>
      </c>
      <c r="E22" s="498">
        <v>0.13168065077589924</v>
      </c>
      <c r="F22" s="498">
        <v>0.13440846890399516</v>
      </c>
      <c r="G22" s="499">
        <v>0.13740647446132101</v>
      </c>
    </row>
    <row r="23" spans="1:7" ht="15">
      <c r="A23" s="361">
        <v>13</v>
      </c>
      <c r="B23" s="362" t="s">
        <v>617</v>
      </c>
      <c r="C23" s="498">
        <v>0.20031390180325556</v>
      </c>
      <c r="D23" s="498">
        <v>0.20285959166883943</v>
      </c>
      <c r="E23" s="498">
        <v>0.20109473141103967</v>
      </c>
      <c r="F23" s="498">
        <v>0.20726329834951787</v>
      </c>
      <c r="G23" s="499">
        <v>0.21295767009989722</v>
      </c>
    </row>
    <row r="24" spans="1:7" ht="15">
      <c r="A24" s="380"/>
      <c r="B24" s="381" t="s">
        <v>6</v>
      </c>
      <c r="C24" s="495"/>
      <c r="D24" s="495"/>
      <c r="E24" s="495"/>
      <c r="F24" s="495"/>
      <c r="G24" s="260"/>
    </row>
    <row r="25" spans="1:7" ht="15" customHeight="1">
      <c r="A25" s="383">
        <v>14</v>
      </c>
      <c r="B25" s="384" t="s">
        <v>7</v>
      </c>
      <c r="C25" s="391">
        <v>5.5217963470513227E-2</v>
      </c>
      <c r="D25" s="391">
        <v>6.2673778124179097E-2</v>
      </c>
      <c r="E25" s="391">
        <v>5.8734843791540745E-2</v>
      </c>
      <c r="F25" s="391">
        <v>5.5542293726259066E-2</v>
      </c>
      <c r="G25" s="500">
        <v>4.9308039280143698E-2</v>
      </c>
    </row>
    <row r="26" spans="1:7" ht="15">
      <c r="A26" s="383">
        <v>15</v>
      </c>
      <c r="B26" s="384" t="s">
        <v>8</v>
      </c>
      <c r="C26" s="391">
        <v>2.3750955387297712E-2</v>
      </c>
      <c r="D26" s="391">
        <v>2.6338428477537989E-2</v>
      </c>
      <c r="E26" s="391">
        <v>2.6580411114409629E-2</v>
      </c>
      <c r="F26" s="391">
        <v>2.6655256322156262E-2</v>
      </c>
      <c r="G26" s="500">
        <v>2.5907335762192122E-2</v>
      </c>
    </row>
    <row r="27" spans="1:7" ht="15">
      <c r="A27" s="383">
        <v>16</v>
      </c>
      <c r="B27" s="384" t="s">
        <v>9</v>
      </c>
      <c r="C27" s="391">
        <v>1.3518240122090078E-2</v>
      </c>
      <c r="D27" s="391">
        <v>2.3620151247014328E-2</v>
      </c>
      <c r="E27" s="391">
        <v>2.4212417832762862E-2</v>
      </c>
      <c r="F27" s="391">
        <v>2.4645138820403801E-2</v>
      </c>
      <c r="G27" s="500">
        <v>2.7599250829665765E-2</v>
      </c>
    </row>
    <row r="28" spans="1:7" ht="15">
      <c r="A28" s="383">
        <v>17</v>
      </c>
      <c r="B28" s="384" t="s">
        <v>224</v>
      </c>
      <c r="C28" s="391">
        <v>3.1467008083215516E-2</v>
      </c>
      <c r="D28" s="391">
        <v>3.6335349646641105E-2</v>
      </c>
      <c r="E28" s="391">
        <v>3.2154432677131126E-2</v>
      </c>
      <c r="F28" s="391">
        <v>2.8887037404102808E-2</v>
      </c>
      <c r="G28" s="500">
        <v>2.3400703517951572E-2</v>
      </c>
    </row>
    <row r="29" spans="1:7" ht="15">
      <c r="A29" s="383">
        <v>18</v>
      </c>
      <c r="B29" s="384" t="s">
        <v>10</v>
      </c>
      <c r="C29" s="391">
        <v>7.971422259524916E-3</v>
      </c>
      <c r="D29" s="391">
        <v>2.524722168252869E-2</v>
      </c>
      <c r="E29" s="391">
        <v>2.2211413514672047E-2</v>
      </c>
      <c r="F29" s="391">
        <v>2.2677858071597234E-2</v>
      </c>
      <c r="G29" s="500">
        <v>2.4210249063772265E-2</v>
      </c>
    </row>
    <row r="30" spans="1:7" ht="15">
      <c r="A30" s="383">
        <v>19</v>
      </c>
      <c r="B30" s="384" t="s">
        <v>11</v>
      </c>
      <c r="C30" s="391">
        <v>5.2637786581932862E-2</v>
      </c>
      <c r="D30" s="391">
        <v>0.1854104744367665</v>
      </c>
      <c r="E30" s="391">
        <v>0.16787117394092582</v>
      </c>
      <c r="F30" s="391">
        <v>0.17453698031898413</v>
      </c>
      <c r="G30" s="500">
        <v>0.18932634371953191</v>
      </c>
    </row>
    <row r="31" spans="1:7" ht="15">
      <c r="A31" s="380"/>
      <c r="B31" s="381" t="s">
        <v>12</v>
      </c>
      <c r="C31" s="495"/>
      <c r="D31" s="495"/>
      <c r="E31" s="495"/>
      <c r="F31" s="495"/>
      <c r="G31" s="260"/>
    </row>
    <row r="32" spans="1:7" ht="15">
      <c r="A32" s="383">
        <v>20</v>
      </c>
      <c r="B32" s="384" t="s">
        <v>13</v>
      </c>
      <c r="C32" s="391">
        <v>0.33475227028271398</v>
      </c>
      <c r="D32" s="391">
        <v>0.33812745576393999</v>
      </c>
      <c r="E32" s="391">
        <v>0.35630392196599409</v>
      </c>
      <c r="F32" s="391">
        <v>0.35472797783322557</v>
      </c>
      <c r="G32" s="500">
        <v>0.34742919152744028</v>
      </c>
    </row>
    <row r="33" spans="1:7" ht="15" customHeight="1">
      <c r="A33" s="383">
        <v>21</v>
      </c>
      <c r="B33" s="384" t="s">
        <v>14</v>
      </c>
      <c r="C33" s="391">
        <v>0.1678699433937868</v>
      </c>
      <c r="D33" s="391">
        <v>0.16490978842264903</v>
      </c>
      <c r="E33" s="391">
        <v>0.16969773024225895</v>
      </c>
      <c r="F33" s="391">
        <v>0.16766481389724347</v>
      </c>
      <c r="G33" s="500">
        <v>0.16016029623217928</v>
      </c>
    </row>
    <row r="34" spans="1:7" ht="15">
      <c r="A34" s="383">
        <v>22</v>
      </c>
      <c r="B34" s="384" t="s">
        <v>15</v>
      </c>
      <c r="C34" s="391">
        <v>0.64561336562421345</v>
      </c>
      <c r="D34" s="391">
        <v>0.6444377856671768</v>
      </c>
      <c r="E34" s="391">
        <v>0.67609118361544418</v>
      </c>
      <c r="F34" s="391">
        <v>0.67110475618654031</v>
      </c>
      <c r="G34" s="500">
        <v>0.68939866376839776</v>
      </c>
    </row>
    <row r="35" spans="1:7" ht="15" customHeight="1">
      <c r="A35" s="383">
        <v>23</v>
      </c>
      <c r="B35" s="384" t="s">
        <v>16</v>
      </c>
      <c r="C35" s="391">
        <v>0.70853086473567184</v>
      </c>
      <c r="D35" s="391">
        <v>0.65562891198801532</v>
      </c>
      <c r="E35" s="391">
        <v>0.67865249363567326</v>
      </c>
      <c r="F35" s="391">
        <v>0.69225947801502896</v>
      </c>
      <c r="G35" s="500">
        <v>0.70344948211524705</v>
      </c>
    </row>
    <row r="36" spans="1:7" ht="15">
      <c r="A36" s="383">
        <v>24</v>
      </c>
      <c r="B36" s="384" t="s">
        <v>17</v>
      </c>
      <c r="C36" s="391">
        <v>-1.8561518919768538E-5</v>
      </c>
      <c r="D36" s="391">
        <v>-0.11443914848653591</v>
      </c>
      <c r="E36" s="391">
        <v>-9.9150915080462032E-2</v>
      </c>
      <c r="F36" s="391">
        <v>-5.6507426203625366E-2</v>
      </c>
      <c r="G36" s="500">
        <v>2.670841919251421E-2</v>
      </c>
    </row>
    <row r="37" spans="1:7" ht="15" customHeight="1">
      <c r="A37" s="380"/>
      <c r="B37" s="381" t="s">
        <v>18</v>
      </c>
      <c r="C37" s="495"/>
      <c r="D37" s="495"/>
      <c r="E37" s="495"/>
      <c r="F37" s="495"/>
      <c r="G37" s="260"/>
    </row>
    <row r="38" spans="1:7" ht="15" customHeight="1">
      <c r="A38" s="383">
        <v>25</v>
      </c>
      <c r="B38" s="384" t="s">
        <v>19</v>
      </c>
      <c r="C38" s="391">
        <v>0.32548879086164673</v>
      </c>
      <c r="D38" s="391">
        <v>0.25449985241213907</v>
      </c>
      <c r="E38" s="391">
        <v>0.29753365588698838</v>
      </c>
      <c r="F38" s="391">
        <v>0.2919400858310241</v>
      </c>
      <c r="G38" s="500">
        <v>0.28325995888446787</v>
      </c>
    </row>
    <row r="39" spans="1:7" ht="15" customHeight="1">
      <c r="A39" s="383">
        <v>26</v>
      </c>
      <c r="B39" s="384" t="s">
        <v>20</v>
      </c>
      <c r="C39" s="391">
        <v>0.87279238032237949</v>
      </c>
      <c r="D39" s="391">
        <v>0.84522257781254639</v>
      </c>
      <c r="E39" s="391">
        <v>0.85097565903823214</v>
      </c>
      <c r="F39" s="391">
        <v>0.86001489400574915</v>
      </c>
      <c r="G39" s="500">
        <v>0.88554498687629501</v>
      </c>
    </row>
    <row r="40" spans="1:7" ht="15" customHeight="1">
      <c r="A40" s="383">
        <v>27</v>
      </c>
      <c r="B40" s="385" t="s">
        <v>21</v>
      </c>
      <c r="C40" s="391">
        <v>0.38758967558553742</v>
      </c>
      <c r="D40" s="391">
        <v>0.30735457621809875</v>
      </c>
      <c r="E40" s="391">
        <v>0.35146013112548596</v>
      </c>
      <c r="F40" s="391">
        <v>0.30285646200244348</v>
      </c>
      <c r="G40" s="500">
        <v>0.29508951140373502</v>
      </c>
    </row>
    <row r="41" spans="1:7" ht="15" customHeight="1">
      <c r="A41" s="389"/>
      <c r="B41" s="381" t="s">
        <v>525</v>
      </c>
      <c r="C41" s="495"/>
      <c r="D41" s="495"/>
      <c r="E41" s="495"/>
      <c r="F41" s="495"/>
      <c r="G41" s="260"/>
    </row>
    <row r="42" spans="1:7" ht="15" customHeight="1">
      <c r="A42" s="383">
        <v>28</v>
      </c>
      <c r="B42" s="427" t="s">
        <v>509</v>
      </c>
      <c r="C42" s="385">
        <v>373335681.19728094</v>
      </c>
      <c r="D42" s="385">
        <v>341714471.76642001</v>
      </c>
      <c r="E42" s="385">
        <v>366706723.50065273</v>
      </c>
      <c r="F42" s="385">
        <v>396583679.82541364</v>
      </c>
      <c r="G42" s="388">
        <v>401929885.62160707</v>
      </c>
    </row>
    <row r="43" spans="1:7" ht="15">
      <c r="A43" s="383">
        <v>29</v>
      </c>
      <c r="B43" s="384" t="s">
        <v>510</v>
      </c>
      <c r="C43" s="386">
        <v>211298854.08155167</v>
      </c>
      <c r="D43" s="386">
        <v>186391521.88685745</v>
      </c>
      <c r="E43" s="386">
        <v>183443529.42646217</v>
      </c>
      <c r="F43" s="386">
        <v>183554387.7792919</v>
      </c>
      <c r="G43" s="387">
        <v>194922768.10077018</v>
      </c>
    </row>
    <row r="44" spans="1:7" thickBot="1">
      <c r="A44" s="425">
        <v>30</v>
      </c>
      <c r="B44" s="426" t="s">
        <v>508</v>
      </c>
      <c r="C44" s="501">
        <v>1.7668608891423068</v>
      </c>
      <c r="D44" s="501">
        <v>1.8333155301658302</v>
      </c>
      <c r="E44" s="501">
        <v>1.9990169435093434</v>
      </c>
      <c r="F44" s="501">
        <v>2.1605785872156367</v>
      </c>
      <c r="G44" s="502">
        <v>2.0619955766984561</v>
      </c>
    </row>
    <row r="45" spans="1:7" ht="15">
      <c r="A45" s="425"/>
      <c r="B45" s="381" t="s">
        <v>624</v>
      </c>
      <c r="C45" s="495"/>
      <c r="D45" s="495"/>
      <c r="E45" s="495"/>
      <c r="F45" s="495"/>
      <c r="G45" s="260"/>
    </row>
    <row r="46" spans="1:7" ht="15">
      <c r="A46" s="425">
        <v>31</v>
      </c>
      <c r="B46" s="426" t="s">
        <v>631</v>
      </c>
      <c r="C46" s="503">
        <v>995046414.02548432</v>
      </c>
      <c r="D46" s="503">
        <v>899894024.43556547</v>
      </c>
      <c r="E46" s="503">
        <v>932795846.52724504</v>
      </c>
      <c r="F46" s="503">
        <v>966294672.35287499</v>
      </c>
      <c r="G46" s="504">
        <v>1060644682.2611049</v>
      </c>
    </row>
    <row r="47" spans="1:7" ht="15">
      <c r="A47" s="425">
        <v>32</v>
      </c>
      <c r="B47" s="426" t="s">
        <v>644</v>
      </c>
      <c r="C47" s="505">
        <v>744830716.93965733</v>
      </c>
      <c r="D47" s="505">
        <v>727034249.07264376</v>
      </c>
      <c r="E47" s="505">
        <v>738361347.59228504</v>
      </c>
      <c r="F47" s="505">
        <v>759925219.10264087</v>
      </c>
      <c r="G47" s="506">
        <v>808096025.73969662</v>
      </c>
    </row>
    <row r="48" spans="1:7" thickBot="1">
      <c r="A48" s="110">
        <v>33</v>
      </c>
      <c r="B48" s="213" t="s">
        <v>658</v>
      </c>
      <c r="C48" s="507">
        <v>1.3359363294171154</v>
      </c>
      <c r="D48" s="507">
        <v>1.2377601544678398</v>
      </c>
      <c r="E48" s="507">
        <v>1.2633324449728978</v>
      </c>
      <c r="F48" s="507">
        <v>1.2715654752107397</v>
      </c>
      <c r="G48" s="508">
        <v>1.3125230770566358</v>
      </c>
    </row>
    <row r="49" spans="1:2">
      <c r="A49" s="16"/>
    </row>
    <row r="50" spans="1:2" ht="39.75">
      <c r="B50" s="18" t="s">
        <v>603</v>
      </c>
    </row>
    <row r="51" spans="1:2" ht="65.25">
      <c r="B51" s="301" t="s">
        <v>524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heetViews>
  <sheetFormatPr defaultColWidth="9.28515625" defaultRowHeight="12.75"/>
  <cols>
    <col min="1" max="1" width="11.7109375" style="430" bestFit="1" customWidth="1"/>
    <col min="2" max="2" width="105.28515625" style="430" bestFit="1" customWidth="1"/>
    <col min="3" max="4" width="17.28515625" style="430" bestFit="1" customWidth="1"/>
    <col min="5" max="5" width="17.42578125" style="430" bestFit="1" customWidth="1"/>
    <col min="6" max="6" width="17.28515625" style="430" bestFit="1" customWidth="1"/>
    <col min="7" max="7" width="30.42578125" style="430" customWidth="1"/>
    <col min="8" max="8" width="18.7109375" style="430" bestFit="1" customWidth="1"/>
    <col min="9" max="16384" width="9.28515625" style="430"/>
  </cols>
  <sheetData>
    <row r="1" spans="1:8">
      <c r="A1" s="429" t="s">
        <v>188</v>
      </c>
      <c r="B1" s="596" t="str">
        <f>'1. key ratios'!B1</f>
        <v>სს "ბანკი ქართუ"</v>
      </c>
    </row>
    <row r="2" spans="1:8" ht="13.5">
      <c r="A2" s="429" t="s">
        <v>189</v>
      </c>
      <c r="B2" s="390">
        <f>'1. key ratios'!B2</f>
        <v>44651</v>
      </c>
    </row>
    <row r="3" spans="1:8">
      <c r="A3" s="431" t="s">
        <v>664</v>
      </c>
      <c r="B3" s="432"/>
    </row>
    <row r="5" spans="1:8">
      <c r="A5" s="731" t="s">
        <v>665</v>
      </c>
      <c r="B5" s="732"/>
      <c r="C5" s="737" t="s">
        <v>666</v>
      </c>
      <c r="D5" s="738"/>
      <c r="E5" s="738"/>
      <c r="F5" s="738"/>
      <c r="G5" s="738"/>
      <c r="H5" s="739"/>
    </row>
    <row r="6" spans="1:8">
      <c r="A6" s="733"/>
      <c r="B6" s="734"/>
      <c r="C6" s="740"/>
      <c r="D6" s="741"/>
      <c r="E6" s="741"/>
      <c r="F6" s="741"/>
      <c r="G6" s="741"/>
      <c r="H6" s="742"/>
    </row>
    <row r="7" spans="1:8" ht="25.5">
      <c r="A7" s="735"/>
      <c r="B7" s="736"/>
      <c r="C7" s="433" t="s">
        <v>667</v>
      </c>
      <c r="D7" s="433" t="s">
        <v>668</v>
      </c>
      <c r="E7" s="433" t="s">
        <v>669</v>
      </c>
      <c r="F7" s="433" t="s">
        <v>670</v>
      </c>
      <c r="G7" s="433" t="s">
        <v>941</v>
      </c>
      <c r="H7" s="433" t="s">
        <v>68</v>
      </c>
    </row>
    <row r="8" spans="1:8">
      <c r="A8" s="434">
        <v>1</v>
      </c>
      <c r="B8" s="435" t="s">
        <v>216</v>
      </c>
      <c r="C8" s="593">
        <v>211334277</v>
      </c>
      <c r="D8" s="593">
        <v>2286747</v>
      </c>
      <c r="E8" s="593">
        <v>7000000</v>
      </c>
      <c r="F8" s="593">
        <v>21053000</v>
      </c>
      <c r="G8" s="593"/>
      <c r="H8" s="594">
        <f>SUM(C8:G8)</f>
        <v>241674024</v>
      </c>
    </row>
    <row r="9" spans="1:8">
      <c r="A9" s="434">
        <v>2</v>
      </c>
      <c r="B9" s="435" t="s">
        <v>217</v>
      </c>
      <c r="C9" s="593"/>
      <c r="D9" s="593"/>
      <c r="E9" s="593"/>
      <c r="F9" s="593"/>
      <c r="G9" s="593"/>
      <c r="H9" s="594">
        <f t="shared" ref="H9:H21" si="0">SUM(C9:G9)</f>
        <v>0</v>
      </c>
    </row>
    <row r="10" spans="1:8">
      <c r="A10" s="434">
        <v>3</v>
      </c>
      <c r="B10" s="435" t="s">
        <v>218</v>
      </c>
      <c r="C10" s="593"/>
      <c r="D10" s="593"/>
      <c r="E10" s="593"/>
      <c r="F10" s="593"/>
      <c r="G10" s="593"/>
      <c r="H10" s="594">
        <f t="shared" si="0"/>
        <v>0</v>
      </c>
    </row>
    <row r="11" spans="1:8">
      <c r="A11" s="434">
        <v>4</v>
      </c>
      <c r="B11" s="435" t="s">
        <v>219</v>
      </c>
      <c r="C11" s="593"/>
      <c r="D11" s="593"/>
      <c r="E11" s="593"/>
      <c r="F11" s="593"/>
      <c r="G11" s="593"/>
      <c r="H11" s="594">
        <f t="shared" si="0"/>
        <v>0</v>
      </c>
    </row>
    <row r="12" spans="1:8">
      <c r="A12" s="434">
        <v>5</v>
      </c>
      <c r="B12" s="435" t="s">
        <v>220</v>
      </c>
      <c r="C12" s="593"/>
      <c r="D12" s="593"/>
      <c r="E12" s="593"/>
      <c r="F12" s="593"/>
      <c r="G12" s="593"/>
      <c r="H12" s="594">
        <f t="shared" si="0"/>
        <v>0</v>
      </c>
    </row>
    <row r="13" spans="1:8">
      <c r="A13" s="434">
        <v>6</v>
      </c>
      <c r="B13" s="435" t="s">
        <v>221</v>
      </c>
      <c r="C13" s="593">
        <v>103385747.82999998</v>
      </c>
      <c r="D13" s="593">
        <v>86306022</v>
      </c>
      <c r="E13" s="593">
        <v>0</v>
      </c>
      <c r="F13" s="593">
        <v>4948602.33</v>
      </c>
      <c r="G13" s="593"/>
      <c r="H13" s="594">
        <f t="shared" si="0"/>
        <v>194640372.16</v>
      </c>
    </row>
    <row r="14" spans="1:8">
      <c r="A14" s="434">
        <v>7</v>
      </c>
      <c r="B14" s="435" t="s">
        <v>73</v>
      </c>
      <c r="C14" s="593"/>
      <c r="D14" s="593">
        <v>249981986.53110388</v>
      </c>
      <c r="E14" s="593">
        <v>301751545.73742998</v>
      </c>
      <c r="F14" s="593">
        <v>230124538.98393214</v>
      </c>
      <c r="G14" s="593">
        <v>35348951.303422987</v>
      </c>
      <c r="H14" s="594">
        <f t="shared" si="0"/>
        <v>817207022.55588889</v>
      </c>
    </row>
    <row r="15" spans="1:8">
      <c r="A15" s="434">
        <v>8</v>
      </c>
      <c r="B15" s="437" t="s">
        <v>74</v>
      </c>
      <c r="C15" s="593"/>
      <c r="D15" s="593"/>
      <c r="E15" s="593"/>
      <c r="F15" s="593"/>
      <c r="G15" s="593"/>
      <c r="H15" s="594">
        <f t="shared" si="0"/>
        <v>0</v>
      </c>
    </row>
    <row r="16" spans="1:8">
      <c r="A16" s="434">
        <v>9</v>
      </c>
      <c r="B16" s="435" t="s">
        <v>75</v>
      </c>
      <c r="C16" s="593"/>
      <c r="D16" s="593"/>
      <c r="E16" s="593"/>
      <c r="F16" s="593"/>
      <c r="G16" s="593"/>
      <c r="H16" s="594">
        <f t="shared" si="0"/>
        <v>0</v>
      </c>
    </row>
    <row r="17" spans="1:8">
      <c r="A17" s="434">
        <v>10</v>
      </c>
      <c r="B17" s="493" t="s">
        <v>692</v>
      </c>
      <c r="C17" s="593"/>
      <c r="D17" s="593">
        <v>8363360.235107</v>
      </c>
      <c r="E17" s="593">
        <v>26341979.841354012</v>
      </c>
      <c r="F17" s="593">
        <v>28267811.227117997</v>
      </c>
      <c r="G17" s="593">
        <v>34647083.693498991</v>
      </c>
      <c r="H17" s="594">
        <f t="shared" si="0"/>
        <v>97620234.997078001</v>
      </c>
    </row>
    <row r="18" spans="1:8">
      <c r="A18" s="434">
        <v>11</v>
      </c>
      <c r="B18" s="435" t="s">
        <v>70</v>
      </c>
      <c r="C18" s="593"/>
      <c r="D18" s="593"/>
      <c r="E18" s="593"/>
      <c r="F18" s="593"/>
      <c r="G18" s="593"/>
      <c r="H18" s="594">
        <f t="shared" si="0"/>
        <v>0</v>
      </c>
    </row>
    <row r="19" spans="1:8">
      <c r="A19" s="434">
        <v>12</v>
      </c>
      <c r="B19" s="435" t="s">
        <v>71</v>
      </c>
      <c r="C19" s="593"/>
      <c r="D19" s="593"/>
      <c r="E19" s="593"/>
      <c r="F19" s="593"/>
      <c r="G19" s="593"/>
      <c r="H19" s="594">
        <f t="shared" si="0"/>
        <v>0</v>
      </c>
    </row>
    <row r="20" spans="1:8">
      <c r="A20" s="438">
        <v>13</v>
      </c>
      <c r="B20" s="437" t="s">
        <v>72</v>
      </c>
      <c r="C20" s="593"/>
      <c r="D20" s="593"/>
      <c r="E20" s="593"/>
      <c r="F20" s="593"/>
      <c r="G20" s="593"/>
      <c r="H20" s="594">
        <f t="shared" si="0"/>
        <v>0</v>
      </c>
    </row>
    <row r="21" spans="1:8">
      <c r="A21" s="434">
        <v>14</v>
      </c>
      <c r="B21" s="435" t="s">
        <v>671</v>
      </c>
      <c r="C21" s="593">
        <v>14851742</v>
      </c>
      <c r="D21" s="593">
        <v>4680084.2767949998</v>
      </c>
      <c r="E21" s="593">
        <v>3084562.4849709994</v>
      </c>
      <c r="F21" s="593">
        <v>16476293.482459007</v>
      </c>
      <c r="G21" s="593">
        <v>86113376.673545003</v>
      </c>
      <c r="H21" s="594">
        <f t="shared" si="0"/>
        <v>125206058.91777</v>
      </c>
    </row>
    <row r="22" spans="1:8">
      <c r="A22" s="439">
        <v>15</v>
      </c>
      <c r="B22" s="436" t="s">
        <v>68</v>
      </c>
      <c r="C22" s="594">
        <f>SUM(C18:C21)+SUM(C8:C16)</f>
        <v>329571766.82999998</v>
      </c>
      <c r="D22" s="594">
        <f t="shared" ref="D22:G22" si="1">SUM(D18:D21)+SUM(D8:D16)</f>
        <v>343254839.80789888</v>
      </c>
      <c r="E22" s="594">
        <f t="shared" si="1"/>
        <v>311836108.22240096</v>
      </c>
      <c r="F22" s="594">
        <f t="shared" si="1"/>
        <v>272602434.79639113</v>
      </c>
      <c r="G22" s="594">
        <f t="shared" si="1"/>
        <v>121462327.97696799</v>
      </c>
      <c r="H22" s="594">
        <f>SUM(H18:H21)+SUM(H8:H16)</f>
        <v>1378727477.6336589</v>
      </c>
    </row>
    <row r="26" spans="1:8" ht="38.25">
      <c r="B26" s="492" t="s">
        <v>940</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zoomScaleNormal="100" workbookViewId="0"/>
  </sheetViews>
  <sheetFormatPr defaultColWidth="9.28515625" defaultRowHeight="12.75"/>
  <cols>
    <col min="1" max="1" width="11.7109375" style="440" bestFit="1" customWidth="1"/>
    <col min="2" max="2" width="114.7109375" style="430" customWidth="1"/>
    <col min="3" max="3" width="22.42578125" style="430" customWidth="1"/>
    <col min="4" max="4" width="23.5703125" style="430" customWidth="1"/>
    <col min="5" max="8" width="22.28515625" style="430" customWidth="1"/>
    <col min="9" max="9" width="41.42578125" style="430" customWidth="1"/>
    <col min="10" max="16384" width="9.28515625" style="430"/>
  </cols>
  <sheetData>
    <row r="1" spans="1:9">
      <c r="A1" s="429" t="s">
        <v>188</v>
      </c>
      <c r="B1" s="596" t="str">
        <f>'1. key ratios'!B1</f>
        <v>სს "ბანკი ქართუ"</v>
      </c>
    </row>
    <row r="2" spans="1:9" ht="13.5">
      <c r="A2" s="429" t="s">
        <v>189</v>
      </c>
      <c r="B2" s="390">
        <f>'1. key ratios'!B2</f>
        <v>44651</v>
      </c>
    </row>
    <row r="3" spans="1:9">
      <c r="A3" s="431" t="s">
        <v>672</v>
      </c>
      <c r="B3" s="432"/>
    </row>
    <row r="4" spans="1:9">
      <c r="C4" s="441" t="s">
        <v>673</v>
      </c>
      <c r="D4" s="441" t="s">
        <v>674</v>
      </c>
      <c r="E4" s="441" t="s">
        <v>675</v>
      </c>
      <c r="F4" s="441" t="s">
        <v>676</v>
      </c>
      <c r="G4" s="441" t="s">
        <v>677</v>
      </c>
      <c r="H4" s="441" t="s">
        <v>678</v>
      </c>
      <c r="I4" s="441" t="s">
        <v>679</v>
      </c>
    </row>
    <row r="5" spans="1:9" ht="34.15" customHeight="1">
      <c r="A5" s="731" t="s">
        <v>682</v>
      </c>
      <c r="B5" s="732"/>
      <c r="C5" s="745" t="s">
        <v>683</v>
      </c>
      <c r="D5" s="745"/>
      <c r="E5" s="745" t="s">
        <v>684</v>
      </c>
      <c r="F5" s="745" t="s">
        <v>685</v>
      </c>
      <c r="G5" s="743" t="s">
        <v>686</v>
      </c>
      <c r="H5" s="743" t="s">
        <v>687</v>
      </c>
      <c r="I5" s="442" t="s">
        <v>688</v>
      </c>
    </row>
    <row r="6" spans="1:9" ht="38.25">
      <c r="A6" s="735"/>
      <c r="B6" s="736"/>
      <c r="C6" s="476" t="s">
        <v>689</v>
      </c>
      <c r="D6" s="476" t="s">
        <v>690</v>
      </c>
      <c r="E6" s="745"/>
      <c r="F6" s="745"/>
      <c r="G6" s="744"/>
      <c r="H6" s="744"/>
      <c r="I6" s="442" t="s">
        <v>691</v>
      </c>
    </row>
    <row r="7" spans="1:9">
      <c r="A7" s="443">
        <v>1</v>
      </c>
      <c r="B7" s="435" t="s">
        <v>216</v>
      </c>
      <c r="C7" s="593"/>
      <c r="D7" s="593">
        <v>241412573</v>
      </c>
      <c r="E7" s="593"/>
      <c r="F7" s="593"/>
      <c r="G7" s="593"/>
      <c r="H7" s="593">
        <v>0</v>
      </c>
      <c r="I7" s="597">
        <f t="shared" ref="I7:I23" si="0">C7+D7-E7-F7-G7</f>
        <v>241412573</v>
      </c>
    </row>
    <row r="8" spans="1:9">
      <c r="A8" s="443">
        <v>2</v>
      </c>
      <c r="B8" s="435" t="s">
        <v>217</v>
      </c>
      <c r="C8" s="593"/>
      <c r="D8" s="593"/>
      <c r="E8" s="593"/>
      <c r="F8" s="593"/>
      <c r="G8" s="593"/>
      <c r="H8" s="593">
        <v>0</v>
      </c>
      <c r="I8" s="597">
        <f t="shared" si="0"/>
        <v>0</v>
      </c>
    </row>
    <row r="9" spans="1:9">
      <c r="A9" s="443">
        <v>3</v>
      </c>
      <c r="B9" s="435" t="s">
        <v>218</v>
      </c>
      <c r="C9" s="593"/>
      <c r="D9" s="593"/>
      <c r="E9" s="593"/>
      <c r="F9" s="593"/>
      <c r="G9" s="593"/>
      <c r="H9" s="593">
        <v>0</v>
      </c>
      <c r="I9" s="597">
        <f t="shared" si="0"/>
        <v>0</v>
      </c>
    </row>
    <row r="10" spans="1:9">
      <c r="A10" s="443">
        <v>4</v>
      </c>
      <c r="B10" s="435" t="s">
        <v>219</v>
      </c>
      <c r="C10" s="593"/>
      <c r="D10" s="593"/>
      <c r="E10" s="593"/>
      <c r="F10" s="593"/>
      <c r="G10" s="593"/>
      <c r="H10" s="593">
        <v>0</v>
      </c>
      <c r="I10" s="597">
        <f t="shared" si="0"/>
        <v>0</v>
      </c>
    </row>
    <row r="11" spans="1:9">
      <c r="A11" s="443">
        <v>5</v>
      </c>
      <c r="B11" s="435" t="s">
        <v>220</v>
      </c>
      <c r="C11" s="593"/>
      <c r="D11" s="593"/>
      <c r="E11" s="593"/>
      <c r="F11" s="593"/>
      <c r="G11" s="593"/>
      <c r="H11" s="593">
        <v>0</v>
      </c>
      <c r="I11" s="597">
        <f t="shared" si="0"/>
        <v>0</v>
      </c>
    </row>
    <row r="12" spans="1:9">
      <c r="A12" s="443">
        <v>6</v>
      </c>
      <c r="B12" s="435" t="s">
        <v>221</v>
      </c>
      <c r="C12" s="593"/>
      <c r="D12" s="593">
        <v>194640372</v>
      </c>
      <c r="E12" s="593"/>
      <c r="F12" s="593"/>
      <c r="G12" s="593"/>
      <c r="H12" s="593">
        <v>0</v>
      </c>
      <c r="I12" s="597">
        <f t="shared" si="0"/>
        <v>194640372</v>
      </c>
    </row>
    <row r="13" spans="1:9">
      <c r="A13" s="443">
        <v>7</v>
      </c>
      <c r="B13" s="435" t="s">
        <v>73</v>
      </c>
      <c r="C13" s="593">
        <v>317281173.16250002</v>
      </c>
      <c r="D13" s="593">
        <v>648182135.54456043</v>
      </c>
      <c r="E13" s="593">
        <v>148256286.0911704</v>
      </c>
      <c r="F13" s="593">
        <v>11331081.508438986</v>
      </c>
      <c r="G13" s="593"/>
      <c r="H13" s="593">
        <v>452902.50000000006</v>
      </c>
      <c r="I13" s="597">
        <f t="shared" si="0"/>
        <v>805875941.10745108</v>
      </c>
    </row>
    <row r="14" spans="1:9">
      <c r="A14" s="443">
        <v>8</v>
      </c>
      <c r="B14" s="437" t="s">
        <v>74</v>
      </c>
      <c r="C14" s="593"/>
      <c r="D14" s="593"/>
      <c r="E14" s="593"/>
      <c r="F14" s="593"/>
      <c r="G14" s="593"/>
      <c r="H14" s="593">
        <v>0</v>
      </c>
      <c r="I14" s="597">
        <f t="shared" si="0"/>
        <v>0</v>
      </c>
    </row>
    <row r="15" spans="1:9">
      <c r="A15" s="443">
        <v>9</v>
      </c>
      <c r="B15" s="435" t="s">
        <v>75</v>
      </c>
      <c r="C15" s="593"/>
      <c r="D15" s="593"/>
      <c r="E15" s="593"/>
      <c r="F15" s="593"/>
      <c r="G15" s="593"/>
      <c r="H15" s="593">
        <v>0</v>
      </c>
      <c r="I15" s="597">
        <f t="shared" si="0"/>
        <v>0</v>
      </c>
    </row>
    <row r="16" spans="1:9">
      <c r="A16" s="443">
        <v>10</v>
      </c>
      <c r="B16" s="493" t="s">
        <v>692</v>
      </c>
      <c r="C16" s="593">
        <v>189235726.73389998</v>
      </c>
      <c r="D16" s="593">
        <v>83883.186199999938</v>
      </c>
      <c r="E16" s="593">
        <v>91699374.923022017</v>
      </c>
      <c r="F16" s="593">
        <v>1677.6637240000025</v>
      </c>
      <c r="G16" s="593"/>
      <c r="H16" s="593">
        <v>452902.50000000006</v>
      </c>
      <c r="I16" s="597">
        <f t="shared" si="0"/>
        <v>97618557.333353952</v>
      </c>
    </row>
    <row r="17" spans="1:9">
      <c r="A17" s="443">
        <v>11</v>
      </c>
      <c r="B17" s="435" t="s">
        <v>70</v>
      </c>
      <c r="C17" s="593"/>
      <c r="D17" s="593"/>
      <c r="E17" s="593"/>
      <c r="F17" s="593"/>
      <c r="G17" s="593"/>
      <c r="H17" s="593">
        <v>0</v>
      </c>
      <c r="I17" s="597">
        <f t="shared" si="0"/>
        <v>0</v>
      </c>
    </row>
    <row r="18" spans="1:9">
      <c r="A18" s="443">
        <v>12</v>
      </c>
      <c r="B18" s="435" t="s">
        <v>71</v>
      </c>
      <c r="C18" s="593"/>
      <c r="D18" s="593"/>
      <c r="E18" s="593"/>
      <c r="F18" s="593"/>
      <c r="G18" s="593"/>
      <c r="H18" s="593">
        <v>0</v>
      </c>
      <c r="I18" s="597">
        <f t="shared" si="0"/>
        <v>0</v>
      </c>
    </row>
    <row r="19" spans="1:9">
      <c r="A19" s="445">
        <v>13</v>
      </c>
      <c r="B19" s="437" t="s">
        <v>72</v>
      </c>
      <c r="C19" s="593"/>
      <c r="D19" s="593"/>
      <c r="E19" s="593"/>
      <c r="F19" s="593"/>
      <c r="G19" s="593"/>
      <c r="H19" s="593">
        <v>0</v>
      </c>
      <c r="I19" s="597">
        <f t="shared" si="0"/>
        <v>0</v>
      </c>
    </row>
    <row r="20" spans="1:9">
      <c r="A20" s="443">
        <v>14</v>
      </c>
      <c r="B20" s="435" t="s">
        <v>671</v>
      </c>
      <c r="C20" s="593">
        <v>42066064.941399999</v>
      </c>
      <c r="D20" s="593">
        <v>100439102.41910997</v>
      </c>
      <c r="E20" s="593">
        <v>13594938.094349001</v>
      </c>
      <c r="F20" s="593">
        <v>368833.99692600081</v>
      </c>
      <c r="G20" s="593"/>
      <c r="H20" s="593">
        <v>79917.72</v>
      </c>
      <c r="I20" s="597">
        <f t="shared" si="0"/>
        <v>128541395.26923497</v>
      </c>
    </row>
    <row r="21" spans="1:9" s="447" customFormat="1">
      <c r="A21" s="446">
        <v>15</v>
      </c>
      <c r="B21" s="436" t="s">
        <v>68</v>
      </c>
      <c r="C21" s="594">
        <f>SUM(C7:C15)+SUM(C17:C20)</f>
        <v>359347238.10390002</v>
      </c>
      <c r="D21" s="594">
        <f t="shared" ref="D21:H21" si="1">SUM(D7:D15)+SUM(D17:D20)</f>
        <v>1184674182.9636705</v>
      </c>
      <c r="E21" s="594">
        <f t="shared" si="1"/>
        <v>161851224.1855194</v>
      </c>
      <c r="F21" s="594">
        <f t="shared" si="1"/>
        <v>11699915.505364986</v>
      </c>
      <c r="G21" s="594">
        <v>0</v>
      </c>
      <c r="H21" s="594">
        <f t="shared" si="1"/>
        <v>532820.22000000009</v>
      </c>
      <c r="I21" s="597">
        <f t="shared" si="0"/>
        <v>1370470281.3766861</v>
      </c>
    </row>
    <row r="22" spans="1:9">
      <c r="A22" s="448">
        <v>16</v>
      </c>
      <c r="B22" s="449" t="s">
        <v>693</v>
      </c>
      <c r="C22" s="593">
        <v>323150614.10390007</v>
      </c>
      <c r="D22" s="593">
        <v>665992595.13528025</v>
      </c>
      <c r="E22" s="593">
        <v>150381058.18551943</v>
      </c>
      <c r="F22" s="593">
        <v>11638775.50536496</v>
      </c>
      <c r="G22" s="593">
        <v>0</v>
      </c>
      <c r="H22" s="593">
        <v>452902.50000000006</v>
      </c>
      <c r="I22" s="597">
        <f t="shared" si="0"/>
        <v>827123375.54829586</v>
      </c>
    </row>
    <row r="23" spans="1:9">
      <c r="A23" s="448">
        <v>17</v>
      </c>
      <c r="B23" s="449" t="s">
        <v>694</v>
      </c>
      <c r="C23" s="593"/>
      <c r="D23" s="593">
        <v>33164129.710000001</v>
      </c>
      <c r="E23" s="593">
        <v>0</v>
      </c>
      <c r="F23" s="593">
        <v>60000</v>
      </c>
      <c r="G23" s="593">
        <v>0</v>
      </c>
      <c r="H23" s="593">
        <v>0</v>
      </c>
      <c r="I23" s="597">
        <f t="shared" si="0"/>
        <v>33104129.710000001</v>
      </c>
    </row>
    <row r="26" spans="1:9" ht="42.4" customHeight="1">
      <c r="B26" s="492" t="s">
        <v>940</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Normal="100" workbookViewId="0"/>
  </sheetViews>
  <sheetFormatPr defaultColWidth="9.28515625" defaultRowHeight="12.75"/>
  <cols>
    <col min="1" max="1" width="11" style="430" bestFit="1" customWidth="1"/>
    <col min="2" max="2" width="93.42578125" style="430" customWidth="1"/>
    <col min="3" max="8" width="22" style="430" customWidth="1"/>
    <col min="9" max="9" width="42.28515625" style="430" bestFit="1" customWidth="1"/>
    <col min="10" max="16384" width="9.28515625" style="430"/>
  </cols>
  <sheetData>
    <row r="1" spans="1:9">
      <c r="A1" s="429" t="s">
        <v>188</v>
      </c>
      <c r="B1" s="596" t="str">
        <f>'1. key ratios'!B1</f>
        <v>სს "ბანკი ქართუ"</v>
      </c>
    </row>
    <row r="2" spans="1:9">
      <c r="A2" s="429" t="s">
        <v>189</v>
      </c>
      <c r="B2" s="432">
        <f>'1. key ratios'!B2</f>
        <v>44651</v>
      </c>
    </row>
    <row r="3" spans="1:9">
      <c r="A3" s="431" t="s">
        <v>695</v>
      </c>
      <c r="B3" s="432"/>
    </row>
    <row r="4" spans="1:9">
      <c r="C4" s="441" t="s">
        <v>673</v>
      </c>
      <c r="D4" s="441" t="s">
        <v>674</v>
      </c>
      <c r="E4" s="441" t="s">
        <v>675</v>
      </c>
      <c r="F4" s="441" t="s">
        <v>676</v>
      </c>
      <c r="G4" s="441" t="s">
        <v>677</v>
      </c>
      <c r="H4" s="441" t="s">
        <v>678</v>
      </c>
      <c r="I4" s="441" t="s">
        <v>679</v>
      </c>
    </row>
    <row r="5" spans="1:9" ht="41.65" customHeight="1">
      <c r="A5" s="731" t="s">
        <v>951</v>
      </c>
      <c r="B5" s="732"/>
      <c r="C5" s="745" t="s">
        <v>683</v>
      </c>
      <c r="D5" s="745"/>
      <c r="E5" s="745" t="s">
        <v>684</v>
      </c>
      <c r="F5" s="745" t="s">
        <v>685</v>
      </c>
      <c r="G5" s="743" t="s">
        <v>686</v>
      </c>
      <c r="H5" s="743" t="s">
        <v>687</v>
      </c>
      <c r="I5" s="442" t="s">
        <v>688</v>
      </c>
    </row>
    <row r="6" spans="1:9" ht="41.65" customHeight="1">
      <c r="A6" s="735"/>
      <c r="B6" s="736"/>
      <c r="C6" s="476" t="s">
        <v>689</v>
      </c>
      <c r="D6" s="476" t="s">
        <v>690</v>
      </c>
      <c r="E6" s="745"/>
      <c r="F6" s="745"/>
      <c r="G6" s="744"/>
      <c r="H6" s="744"/>
      <c r="I6" s="442" t="s">
        <v>691</v>
      </c>
    </row>
    <row r="7" spans="1:9">
      <c r="A7" s="444">
        <v>1</v>
      </c>
      <c r="B7" s="450" t="s">
        <v>696</v>
      </c>
      <c r="C7" s="593">
        <v>368912.08999999997</v>
      </c>
      <c r="D7" s="593">
        <v>251398529.945225</v>
      </c>
      <c r="E7" s="593">
        <v>101177.95667299998</v>
      </c>
      <c r="F7" s="593">
        <v>198848.34772299998</v>
      </c>
      <c r="G7" s="593">
        <v>0</v>
      </c>
      <c r="H7" s="593">
        <v>0</v>
      </c>
      <c r="I7" s="597">
        <f t="shared" ref="I7:I34" si="0">C7+D7-E7-F7-G7</f>
        <v>251467415.730829</v>
      </c>
    </row>
    <row r="8" spans="1:9">
      <c r="A8" s="444">
        <v>2</v>
      </c>
      <c r="B8" s="450" t="s">
        <v>697</v>
      </c>
      <c r="C8" s="593">
        <v>333243.87</v>
      </c>
      <c r="D8" s="593">
        <v>203184097.37300199</v>
      </c>
      <c r="E8" s="593">
        <v>112571.96566899998</v>
      </c>
      <c r="F8" s="593">
        <v>167168.53819399991</v>
      </c>
      <c r="G8" s="593">
        <v>0</v>
      </c>
      <c r="H8" s="593">
        <v>0</v>
      </c>
      <c r="I8" s="597">
        <f t="shared" si="0"/>
        <v>203237600.73913899</v>
      </c>
    </row>
    <row r="9" spans="1:9">
      <c r="A9" s="444">
        <v>3</v>
      </c>
      <c r="B9" s="450" t="s">
        <v>698</v>
      </c>
      <c r="C9" s="593">
        <v>0</v>
      </c>
      <c r="D9" s="593">
        <v>0</v>
      </c>
      <c r="E9" s="593">
        <v>0</v>
      </c>
      <c r="F9" s="593">
        <v>0</v>
      </c>
      <c r="G9" s="593">
        <v>0</v>
      </c>
      <c r="H9" s="593">
        <v>0</v>
      </c>
      <c r="I9" s="597">
        <f t="shared" si="0"/>
        <v>0</v>
      </c>
    </row>
    <row r="10" spans="1:9">
      <c r="A10" s="444">
        <v>4</v>
      </c>
      <c r="B10" s="450" t="s">
        <v>699</v>
      </c>
      <c r="C10" s="593">
        <v>44361323.769999996</v>
      </c>
      <c r="D10" s="593">
        <v>40650461.97744</v>
      </c>
      <c r="E10" s="593">
        <v>17197087.881528001</v>
      </c>
      <c r="F10" s="593">
        <v>760612.40820499999</v>
      </c>
      <c r="G10" s="593">
        <v>0</v>
      </c>
      <c r="H10" s="593">
        <v>92625</v>
      </c>
      <c r="I10" s="597">
        <f t="shared" si="0"/>
        <v>67054085.457706988</v>
      </c>
    </row>
    <row r="11" spans="1:9">
      <c r="A11" s="444">
        <v>5</v>
      </c>
      <c r="B11" s="450" t="s">
        <v>700</v>
      </c>
      <c r="C11" s="593">
        <v>29350256.585000001</v>
      </c>
      <c r="D11" s="593">
        <v>55825746.062823988</v>
      </c>
      <c r="E11" s="593">
        <v>13409619.940432001</v>
      </c>
      <c r="F11" s="593">
        <v>999626.05668799998</v>
      </c>
      <c r="G11" s="593">
        <v>0</v>
      </c>
      <c r="H11" s="593">
        <v>0</v>
      </c>
      <c r="I11" s="597">
        <f t="shared" si="0"/>
        <v>70766756.650703996</v>
      </c>
    </row>
    <row r="12" spans="1:9">
      <c r="A12" s="444">
        <v>6</v>
      </c>
      <c r="B12" s="450" t="s">
        <v>701</v>
      </c>
      <c r="C12" s="593">
        <v>6968769.8099999996</v>
      </c>
      <c r="D12" s="593">
        <v>61668682.980021991</v>
      </c>
      <c r="E12" s="593">
        <v>3964349.492997</v>
      </c>
      <c r="F12" s="593">
        <v>1141727.510701</v>
      </c>
      <c r="G12" s="593">
        <v>0</v>
      </c>
      <c r="H12" s="593">
        <v>0</v>
      </c>
      <c r="I12" s="597">
        <f t="shared" si="0"/>
        <v>63531375.786323987</v>
      </c>
    </row>
    <row r="13" spans="1:9">
      <c r="A13" s="444">
        <v>7</v>
      </c>
      <c r="B13" s="450" t="s">
        <v>702</v>
      </c>
      <c r="C13" s="593">
        <v>6593951.7500000028</v>
      </c>
      <c r="D13" s="593">
        <v>6737574.4435679996</v>
      </c>
      <c r="E13" s="593">
        <v>2864997.6350790006</v>
      </c>
      <c r="F13" s="593">
        <v>87851.326937000005</v>
      </c>
      <c r="G13" s="593">
        <v>0</v>
      </c>
      <c r="H13" s="593">
        <v>0</v>
      </c>
      <c r="I13" s="597">
        <f t="shared" si="0"/>
        <v>10378677.231552003</v>
      </c>
    </row>
    <row r="14" spans="1:9">
      <c r="A14" s="444">
        <v>8</v>
      </c>
      <c r="B14" s="450" t="s">
        <v>703</v>
      </c>
      <c r="C14" s="593">
        <v>33716142.562200002</v>
      </c>
      <c r="D14" s="593">
        <v>7458540.5897599999</v>
      </c>
      <c r="E14" s="593">
        <v>16328916.609476997</v>
      </c>
      <c r="F14" s="593">
        <v>148275.93119900001</v>
      </c>
      <c r="G14" s="593">
        <v>0</v>
      </c>
      <c r="H14" s="593">
        <v>0</v>
      </c>
      <c r="I14" s="597">
        <f t="shared" si="0"/>
        <v>24697490.611284003</v>
      </c>
    </row>
    <row r="15" spans="1:9">
      <c r="A15" s="444">
        <v>9</v>
      </c>
      <c r="B15" s="450" t="s">
        <v>704</v>
      </c>
      <c r="C15" s="593">
        <v>64443444.759999998</v>
      </c>
      <c r="D15" s="593">
        <v>90661853.818240002</v>
      </c>
      <c r="E15" s="593">
        <v>34842682.029650018</v>
      </c>
      <c r="F15" s="593">
        <v>1562324.3121120012</v>
      </c>
      <c r="G15" s="593">
        <v>0</v>
      </c>
      <c r="H15" s="593">
        <v>0</v>
      </c>
      <c r="I15" s="597">
        <f t="shared" si="0"/>
        <v>118700292.23647799</v>
      </c>
    </row>
    <row r="16" spans="1:9">
      <c r="A16" s="444">
        <v>10</v>
      </c>
      <c r="B16" s="450" t="s">
        <v>705</v>
      </c>
      <c r="C16" s="593">
        <v>50727.51</v>
      </c>
      <c r="D16" s="593">
        <v>1514477.3029759999</v>
      </c>
      <c r="E16" s="593">
        <v>15218.249670999998</v>
      </c>
      <c r="F16" s="593">
        <v>30168.636188</v>
      </c>
      <c r="G16" s="593">
        <v>0</v>
      </c>
      <c r="H16" s="593">
        <v>0</v>
      </c>
      <c r="I16" s="597">
        <f t="shared" si="0"/>
        <v>1519817.9271169999</v>
      </c>
    </row>
    <row r="17" spans="1:9">
      <c r="A17" s="444">
        <v>11</v>
      </c>
      <c r="B17" s="450" t="s">
        <v>706</v>
      </c>
      <c r="C17" s="593">
        <v>0</v>
      </c>
      <c r="D17" s="593">
        <v>496968.51464000007</v>
      </c>
      <c r="E17" s="593">
        <v>0</v>
      </c>
      <c r="F17" s="593">
        <v>9886.8205799999996</v>
      </c>
      <c r="G17" s="593">
        <v>0</v>
      </c>
      <c r="H17" s="593">
        <v>0</v>
      </c>
      <c r="I17" s="597">
        <f t="shared" si="0"/>
        <v>487081.69406000007</v>
      </c>
    </row>
    <row r="18" spans="1:9">
      <c r="A18" s="444">
        <v>12</v>
      </c>
      <c r="B18" s="450" t="s">
        <v>707</v>
      </c>
      <c r="C18" s="593">
        <v>23372791.559999999</v>
      </c>
      <c r="D18" s="593">
        <v>8130277.2256610002</v>
      </c>
      <c r="E18" s="593">
        <v>7130109.1824470004</v>
      </c>
      <c r="F18" s="593">
        <v>143545.45448299998</v>
      </c>
      <c r="G18" s="593">
        <v>0</v>
      </c>
      <c r="H18" s="593">
        <v>0</v>
      </c>
      <c r="I18" s="597">
        <f t="shared" si="0"/>
        <v>24229414.148730997</v>
      </c>
    </row>
    <row r="19" spans="1:9">
      <c r="A19" s="444">
        <v>13</v>
      </c>
      <c r="B19" s="450" t="s">
        <v>708</v>
      </c>
      <c r="C19" s="593">
        <v>5287983.32</v>
      </c>
      <c r="D19" s="593">
        <v>28049618.709731001</v>
      </c>
      <c r="E19" s="593">
        <v>1966214.3782609999</v>
      </c>
      <c r="F19" s="593">
        <v>554917.107647</v>
      </c>
      <c r="G19" s="593">
        <v>0</v>
      </c>
      <c r="H19" s="593">
        <v>0</v>
      </c>
      <c r="I19" s="597">
        <f t="shared" si="0"/>
        <v>30816470.543823</v>
      </c>
    </row>
    <row r="20" spans="1:9">
      <c r="A20" s="444">
        <v>14</v>
      </c>
      <c r="B20" s="450" t="s">
        <v>709</v>
      </c>
      <c r="C20" s="593">
        <v>36691989.360000007</v>
      </c>
      <c r="D20" s="593">
        <v>27995616.228721004</v>
      </c>
      <c r="E20" s="593">
        <v>15731478.488180002</v>
      </c>
      <c r="F20" s="593">
        <v>468893.23219200008</v>
      </c>
      <c r="G20" s="593">
        <v>0</v>
      </c>
      <c r="H20" s="593">
        <v>0</v>
      </c>
      <c r="I20" s="597">
        <f t="shared" si="0"/>
        <v>48487233.868349001</v>
      </c>
    </row>
    <row r="21" spans="1:9">
      <c r="A21" s="444">
        <v>15</v>
      </c>
      <c r="B21" s="450" t="s">
        <v>710</v>
      </c>
      <c r="C21" s="593">
        <v>717667.73</v>
      </c>
      <c r="D21" s="593">
        <v>39317.997484000007</v>
      </c>
      <c r="E21" s="593">
        <v>215300.32030800002</v>
      </c>
      <c r="F21" s="593">
        <v>784.95329600000002</v>
      </c>
      <c r="G21" s="593">
        <v>0</v>
      </c>
      <c r="H21" s="593">
        <v>360277.5</v>
      </c>
      <c r="I21" s="597">
        <f t="shared" si="0"/>
        <v>540900.45388000004</v>
      </c>
    </row>
    <row r="22" spans="1:9">
      <c r="A22" s="444">
        <v>16</v>
      </c>
      <c r="B22" s="450" t="s">
        <v>711</v>
      </c>
      <c r="C22" s="593">
        <v>73160.44</v>
      </c>
      <c r="D22" s="593">
        <v>51451902.845828995</v>
      </c>
      <c r="E22" s="593">
        <v>36580.221163000002</v>
      </c>
      <c r="F22" s="593">
        <v>996943.20158699993</v>
      </c>
      <c r="G22" s="593">
        <v>0</v>
      </c>
      <c r="H22" s="593">
        <v>0</v>
      </c>
      <c r="I22" s="597">
        <f t="shared" si="0"/>
        <v>50491539.863078997</v>
      </c>
    </row>
    <row r="23" spans="1:9">
      <c r="A23" s="444">
        <v>17</v>
      </c>
      <c r="B23" s="450" t="s">
        <v>712</v>
      </c>
      <c r="C23" s="593">
        <v>137444.96</v>
      </c>
      <c r="D23" s="593">
        <v>24676017.205848999</v>
      </c>
      <c r="E23" s="593">
        <v>973896.39244999993</v>
      </c>
      <c r="F23" s="593">
        <v>304556.61153500003</v>
      </c>
      <c r="G23" s="593">
        <v>0</v>
      </c>
      <c r="H23" s="593">
        <v>0</v>
      </c>
      <c r="I23" s="597">
        <f t="shared" si="0"/>
        <v>23535009.161863998</v>
      </c>
    </row>
    <row r="24" spans="1:9">
      <c r="A24" s="444">
        <v>18</v>
      </c>
      <c r="B24" s="450" t="s">
        <v>713</v>
      </c>
      <c r="C24" s="593">
        <v>2077871</v>
      </c>
      <c r="D24" s="593">
        <v>1549868.4329899999</v>
      </c>
      <c r="E24" s="593">
        <v>1301013.4243760002</v>
      </c>
      <c r="F24" s="593">
        <v>3936.557002</v>
      </c>
      <c r="G24" s="593">
        <v>0</v>
      </c>
      <c r="H24" s="593">
        <v>0</v>
      </c>
      <c r="I24" s="597">
        <f t="shared" si="0"/>
        <v>2322789.4516119994</v>
      </c>
    </row>
    <row r="25" spans="1:9">
      <c r="A25" s="444">
        <v>19</v>
      </c>
      <c r="B25" s="450" t="s">
        <v>714</v>
      </c>
      <c r="C25" s="593">
        <v>29752336.279999997</v>
      </c>
      <c r="D25" s="593">
        <v>1968809.2568659997</v>
      </c>
      <c r="E25" s="593">
        <v>9467892.6968040001</v>
      </c>
      <c r="F25" s="593">
        <v>39194.235959999998</v>
      </c>
      <c r="G25" s="593">
        <v>0</v>
      </c>
      <c r="H25" s="593">
        <v>0</v>
      </c>
      <c r="I25" s="597">
        <f t="shared" si="0"/>
        <v>22214058.604102001</v>
      </c>
    </row>
    <row r="26" spans="1:9">
      <c r="A26" s="444">
        <v>20</v>
      </c>
      <c r="B26" s="450" t="s">
        <v>715</v>
      </c>
      <c r="C26" s="593">
        <v>474316.33</v>
      </c>
      <c r="D26" s="593">
        <v>56235687.509133011</v>
      </c>
      <c r="E26" s="593">
        <v>1533045.0630710002</v>
      </c>
      <c r="F26" s="593">
        <v>830613.5978710003</v>
      </c>
      <c r="G26" s="593">
        <v>0</v>
      </c>
      <c r="H26" s="593">
        <v>0</v>
      </c>
      <c r="I26" s="597">
        <f t="shared" si="0"/>
        <v>54346345.178191014</v>
      </c>
    </row>
    <row r="27" spans="1:9">
      <c r="A27" s="444">
        <v>21</v>
      </c>
      <c r="B27" s="450" t="s">
        <v>716</v>
      </c>
      <c r="C27" s="593">
        <v>0</v>
      </c>
      <c r="D27" s="593">
        <v>3651916.7447139989</v>
      </c>
      <c r="E27" s="593">
        <v>0</v>
      </c>
      <c r="F27" s="593">
        <v>72811.977488999983</v>
      </c>
      <c r="G27" s="593">
        <v>0</v>
      </c>
      <c r="H27" s="593">
        <v>0</v>
      </c>
      <c r="I27" s="597">
        <f t="shared" si="0"/>
        <v>3579104.7672249987</v>
      </c>
    </row>
    <row r="28" spans="1:9">
      <c r="A28" s="444">
        <v>22</v>
      </c>
      <c r="B28" s="450" t="s">
        <v>717</v>
      </c>
      <c r="C28" s="593">
        <v>6947280.96</v>
      </c>
      <c r="D28" s="593">
        <v>35094720.502015993</v>
      </c>
      <c r="E28" s="593">
        <v>6501368.0076200003</v>
      </c>
      <c r="F28" s="593">
        <v>622327.77624599996</v>
      </c>
      <c r="G28" s="593">
        <v>0</v>
      </c>
      <c r="H28" s="593">
        <v>0</v>
      </c>
      <c r="I28" s="597">
        <f t="shared" si="0"/>
        <v>34918305.678149998</v>
      </c>
    </row>
    <row r="29" spans="1:9">
      <c r="A29" s="444">
        <v>23</v>
      </c>
      <c r="B29" s="450" t="s">
        <v>718</v>
      </c>
      <c r="C29" s="593">
        <v>12151851.089999994</v>
      </c>
      <c r="D29" s="593">
        <v>73046024.850636989</v>
      </c>
      <c r="E29" s="593">
        <v>5749737.8205930013</v>
      </c>
      <c r="F29" s="593">
        <v>1446865.3212240005</v>
      </c>
      <c r="G29" s="593">
        <v>0</v>
      </c>
      <c r="H29" s="593">
        <v>0</v>
      </c>
      <c r="I29" s="597">
        <f t="shared" si="0"/>
        <v>78001272.798819974</v>
      </c>
    </row>
    <row r="30" spans="1:9">
      <c r="A30" s="444">
        <v>24</v>
      </c>
      <c r="B30" s="450" t="s">
        <v>719</v>
      </c>
      <c r="C30" s="593">
        <v>14274005.359999998</v>
      </c>
      <c r="D30" s="593">
        <v>37534442.091074012</v>
      </c>
      <c r="E30" s="593">
        <v>8928179.6941289995</v>
      </c>
      <c r="F30" s="593">
        <v>493419.34464600013</v>
      </c>
      <c r="G30" s="593">
        <v>0</v>
      </c>
      <c r="H30" s="593">
        <v>0</v>
      </c>
      <c r="I30" s="597">
        <f t="shared" si="0"/>
        <v>42386848.412299015</v>
      </c>
    </row>
    <row r="31" spans="1:9">
      <c r="A31" s="444">
        <v>25</v>
      </c>
      <c r="B31" s="450" t="s">
        <v>720</v>
      </c>
      <c r="C31" s="593">
        <v>4988589.9467999991</v>
      </c>
      <c r="D31" s="593">
        <v>34521435.740822017</v>
      </c>
      <c r="E31" s="593">
        <v>1998317.3729709995</v>
      </c>
      <c r="F31" s="593">
        <v>588465.78760399995</v>
      </c>
      <c r="G31" s="593">
        <v>0</v>
      </c>
      <c r="H31" s="593">
        <v>0</v>
      </c>
      <c r="I31" s="597">
        <f t="shared" si="0"/>
        <v>36923242.527047023</v>
      </c>
    </row>
    <row r="32" spans="1:9">
      <c r="A32" s="444">
        <v>26</v>
      </c>
      <c r="B32" s="450" t="s">
        <v>721</v>
      </c>
      <c r="C32" s="593">
        <v>16553.059900000004</v>
      </c>
      <c r="D32" s="593">
        <v>1588784.2660540014</v>
      </c>
      <c r="E32" s="593">
        <v>11303.361970000002</v>
      </c>
      <c r="F32" s="593">
        <v>25010.458056000025</v>
      </c>
      <c r="G32" s="593">
        <v>0</v>
      </c>
      <c r="H32" s="593">
        <v>0</v>
      </c>
      <c r="I32" s="597">
        <f t="shared" si="0"/>
        <v>1569023.5059280014</v>
      </c>
    </row>
    <row r="33" spans="1:9">
      <c r="A33" s="444">
        <v>27</v>
      </c>
      <c r="B33" s="444" t="s">
        <v>165</v>
      </c>
      <c r="C33" s="593">
        <v>36196624</v>
      </c>
      <c r="D33" s="593">
        <v>79542810.348391011</v>
      </c>
      <c r="E33" s="593">
        <v>11470166</v>
      </c>
      <c r="F33" s="593">
        <v>1140</v>
      </c>
      <c r="G33" s="593">
        <v>0</v>
      </c>
      <c r="H33" s="593">
        <v>79917.72</v>
      </c>
      <c r="I33" s="597">
        <f t="shared" si="0"/>
        <v>104268128.34839101</v>
      </c>
    </row>
    <row r="34" spans="1:9">
      <c r="A34" s="444">
        <v>28</v>
      </c>
      <c r="B34" s="436" t="s">
        <v>68</v>
      </c>
      <c r="C34" s="594">
        <f>SUM(C7:C33)</f>
        <v>359347238.1038999</v>
      </c>
      <c r="D34" s="594">
        <f t="shared" ref="D34:H34" si="1">SUM(D7:D33)</f>
        <v>1184674182.9636688</v>
      </c>
      <c r="E34" s="594">
        <f t="shared" si="1"/>
        <v>161851224.18551904</v>
      </c>
      <c r="F34" s="594">
        <f t="shared" si="1"/>
        <v>11699915.505365001</v>
      </c>
      <c r="G34" s="594">
        <v>0</v>
      </c>
      <c r="H34" s="594">
        <f t="shared" si="1"/>
        <v>532820.22</v>
      </c>
      <c r="I34" s="597">
        <f t="shared" si="0"/>
        <v>1370470281.3766849</v>
      </c>
    </row>
    <row r="36" spans="1:9">
      <c r="B36" s="451"/>
    </row>
    <row r="42" spans="1:9">
      <c r="A42" s="447"/>
      <c r="B42" s="447"/>
    </row>
    <row r="43" spans="1:9">
      <c r="A43" s="447"/>
      <c r="B43" s="44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Normal="100" workbookViewId="0"/>
  </sheetViews>
  <sheetFormatPr defaultColWidth="9.28515625" defaultRowHeight="12.75"/>
  <cols>
    <col min="1" max="1" width="11.7109375" style="430" bestFit="1" customWidth="1"/>
    <col min="2" max="2" width="108" style="430" bestFit="1" customWidth="1"/>
    <col min="3" max="3" width="35.5703125" style="430" customWidth="1"/>
    <col min="4" max="4" width="38.42578125" style="430" customWidth="1"/>
    <col min="5" max="16384" width="9.28515625" style="430"/>
  </cols>
  <sheetData>
    <row r="1" spans="1:4">
      <c r="A1" s="429" t="s">
        <v>188</v>
      </c>
      <c r="B1" s="596" t="str">
        <f>'1. key ratios'!B1</f>
        <v>სს "ბანკი ქართუ"</v>
      </c>
    </row>
    <row r="2" spans="1:4">
      <c r="A2" s="429" t="s">
        <v>189</v>
      </c>
      <c r="B2" s="432">
        <f>'1. key ratios'!B2</f>
        <v>44651</v>
      </c>
    </row>
    <row r="3" spans="1:4">
      <c r="A3" s="431" t="s">
        <v>722</v>
      </c>
      <c r="B3" s="432"/>
    </row>
    <row r="5" spans="1:4" ht="51">
      <c r="A5" s="746" t="s">
        <v>723</v>
      </c>
      <c r="B5" s="746"/>
      <c r="C5" s="433" t="s">
        <v>724</v>
      </c>
      <c r="D5" s="433" t="s">
        <v>725</v>
      </c>
    </row>
    <row r="6" spans="1:4">
      <c r="A6" s="452">
        <v>1</v>
      </c>
      <c r="B6" s="453" t="s">
        <v>726</v>
      </c>
      <c r="C6" s="594">
        <v>159165790.93913704</v>
      </c>
      <c r="D6" s="594">
        <v>369760</v>
      </c>
    </row>
    <row r="7" spans="1:4">
      <c r="A7" s="454">
        <v>2</v>
      </c>
      <c r="B7" s="453" t="s">
        <v>727</v>
      </c>
      <c r="C7" s="593">
        <v>11976402.85682404</v>
      </c>
      <c r="D7" s="593">
        <f>SUM(D8:D11)</f>
        <v>0</v>
      </c>
    </row>
    <row r="8" spans="1:4">
      <c r="A8" s="454">
        <v>2.1</v>
      </c>
      <c r="B8" s="455" t="s">
        <v>728</v>
      </c>
      <c r="C8" s="593">
        <v>5085235.1237787316</v>
      </c>
      <c r="D8" s="593"/>
    </row>
    <row r="9" spans="1:4">
      <c r="A9" s="454">
        <v>2.2000000000000002</v>
      </c>
      <c r="B9" s="455" t="s">
        <v>729</v>
      </c>
      <c r="C9" s="593">
        <v>6776195.5284664258</v>
      </c>
      <c r="D9" s="593"/>
    </row>
    <row r="10" spans="1:4">
      <c r="A10" s="454">
        <v>2.2999999999999998</v>
      </c>
      <c r="B10" s="455" t="s">
        <v>730</v>
      </c>
      <c r="C10" s="593">
        <v>114972.20457888376</v>
      </c>
      <c r="D10" s="593"/>
    </row>
    <row r="11" spans="1:4">
      <c r="A11" s="454">
        <v>2.4</v>
      </c>
      <c r="B11" s="455" t="s">
        <v>731</v>
      </c>
      <c r="C11" s="593">
        <v>0</v>
      </c>
      <c r="D11" s="593"/>
    </row>
    <row r="12" spans="1:4">
      <c r="A12" s="452">
        <v>3</v>
      </c>
      <c r="B12" s="453" t="s">
        <v>732</v>
      </c>
      <c r="C12" s="594">
        <f>SUM(C13:C18)</f>
        <v>9122359.4210716896</v>
      </c>
      <c r="D12" s="593">
        <f>SUM(D13:D18)</f>
        <v>309760</v>
      </c>
    </row>
    <row r="13" spans="1:4">
      <c r="A13" s="454">
        <v>3.1</v>
      </c>
      <c r="B13" s="455" t="s">
        <v>733</v>
      </c>
      <c r="C13" s="593">
        <v>449659.78196200007</v>
      </c>
      <c r="D13" s="593"/>
    </row>
    <row r="14" spans="1:4">
      <c r="A14" s="454">
        <v>3.2</v>
      </c>
      <c r="B14" s="455" t="s">
        <v>734</v>
      </c>
      <c r="C14" s="593">
        <v>1461805.8563600006</v>
      </c>
      <c r="D14" s="593">
        <v>309760</v>
      </c>
    </row>
    <row r="15" spans="1:4">
      <c r="A15" s="454">
        <v>3.3</v>
      </c>
      <c r="B15" s="455" t="s">
        <v>735</v>
      </c>
      <c r="C15" s="593">
        <v>5056855.5393516524</v>
      </c>
      <c r="D15" s="593"/>
    </row>
    <row r="16" spans="1:4">
      <c r="A16" s="454">
        <v>3.4</v>
      </c>
      <c r="B16" s="455" t="s">
        <v>736</v>
      </c>
      <c r="C16" s="593">
        <v>2119954.8733128584</v>
      </c>
      <c r="D16" s="593"/>
    </row>
    <row r="17" spans="1:4">
      <c r="A17" s="454">
        <v>3.5</v>
      </c>
      <c r="B17" s="455" t="s">
        <v>737</v>
      </c>
      <c r="C17" s="593">
        <v>34083.370085177936</v>
      </c>
      <c r="D17" s="593">
        <v>0</v>
      </c>
    </row>
    <row r="18" spans="1:4">
      <c r="A18" s="454">
        <v>3.6</v>
      </c>
      <c r="B18" s="455" t="s">
        <v>738</v>
      </c>
      <c r="C18" s="593">
        <v>0</v>
      </c>
      <c r="D18" s="593"/>
    </row>
    <row r="19" spans="1:4">
      <c r="A19" s="456">
        <v>4</v>
      </c>
      <c r="B19" s="453" t="s">
        <v>739</v>
      </c>
      <c r="C19" s="594">
        <f>C6+C7-C12</f>
        <v>162019834.3748894</v>
      </c>
      <c r="D19" s="594">
        <f>D6+D7-D12</f>
        <v>60000</v>
      </c>
    </row>
  </sheetData>
  <mergeCells count="1">
    <mergeCell ref="A5:B5"/>
  </mergeCells>
  <pageMargins left="0.7" right="0.7" top="0.75" bottom="0.75" header="0.3" footer="0.3"/>
  <pageSetup orientation="portrait" horizontalDpi="4294967292"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Normal="100" workbookViewId="0">
      <selection activeCell="C9" sqref="C9"/>
    </sheetView>
  </sheetViews>
  <sheetFormatPr defaultColWidth="9.28515625" defaultRowHeight="12.75"/>
  <cols>
    <col min="1" max="1" width="11.7109375" style="430" bestFit="1" customWidth="1"/>
    <col min="2" max="2" width="124.7109375" style="430" customWidth="1"/>
    <col min="3" max="3" width="21.5703125" style="430" customWidth="1"/>
    <col min="4" max="4" width="49.28515625" style="430" customWidth="1"/>
    <col min="5" max="16384" width="9.28515625" style="430"/>
  </cols>
  <sheetData>
    <row r="1" spans="1:4">
      <c r="A1" s="429" t="s">
        <v>188</v>
      </c>
      <c r="B1" s="596" t="str">
        <f>'1. key ratios'!B1</f>
        <v>სს "ბანკი ქართუ"</v>
      </c>
    </row>
    <row r="2" spans="1:4">
      <c r="A2" s="429" t="s">
        <v>189</v>
      </c>
      <c r="B2" s="432">
        <f>'1. key ratios'!B2</f>
        <v>44651</v>
      </c>
    </row>
    <row r="3" spans="1:4">
      <c r="A3" s="431" t="s">
        <v>740</v>
      </c>
      <c r="B3" s="432"/>
    </row>
    <row r="4" spans="1:4">
      <c r="A4" s="431"/>
    </row>
    <row r="5" spans="1:4" ht="15" customHeight="1">
      <c r="A5" s="747" t="s">
        <v>741</v>
      </c>
      <c r="B5" s="748"/>
      <c r="C5" s="737" t="s">
        <v>742</v>
      </c>
      <c r="D5" s="751" t="s">
        <v>743</v>
      </c>
    </row>
    <row r="6" spans="1:4" ht="22.5" customHeight="1">
      <c r="A6" s="749"/>
      <c r="B6" s="750"/>
      <c r="C6" s="740"/>
      <c r="D6" s="751"/>
    </row>
    <row r="7" spans="1:4">
      <c r="A7" s="436">
        <v>1</v>
      </c>
      <c r="B7" s="436" t="s">
        <v>744</v>
      </c>
      <c r="C7" s="594">
        <v>326350092.14239997</v>
      </c>
      <c r="D7" s="598"/>
    </row>
    <row r="8" spans="1:4">
      <c r="A8" s="444">
        <v>2</v>
      </c>
      <c r="B8" s="444" t="s">
        <v>745</v>
      </c>
      <c r="C8" s="593">
        <v>18346977.251426931</v>
      </c>
      <c r="D8" s="598"/>
    </row>
    <row r="9" spans="1:4">
      <c r="A9" s="444">
        <v>3</v>
      </c>
      <c r="B9" s="457" t="s">
        <v>746</v>
      </c>
      <c r="C9" s="593">
        <v>245220.08906399581</v>
      </c>
      <c r="D9" s="598"/>
    </row>
    <row r="10" spans="1:4">
      <c r="A10" s="444">
        <v>4</v>
      </c>
      <c r="B10" s="444" t="s">
        <v>747</v>
      </c>
      <c r="C10" s="593">
        <f>SUM(C11:C18)</f>
        <v>21855819.508990925</v>
      </c>
      <c r="D10" s="598"/>
    </row>
    <row r="11" spans="1:4">
      <c r="A11" s="444">
        <v>5</v>
      </c>
      <c r="B11" s="458" t="s">
        <v>748</v>
      </c>
      <c r="C11" s="593">
        <v>5000</v>
      </c>
      <c r="D11" s="598"/>
    </row>
    <row r="12" spans="1:4">
      <c r="A12" s="444">
        <v>6</v>
      </c>
      <c r="B12" s="458" t="s">
        <v>749</v>
      </c>
      <c r="C12" s="593">
        <v>0</v>
      </c>
      <c r="D12" s="598"/>
    </row>
    <row r="13" spans="1:4">
      <c r="A13" s="444">
        <v>7</v>
      </c>
      <c r="B13" s="458" t="s">
        <v>750</v>
      </c>
      <c r="C13" s="593">
        <v>20828258.993998036</v>
      </c>
      <c r="D13" s="598"/>
    </row>
    <row r="14" spans="1:4">
      <c r="A14" s="444">
        <v>8</v>
      </c>
      <c r="B14" s="458" t="s">
        <v>751</v>
      </c>
      <c r="C14" s="593">
        <v>518457.96672000008</v>
      </c>
      <c r="D14" s="593">
        <v>579615.87</v>
      </c>
    </row>
    <row r="15" spans="1:4">
      <c r="A15" s="444">
        <v>9</v>
      </c>
      <c r="B15" s="458" t="s">
        <v>752</v>
      </c>
      <c r="C15" s="593">
        <v>0</v>
      </c>
      <c r="D15" s="593"/>
    </row>
    <row r="16" spans="1:4">
      <c r="A16" s="444">
        <v>10</v>
      </c>
      <c r="B16" s="458" t="s">
        <v>753</v>
      </c>
      <c r="C16" s="593">
        <v>449659.78196200007</v>
      </c>
      <c r="D16" s="598"/>
    </row>
    <row r="17" spans="1:4">
      <c r="A17" s="444">
        <v>11</v>
      </c>
      <c r="B17" s="458" t="s">
        <v>754</v>
      </c>
      <c r="C17" s="593">
        <v>0</v>
      </c>
      <c r="D17" s="593"/>
    </row>
    <row r="18" spans="1:4" ht="25.5">
      <c r="A18" s="444">
        <v>12</v>
      </c>
      <c r="B18" s="458" t="s">
        <v>755</v>
      </c>
      <c r="C18" s="593">
        <v>54442.766310887804</v>
      </c>
      <c r="D18" s="598"/>
    </row>
    <row r="19" spans="1:4">
      <c r="A19" s="436">
        <v>13</v>
      </c>
      <c r="B19" s="459" t="s">
        <v>756</v>
      </c>
      <c r="C19" s="594">
        <f>C7+C8+C9-C10</f>
        <v>323086469.97389996</v>
      </c>
      <c r="D19" s="599"/>
    </row>
    <row r="22" spans="1:4">
      <c r="B22" s="429"/>
    </row>
    <row r="23" spans="1:4">
      <c r="B23" s="429"/>
    </row>
    <row r="24" spans="1:4">
      <c r="B24" s="431"/>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B1" zoomScaleNormal="100" workbookViewId="0">
      <selection activeCell="B1" sqref="B1"/>
    </sheetView>
  </sheetViews>
  <sheetFormatPr defaultColWidth="9.28515625" defaultRowHeight="12.75"/>
  <cols>
    <col min="1" max="1" width="11.7109375" style="430" bestFit="1" customWidth="1"/>
    <col min="2" max="2" width="80.7109375" style="430" customWidth="1"/>
    <col min="3" max="3" width="15.5703125" style="430" customWidth="1"/>
    <col min="4" max="5" width="22.28515625" style="430" customWidth="1"/>
    <col min="6" max="6" width="23.42578125" style="430" customWidth="1"/>
    <col min="7" max="14" width="22.28515625" style="430" customWidth="1"/>
    <col min="15" max="15" width="23.28515625" style="430" bestFit="1" customWidth="1"/>
    <col min="16" max="16" width="21.85546875" style="430" bestFit="1" customWidth="1"/>
    <col min="17" max="19" width="19.140625" style="430" bestFit="1" customWidth="1"/>
    <col min="20" max="20" width="16.28515625" style="430" customWidth="1"/>
    <col min="21" max="21" width="13.28515625" style="430" bestFit="1" customWidth="1"/>
    <col min="22" max="22" width="20" style="430" customWidth="1"/>
    <col min="23" max="16384" width="9.28515625" style="430"/>
  </cols>
  <sheetData>
    <row r="1" spans="1:22">
      <c r="A1" s="429" t="s">
        <v>188</v>
      </c>
      <c r="B1" s="596" t="str">
        <f>'1. key ratios'!B1</f>
        <v>სს "ბანკი ქართუ"</v>
      </c>
    </row>
    <row r="2" spans="1:22">
      <c r="A2" s="429" t="s">
        <v>189</v>
      </c>
      <c r="B2" s="595">
        <f>'1. key ratios'!B2</f>
        <v>44651</v>
      </c>
      <c r="C2" s="440"/>
    </row>
    <row r="3" spans="1:22">
      <c r="A3" s="431" t="s">
        <v>757</v>
      </c>
      <c r="B3" s="432"/>
    </row>
    <row r="5" spans="1:22" ht="15" customHeight="1">
      <c r="A5" s="737" t="s">
        <v>758</v>
      </c>
      <c r="B5" s="739"/>
      <c r="C5" s="754" t="s">
        <v>759</v>
      </c>
      <c r="D5" s="755"/>
      <c r="E5" s="755"/>
      <c r="F5" s="755"/>
      <c r="G5" s="755"/>
      <c r="H5" s="755"/>
      <c r="I5" s="755"/>
      <c r="J5" s="755"/>
      <c r="K5" s="755"/>
      <c r="L5" s="755"/>
      <c r="M5" s="755"/>
      <c r="N5" s="755"/>
      <c r="O5" s="755"/>
      <c r="P5" s="755"/>
      <c r="Q5" s="755"/>
      <c r="R5" s="755"/>
      <c r="S5" s="755"/>
      <c r="T5" s="755"/>
      <c r="U5" s="756"/>
      <c r="V5" s="460"/>
    </row>
    <row r="6" spans="1:22">
      <c r="A6" s="752"/>
      <c r="B6" s="753"/>
      <c r="C6" s="757" t="s">
        <v>68</v>
      </c>
      <c r="D6" s="759" t="s">
        <v>760</v>
      </c>
      <c r="E6" s="759"/>
      <c r="F6" s="744"/>
      <c r="G6" s="760" t="s">
        <v>761</v>
      </c>
      <c r="H6" s="761"/>
      <c r="I6" s="761"/>
      <c r="J6" s="761"/>
      <c r="K6" s="762"/>
      <c r="L6" s="461"/>
      <c r="M6" s="763" t="s">
        <v>762</v>
      </c>
      <c r="N6" s="763"/>
      <c r="O6" s="744"/>
      <c r="P6" s="744"/>
      <c r="Q6" s="744"/>
      <c r="R6" s="744"/>
      <c r="S6" s="744"/>
      <c r="T6" s="744"/>
      <c r="U6" s="744"/>
      <c r="V6" s="461"/>
    </row>
    <row r="7" spans="1:22" ht="25.5">
      <c r="A7" s="740"/>
      <c r="B7" s="742"/>
      <c r="C7" s="758"/>
      <c r="D7" s="462"/>
      <c r="E7" s="442" t="s">
        <v>763</v>
      </c>
      <c r="F7" s="442" t="s">
        <v>764</v>
      </c>
      <c r="G7" s="440"/>
      <c r="H7" s="442" t="s">
        <v>763</v>
      </c>
      <c r="I7" s="442" t="s">
        <v>790</v>
      </c>
      <c r="J7" s="442" t="s">
        <v>765</v>
      </c>
      <c r="K7" s="442" t="s">
        <v>766</v>
      </c>
      <c r="L7" s="463"/>
      <c r="M7" s="476" t="s">
        <v>767</v>
      </c>
      <c r="N7" s="442" t="s">
        <v>765</v>
      </c>
      <c r="O7" s="442" t="s">
        <v>768</v>
      </c>
      <c r="P7" s="442" t="s">
        <v>769</v>
      </c>
      <c r="Q7" s="442" t="s">
        <v>770</v>
      </c>
      <c r="R7" s="442" t="s">
        <v>771</v>
      </c>
      <c r="S7" s="442" t="s">
        <v>772</v>
      </c>
      <c r="T7" s="464" t="s">
        <v>773</v>
      </c>
      <c r="U7" s="442" t="s">
        <v>774</v>
      </c>
      <c r="V7" s="460"/>
    </row>
    <row r="8" spans="1:22">
      <c r="A8" s="465">
        <v>1</v>
      </c>
      <c r="B8" s="436" t="s">
        <v>775</v>
      </c>
      <c r="C8" s="594">
        <f>SUM(C9:C14)</f>
        <v>965150943.16720092</v>
      </c>
      <c r="D8" s="594">
        <f t="shared" ref="D8:U8" si="0">SUM(D9:D14)</f>
        <v>583449394.35330081</v>
      </c>
      <c r="E8" s="594">
        <f t="shared" si="0"/>
        <v>1840701.55</v>
      </c>
      <c r="F8" s="594">
        <f t="shared" si="0"/>
        <v>86468.236999999921</v>
      </c>
      <c r="G8" s="594">
        <f t="shared" si="0"/>
        <v>58615078.840000011</v>
      </c>
      <c r="H8" s="594">
        <f t="shared" si="0"/>
        <v>3572596.3100000005</v>
      </c>
      <c r="I8" s="594">
        <f t="shared" si="0"/>
        <v>6337428.0500000007</v>
      </c>
      <c r="J8" s="594">
        <f t="shared" si="0"/>
        <v>3271250.9800000004</v>
      </c>
      <c r="K8" s="594">
        <f t="shared" si="0"/>
        <v>0</v>
      </c>
      <c r="L8" s="594">
        <f t="shared" si="0"/>
        <v>323086469.97390002</v>
      </c>
      <c r="M8" s="594">
        <f t="shared" si="0"/>
        <v>27655150.620000001</v>
      </c>
      <c r="N8" s="594">
        <f t="shared" si="0"/>
        <v>105777.87</v>
      </c>
      <c r="O8" s="594">
        <f t="shared" si="0"/>
        <v>2504972.34</v>
      </c>
      <c r="P8" s="594">
        <f t="shared" si="0"/>
        <v>17435028.899999999</v>
      </c>
      <c r="Q8" s="594">
        <f t="shared" si="0"/>
        <v>35692974.710000001</v>
      </c>
      <c r="R8" s="594">
        <f t="shared" si="0"/>
        <v>86557741.383899972</v>
      </c>
      <c r="S8" s="594">
        <f t="shared" si="0"/>
        <v>13957869.300000001</v>
      </c>
      <c r="T8" s="594">
        <f t="shared" si="0"/>
        <v>25185606.049999993</v>
      </c>
      <c r="U8" s="594">
        <f t="shared" si="0"/>
        <v>75544245.912499964</v>
      </c>
    </row>
    <row r="9" spans="1:22">
      <c r="A9" s="444">
        <v>1.1000000000000001</v>
      </c>
      <c r="B9" s="466" t="s">
        <v>776</v>
      </c>
      <c r="C9" s="600"/>
      <c r="D9" s="593"/>
      <c r="E9" s="593"/>
      <c r="F9" s="593"/>
      <c r="G9" s="593"/>
      <c r="H9" s="593"/>
      <c r="I9" s="593"/>
      <c r="J9" s="593"/>
      <c r="K9" s="593"/>
      <c r="L9" s="593"/>
      <c r="M9" s="593"/>
      <c r="N9" s="593"/>
      <c r="O9" s="593"/>
      <c r="P9" s="593"/>
      <c r="Q9" s="593"/>
      <c r="R9" s="593"/>
      <c r="S9" s="593"/>
      <c r="T9" s="593"/>
      <c r="U9" s="593"/>
    </row>
    <row r="10" spans="1:22">
      <c r="A10" s="444">
        <v>1.2</v>
      </c>
      <c r="B10" s="466" t="s">
        <v>777</v>
      </c>
      <c r="C10" s="600"/>
      <c r="D10" s="593"/>
      <c r="E10" s="593"/>
      <c r="F10" s="593"/>
      <c r="G10" s="593"/>
      <c r="H10" s="593"/>
      <c r="I10" s="593"/>
      <c r="J10" s="593"/>
      <c r="K10" s="593"/>
      <c r="L10" s="593"/>
      <c r="M10" s="593"/>
      <c r="N10" s="593"/>
      <c r="O10" s="593"/>
      <c r="P10" s="593"/>
      <c r="Q10" s="593"/>
      <c r="R10" s="593"/>
      <c r="S10" s="593"/>
      <c r="T10" s="593"/>
      <c r="U10" s="593"/>
    </row>
    <row r="11" spans="1:22">
      <c r="A11" s="444">
        <v>1.3</v>
      </c>
      <c r="B11" s="466" t="s">
        <v>778</v>
      </c>
      <c r="C11" s="600"/>
      <c r="D11" s="593"/>
      <c r="E11" s="593"/>
      <c r="F11" s="593"/>
      <c r="G11" s="593"/>
      <c r="H11" s="593"/>
      <c r="I11" s="593"/>
      <c r="J11" s="593"/>
      <c r="K11" s="593"/>
      <c r="L11" s="593"/>
      <c r="M11" s="593"/>
      <c r="N11" s="593"/>
      <c r="O11" s="593"/>
      <c r="P11" s="593"/>
      <c r="Q11" s="593"/>
      <c r="R11" s="593"/>
      <c r="S11" s="593"/>
      <c r="T11" s="593"/>
      <c r="U11" s="593"/>
    </row>
    <row r="12" spans="1:22">
      <c r="A12" s="444">
        <v>1.4</v>
      </c>
      <c r="B12" s="466" t="s">
        <v>779</v>
      </c>
      <c r="C12" s="600">
        <v>5013500</v>
      </c>
      <c r="D12" s="593">
        <v>5013500</v>
      </c>
      <c r="E12" s="593">
        <v>0</v>
      </c>
      <c r="F12" s="593">
        <v>0</v>
      </c>
      <c r="G12" s="593">
        <v>0</v>
      </c>
      <c r="H12" s="593">
        <v>0</v>
      </c>
      <c r="I12" s="593">
        <v>0</v>
      </c>
      <c r="J12" s="593">
        <v>0</v>
      </c>
      <c r="K12" s="593">
        <v>0</v>
      </c>
      <c r="L12" s="593">
        <v>0</v>
      </c>
      <c r="M12" s="593">
        <v>0</v>
      </c>
      <c r="N12" s="593">
        <v>0</v>
      </c>
      <c r="O12" s="593">
        <v>0</v>
      </c>
      <c r="P12" s="593">
        <v>0</v>
      </c>
      <c r="Q12" s="593">
        <v>0</v>
      </c>
      <c r="R12" s="593">
        <v>0</v>
      </c>
      <c r="S12" s="593">
        <v>0</v>
      </c>
      <c r="T12" s="593">
        <v>0</v>
      </c>
      <c r="U12" s="593">
        <v>0</v>
      </c>
    </row>
    <row r="13" spans="1:22">
      <c r="A13" s="444">
        <v>1.5</v>
      </c>
      <c r="B13" s="466" t="s">
        <v>780</v>
      </c>
      <c r="C13" s="600">
        <v>878267362.16620088</v>
      </c>
      <c r="D13" s="593">
        <v>528844371.1837008</v>
      </c>
      <c r="E13" s="593">
        <v>1840137.72</v>
      </c>
      <c r="F13" s="593">
        <v>15120.09600000002</v>
      </c>
      <c r="G13" s="593">
        <v>52677813.590000011</v>
      </c>
      <c r="H13" s="593">
        <v>2516884.8200000003</v>
      </c>
      <c r="I13" s="593">
        <v>4694798.1500000004</v>
      </c>
      <c r="J13" s="593">
        <v>3271250.9800000004</v>
      </c>
      <c r="K13" s="593">
        <v>0</v>
      </c>
      <c r="L13" s="593">
        <v>296745177.39250004</v>
      </c>
      <c r="M13" s="593">
        <v>27600033.710000001</v>
      </c>
      <c r="N13" s="593">
        <v>105777.87</v>
      </c>
      <c r="O13" s="593">
        <v>1708551.61</v>
      </c>
      <c r="P13" s="593">
        <v>15083429.82</v>
      </c>
      <c r="Q13" s="593">
        <v>31485798.450000003</v>
      </c>
      <c r="R13" s="593">
        <v>84698188.892499968</v>
      </c>
      <c r="S13" s="593">
        <v>8043437.0300000003</v>
      </c>
      <c r="T13" s="593">
        <v>22177743.719999995</v>
      </c>
      <c r="U13" s="593">
        <v>75302650.712499961</v>
      </c>
    </row>
    <row r="14" spans="1:22">
      <c r="A14" s="444">
        <v>1.6</v>
      </c>
      <c r="B14" s="466" t="s">
        <v>781</v>
      </c>
      <c r="C14" s="600">
        <v>81870081.001000091</v>
      </c>
      <c r="D14" s="593">
        <v>49591523.16960004</v>
      </c>
      <c r="E14" s="593">
        <v>563.82999999999993</v>
      </c>
      <c r="F14" s="593">
        <v>71348.140999999901</v>
      </c>
      <c r="G14" s="593">
        <v>5937265.2499999991</v>
      </c>
      <c r="H14" s="593">
        <v>1055711.49</v>
      </c>
      <c r="I14" s="593">
        <v>1642629.9</v>
      </c>
      <c r="J14" s="593">
        <v>0</v>
      </c>
      <c r="K14" s="593">
        <v>0</v>
      </c>
      <c r="L14" s="593">
        <v>26341292.5814</v>
      </c>
      <c r="M14" s="593">
        <v>55116.909999999996</v>
      </c>
      <c r="N14" s="593">
        <v>0</v>
      </c>
      <c r="O14" s="593">
        <v>796420.73</v>
      </c>
      <c r="P14" s="593">
        <v>2351599.08</v>
      </c>
      <c r="Q14" s="593">
        <v>4207176.2600000007</v>
      </c>
      <c r="R14" s="593">
        <v>1859552.4914000002</v>
      </c>
      <c r="S14" s="593">
        <v>5914432.2699999996</v>
      </c>
      <c r="T14" s="593">
        <v>3007862.3299999996</v>
      </c>
      <c r="U14" s="593">
        <v>241595.19999999998</v>
      </c>
    </row>
    <row r="15" spans="1:22">
      <c r="A15" s="465">
        <v>2</v>
      </c>
      <c r="B15" s="436" t="s">
        <v>782</v>
      </c>
      <c r="C15" s="594">
        <f>SUM(C16:C21)</f>
        <v>32405550</v>
      </c>
      <c r="D15" s="594">
        <f t="shared" ref="D15:U15" si="1">SUM(D16:D21)</f>
        <v>32405550</v>
      </c>
      <c r="E15" s="594">
        <f t="shared" si="1"/>
        <v>0</v>
      </c>
      <c r="F15" s="594">
        <f t="shared" si="1"/>
        <v>0</v>
      </c>
      <c r="G15" s="594">
        <f t="shared" si="1"/>
        <v>0</v>
      </c>
      <c r="H15" s="594">
        <f t="shared" si="1"/>
        <v>0</v>
      </c>
      <c r="I15" s="594">
        <f t="shared" si="1"/>
        <v>0</v>
      </c>
      <c r="J15" s="594">
        <f t="shared" si="1"/>
        <v>0</v>
      </c>
      <c r="K15" s="594">
        <f t="shared" si="1"/>
        <v>0</v>
      </c>
      <c r="L15" s="594">
        <f t="shared" si="1"/>
        <v>0</v>
      </c>
      <c r="M15" s="594">
        <f t="shared" si="1"/>
        <v>0</v>
      </c>
      <c r="N15" s="594">
        <f t="shared" si="1"/>
        <v>0</v>
      </c>
      <c r="O15" s="594">
        <f t="shared" si="1"/>
        <v>0</v>
      </c>
      <c r="P15" s="594">
        <f t="shared" si="1"/>
        <v>0</v>
      </c>
      <c r="Q15" s="594">
        <f t="shared" si="1"/>
        <v>0</v>
      </c>
      <c r="R15" s="594">
        <f t="shared" si="1"/>
        <v>0</v>
      </c>
      <c r="S15" s="594">
        <f t="shared" si="1"/>
        <v>0</v>
      </c>
      <c r="T15" s="594">
        <f t="shared" si="1"/>
        <v>0</v>
      </c>
      <c r="U15" s="594">
        <f t="shared" si="1"/>
        <v>0</v>
      </c>
    </row>
    <row r="16" spans="1:22">
      <c r="A16" s="444">
        <v>2.1</v>
      </c>
      <c r="B16" s="466" t="s">
        <v>776</v>
      </c>
      <c r="C16" s="600">
        <v>0</v>
      </c>
      <c r="D16" s="593">
        <v>0</v>
      </c>
      <c r="E16" s="593"/>
      <c r="F16" s="593"/>
      <c r="G16" s="593"/>
      <c r="H16" s="593"/>
      <c r="I16" s="593"/>
      <c r="J16" s="593"/>
      <c r="K16" s="593"/>
      <c r="L16" s="593"/>
      <c r="M16" s="593"/>
      <c r="N16" s="593"/>
      <c r="O16" s="593"/>
      <c r="P16" s="593"/>
      <c r="Q16" s="593"/>
      <c r="R16" s="593"/>
      <c r="S16" s="593"/>
      <c r="T16" s="593"/>
      <c r="U16" s="593"/>
    </row>
    <row r="17" spans="1:21">
      <c r="A17" s="444">
        <v>2.2000000000000002</v>
      </c>
      <c r="B17" s="466" t="s">
        <v>777</v>
      </c>
      <c r="C17" s="600">
        <v>29405550</v>
      </c>
      <c r="D17" s="593">
        <v>29405550</v>
      </c>
      <c r="E17" s="593"/>
      <c r="F17" s="593"/>
      <c r="G17" s="593"/>
      <c r="H17" s="593"/>
      <c r="I17" s="593"/>
      <c r="J17" s="593"/>
      <c r="K17" s="593"/>
      <c r="L17" s="593"/>
      <c r="M17" s="593"/>
      <c r="N17" s="593"/>
      <c r="O17" s="593"/>
      <c r="P17" s="593"/>
      <c r="Q17" s="593"/>
      <c r="R17" s="593"/>
      <c r="S17" s="593"/>
      <c r="T17" s="593"/>
      <c r="U17" s="593"/>
    </row>
    <row r="18" spans="1:21">
      <c r="A18" s="444">
        <v>2.2999999999999998</v>
      </c>
      <c r="B18" s="466" t="s">
        <v>778</v>
      </c>
      <c r="C18" s="600"/>
      <c r="D18" s="593"/>
      <c r="E18" s="593"/>
      <c r="F18" s="593"/>
      <c r="G18" s="593"/>
      <c r="H18" s="593"/>
      <c r="I18" s="593"/>
      <c r="J18" s="593"/>
      <c r="K18" s="593"/>
      <c r="L18" s="593"/>
      <c r="M18" s="593"/>
      <c r="N18" s="593"/>
      <c r="O18" s="593"/>
      <c r="P18" s="593"/>
      <c r="Q18" s="593"/>
      <c r="R18" s="593"/>
      <c r="S18" s="593"/>
      <c r="T18" s="593"/>
      <c r="U18" s="593"/>
    </row>
    <row r="19" spans="1:21">
      <c r="A19" s="444">
        <v>2.4</v>
      </c>
      <c r="B19" s="466" t="s">
        <v>779</v>
      </c>
      <c r="C19" s="600"/>
      <c r="D19" s="593"/>
      <c r="E19" s="593"/>
      <c r="F19" s="593"/>
      <c r="G19" s="593"/>
      <c r="H19" s="593"/>
      <c r="I19" s="593"/>
      <c r="J19" s="593"/>
      <c r="K19" s="593"/>
      <c r="L19" s="593"/>
      <c r="M19" s="593"/>
      <c r="N19" s="593"/>
      <c r="O19" s="593"/>
      <c r="P19" s="593"/>
      <c r="Q19" s="593"/>
      <c r="R19" s="593"/>
      <c r="S19" s="593"/>
      <c r="T19" s="593"/>
      <c r="U19" s="593"/>
    </row>
    <row r="20" spans="1:21">
      <c r="A20" s="444">
        <v>2.5</v>
      </c>
      <c r="B20" s="466" t="s">
        <v>780</v>
      </c>
      <c r="C20" s="600">
        <v>3000000</v>
      </c>
      <c r="D20" s="593">
        <v>3000000</v>
      </c>
      <c r="E20" s="593">
        <v>0</v>
      </c>
      <c r="F20" s="593">
        <v>0</v>
      </c>
      <c r="G20" s="593">
        <v>0</v>
      </c>
      <c r="H20" s="593">
        <v>0</v>
      </c>
      <c r="I20" s="593">
        <v>0</v>
      </c>
      <c r="J20" s="593">
        <v>0</v>
      </c>
      <c r="K20" s="593">
        <v>0</v>
      </c>
      <c r="L20" s="593">
        <v>0</v>
      </c>
      <c r="M20" s="593">
        <v>0</v>
      </c>
      <c r="N20" s="593">
        <v>0</v>
      </c>
      <c r="O20" s="593">
        <v>0</v>
      </c>
      <c r="P20" s="593">
        <v>0</v>
      </c>
      <c r="Q20" s="593">
        <v>0</v>
      </c>
      <c r="R20" s="593">
        <v>0</v>
      </c>
      <c r="S20" s="593">
        <v>0</v>
      </c>
      <c r="T20" s="593">
        <v>0</v>
      </c>
      <c r="U20" s="593">
        <v>0</v>
      </c>
    </row>
    <row r="21" spans="1:21">
      <c r="A21" s="444">
        <v>2.6</v>
      </c>
      <c r="B21" s="466" t="s">
        <v>781</v>
      </c>
      <c r="C21" s="600"/>
      <c r="D21" s="593"/>
      <c r="E21" s="593"/>
      <c r="F21" s="593"/>
      <c r="G21" s="593"/>
      <c r="H21" s="593"/>
      <c r="I21" s="593"/>
      <c r="J21" s="593"/>
      <c r="K21" s="593"/>
      <c r="L21" s="593"/>
      <c r="M21" s="593"/>
      <c r="N21" s="593"/>
      <c r="O21" s="593"/>
      <c r="P21" s="593"/>
      <c r="Q21" s="593"/>
      <c r="R21" s="593"/>
      <c r="S21" s="593"/>
      <c r="T21" s="593"/>
      <c r="U21" s="593"/>
    </row>
    <row r="22" spans="1:21">
      <c r="A22" s="465">
        <v>3</v>
      </c>
      <c r="B22" s="436" t="s">
        <v>783</v>
      </c>
      <c r="C22" s="594">
        <f>SUM(C23:C28)</f>
        <v>51269816.723100007</v>
      </c>
      <c r="D22" s="594">
        <f t="shared" ref="D22:L22" si="2">SUM(D23:D28)</f>
        <v>25447499.979999997</v>
      </c>
      <c r="E22" s="682"/>
      <c r="F22" s="682"/>
      <c r="G22" s="594">
        <f t="shared" si="2"/>
        <v>325000</v>
      </c>
      <c r="H22" s="682"/>
      <c r="I22" s="682"/>
      <c r="J22" s="682"/>
      <c r="K22" s="682"/>
      <c r="L22" s="594">
        <f t="shared" si="2"/>
        <v>4119988.0300000003</v>
      </c>
      <c r="M22" s="601"/>
      <c r="N22" s="601"/>
      <c r="O22" s="601"/>
      <c r="P22" s="601"/>
      <c r="Q22" s="601"/>
      <c r="R22" s="601"/>
      <c r="S22" s="601"/>
      <c r="T22" s="601"/>
      <c r="U22" s="593">
        <f t="shared" ref="U22" si="3">SUM(U23:U28)</f>
        <v>0</v>
      </c>
    </row>
    <row r="23" spans="1:21">
      <c r="A23" s="444">
        <v>3.1</v>
      </c>
      <c r="B23" s="466" t="s">
        <v>776</v>
      </c>
      <c r="C23" s="600"/>
      <c r="D23" s="593"/>
      <c r="E23" s="601"/>
      <c r="F23" s="601"/>
      <c r="G23" s="593"/>
      <c r="H23" s="601"/>
      <c r="I23" s="601"/>
      <c r="J23" s="601"/>
      <c r="K23" s="601"/>
      <c r="L23" s="593"/>
      <c r="M23" s="601"/>
      <c r="N23" s="601"/>
      <c r="O23" s="601"/>
      <c r="P23" s="601"/>
      <c r="Q23" s="601"/>
      <c r="R23" s="601"/>
      <c r="S23" s="601"/>
      <c r="T23" s="601"/>
      <c r="U23" s="593"/>
    </row>
    <row r="24" spans="1:21">
      <c r="A24" s="444">
        <v>3.2</v>
      </c>
      <c r="B24" s="466" t="s">
        <v>777</v>
      </c>
      <c r="C24" s="600"/>
      <c r="D24" s="593"/>
      <c r="E24" s="601"/>
      <c r="F24" s="601"/>
      <c r="G24" s="593"/>
      <c r="H24" s="601"/>
      <c r="I24" s="601"/>
      <c r="J24" s="601"/>
      <c r="K24" s="601"/>
      <c r="L24" s="593"/>
      <c r="M24" s="601"/>
      <c r="N24" s="601"/>
      <c r="O24" s="601"/>
      <c r="P24" s="601"/>
      <c r="Q24" s="601"/>
      <c r="R24" s="601"/>
      <c r="S24" s="601"/>
      <c r="T24" s="601"/>
      <c r="U24" s="593"/>
    </row>
    <row r="25" spans="1:21">
      <c r="A25" s="444">
        <v>3.3</v>
      </c>
      <c r="B25" s="466" t="s">
        <v>778</v>
      </c>
      <c r="C25" s="600"/>
      <c r="D25" s="593"/>
      <c r="E25" s="601"/>
      <c r="F25" s="601"/>
      <c r="G25" s="593"/>
      <c r="H25" s="601"/>
      <c r="I25" s="601"/>
      <c r="J25" s="601"/>
      <c r="K25" s="601"/>
      <c r="L25" s="593"/>
      <c r="M25" s="601"/>
      <c r="N25" s="601"/>
      <c r="O25" s="601"/>
      <c r="P25" s="601"/>
      <c r="Q25" s="601"/>
      <c r="R25" s="601"/>
      <c r="S25" s="601"/>
      <c r="T25" s="601"/>
      <c r="U25" s="593"/>
    </row>
    <row r="26" spans="1:21">
      <c r="A26" s="444">
        <v>3.4</v>
      </c>
      <c r="B26" s="466" t="s">
        <v>779</v>
      </c>
      <c r="C26" s="600">
        <v>621410.67000000004</v>
      </c>
      <c r="D26" s="593">
        <v>524910.67000000004</v>
      </c>
      <c r="E26" s="601"/>
      <c r="F26" s="601"/>
      <c r="G26" s="593">
        <v>0</v>
      </c>
      <c r="H26" s="601"/>
      <c r="I26" s="601"/>
      <c r="J26" s="601"/>
      <c r="K26" s="601"/>
      <c r="L26" s="593">
        <v>0</v>
      </c>
      <c r="M26" s="601"/>
      <c r="N26" s="601"/>
      <c r="O26" s="601"/>
      <c r="P26" s="601"/>
      <c r="Q26" s="601"/>
      <c r="R26" s="601"/>
      <c r="S26" s="601"/>
      <c r="T26" s="601"/>
      <c r="U26" s="593">
        <v>0</v>
      </c>
    </row>
    <row r="27" spans="1:21">
      <c r="A27" s="444">
        <v>3.5</v>
      </c>
      <c r="B27" s="466" t="s">
        <v>780</v>
      </c>
      <c r="C27" s="600">
        <v>48031498.500000007</v>
      </c>
      <c r="D27" s="593">
        <v>24918189.309999995</v>
      </c>
      <c r="E27" s="601"/>
      <c r="F27" s="601"/>
      <c r="G27" s="593">
        <v>325000</v>
      </c>
      <c r="H27" s="601"/>
      <c r="I27" s="601"/>
      <c r="J27" s="601"/>
      <c r="K27" s="601"/>
      <c r="L27" s="593">
        <v>4119988.0300000003</v>
      </c>
      <c r="M27" s="601"/>
      <c r="N27" s="601"/>
      <c r="O27" s="601"/>
      <c r="P27" s="601"/>
      <c r="Q27" s="601"/>
      <c r="R27" s="601"/>
      <c r="S27" s="601"/>
      <c r="T27" s="601"/>
      <c r="U27" s="593">
        <v>0</v>
      </c>
    </row>
    <row r="28" spans="1:21">
      <c r="A28" s="444">
        <v>3.6</v>
      </c>
      <c r="B28" s="466" t="s">
        <v>781</v>
      </c>
      <c r="C28" s="600">
        <v>2616907.5531000011</v>
      </c>
      <c r="D28" s="593">
        <v>4400</v>
      </c>
      <c r="E28" s="601"/>
      <c r="F28" s="601"/>
      <c r="G28" s="593">
        <v>0</v>
      </c>
      <c r="H28" s="601"/>
      <c r="I28" s="601"/>
      <c r="J28" s="601"/>
      <c r="K28" s="601"/>
      <c r="L28" s="593">
        <v>0</v>
      </c>
      <c r="M28" s="601"/>
      <c r="N28" s="601"/>
      <c r="O28" s="601"/>
      <c r="P28" s="601"/>
      <c r="Q28" s="601"/>
      <c r="R28" s="601"/>
      <c r="S28" s="601"/>
      <c r="T28" s="601"/>
      <c r="U28" s="593">
        <v>0</v>
      </c>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Normal="100" workbookViewId="0"/>
  </sheetViews>
  <sheetFormatPr defaultColWidth="9.28515625" defaultRowHeight="12.75"/>
  <cols>
    <col min="1" max="1" width="11.7109375" style="430" bestFit="1" customWidth="1"/>
    <col min="2" max="2" width="90.28515625" style="430" bestFit="1" customWidth="1"/>
    <col min="3" max="3" width="20.28515625" style="430" customWidth="1"/>
    <col min="4" max="4" width="22.28515625" style="430" customWidth="1"/>
    <col min="5" max="5" width="17.140625" style="430" customWidth="1"/>
    <col min="6" max="7" width="22.28515625" style="430" customWidth="1"/>
    <col min="8" max="8" width="17.140625" style="430" customWidth="1"/>
    <col min="9" max="14" width="22.28515625" style="430" customWidth="1"/>
    <col min="15" max="15" width="23.28515625" style="430" bestFit="1" customWidth="1"/>
    <col min="16" max="16" width="21.7109375" style="430" bestFit="1" customWidth="1"/>
    <col min="17" max="19" width="19" style="430" bestFit="1" customWidth="1"/>
    <col min="20" max="20" width="15.28515625" style="430" customWidth="1"/>
    <col min="21" max="21" width="20" style="430" customWidth="1"/>
    <col min="22" max="16384" width="9.28515625" style="430"/>
  </cols>
  <sheetData>
    <row r="1" spans="1:21">
      <c r="A1" s="429" t="s">
        <v>188</v>
      </c>
      <c r="B1" s="596" t="str">
        <f>'1. key ratios'!B1</f>
        <v>სს "ბანკი ქართუ"</v>
      </c>
    </row>
    <row r="2" spans="1:21">
      <c r="A2" s="429" t="s">
        <v>189</v>
      </c>
      <c r="B2" s="432">
        <f>'1. key ratios'!B2</f>
        <v>44651</v>
      </c>
    </row>
    <row r="3" spans="1:21">
      <c r="A3" s="431" t="s">
        <v>784</v>
      </c>
      <c r="B3" s="432"/>
      <c r="C3" s="432"/>
    </row>
    <row r="4" spans="1:21">
      <c r="A4" s="431"/>
      <c r="B4" s="432"/>
      <c r="C4" s="432"/>
    </row>
    <row r="5" spans="1:21" ht="13.5" customHeight="1">
      <c r="A5" s="764" t="s">
        <v>785</v>
      </c>
      <c r="B5" s="765"/>
      <c r="C5" s="770" t="s">
        <v>786</v>
      </c>
      <c r="D5" s="771"/>
      <c r="E5" s="771"/>
      <c r="F5" s="771"/>
      <c r="G5" s="771"/>
      <c r="H5" s="771"/>
      <c r="I5" s="771"/>
      <c r="J5" s="771"/>
      <c r="K5" s="771"/>
      <c r="L5" s="771"/>
      <c r="M5" s="771"/>
      <c r="N5" s="771"/>
      <c r="O5" s="771"/>
      <c r="P5" s="771"/>
      <c r="Q5" s="771"/>
      <c r="R5" s="771"/>
      <c r="S5" s="771"/>
      <c r="T5" s="772"/>
      <c r="U5" s="460"/>
    </row>
    <row r="6" spans="1:21">
      <c r="A6" s="766"/>
      <c r="B6" s="767"/>
      <c r="C6" s="751" t="s">
        <v>68</v>
      </c>
      <c r="D6" s="770" t="s">
        <v>787</v>
      </c>
      <c r="E6" s="771"/>
      <c r="F6" s="772"/>
      <c r="G6" s="770" t="s">
        <v>788</v>
      </c>
      <c r="H6" s="771"/>
      <c r="I6" s="771"/>
      <c r="J6" s="771"/>
      <c r="K6" s="772"/>
      <c r="L6" s="773" t="s">
        <v>789</v>
      </c>
      <c r="M6" s="774"/>
      <c r="N6" s="774"/>
      <c r="O6" s="774"/>
      <c r="P6" s="774"/>
      <c r="Q6" s="774"/>
      <c r="R6" s="774"/>
      <c r="S6" s="774"/>
      <c r="T6" s="775"/>
      <c r="U6" s="461"/>
    </row>
    <row r="7" spans="1:21" ht="25.5">
      <c r="A7" s="768"/>
      <c r="B7" s="769"/>
      <c r="C7" s="751"/>
      <c r="E7" s="476" t="s">
        <v>763</v>
      </c>
      <c r="F7" s="442" t="s">
        <v>764</v>
      </c>
      <c r="H7" s="476" t="s">
        <v>763</v>
      </c>
      <c r="I7" s="442" t="s">
        <v>790</v>
      </c>
      <c r="J7" s="442" t="s">
        <v>765</v>
      </c>
      <c r="K7" s="442" t="s">
        <v>766</v>
      </c>
      <c r="L7" s="467"/>
      <c r="M7" s="476" t="s">
        <v>767</v>
      </c>
      <c r="N7" s="442" t="s">
        <v>765</v>
      </c>
      <c r="O7" s="442" t="s">
        <v>768</v>
      </c>
      <c r="P7" s="442" t="s">
        <v>769</v>
      </c>
      <c r="Q7" s="442" t="s">
        <v>770</v>
      </c>
      <c r="R7" s="442" t="s">
        <v>771</v>
      </c>
      <c r="S7" s="442" t="s">
        <v>772</v>
      </c>
      <c r="T7" s="464" t="s">
        <v>773</v>
      </c>
      <c r="U7" s="460"/>
    </row>
    <row r="8" spans="1:21">
      <c r="A8" s="467">
        <v>1</v>
      </c>
      <c r="B8" s="459" t="s">
        <v>775</v>
      </c>
      <c r="C8" s="602">
        <v>965150943.16720235</v>
      </c>
      <c r="D8" s="593">
        <v>583449394.35330105</v>
      </c>
      <c r="E8" s="593">
        <v>1840701.5499999998</v>
      </c>
      <c r="F8" s="593">
        <v>86468.23699999995</v>
      </c>
      <c r="G8" s="593">
        <v>58615078.840000018</v>
      </c>
      <c r="H8" s="593">
        <v>3572596.31</v>
      </c>
      <c r="I8" s="593">
        <v>6337428.0499999998</v>
      </c>
      <c r="J8" s="593">
        <v>3271250.9800000004</v>
      </c>
      <c r="K8" s="593">
        <v>0</v>
      </c>
      <c r="L8" s="593">
        <v>323086469.97390008</v>
      </c>
      <c r="M8" s="593">
        <v>27655150.620000001</v>
      </c>
      <c r="N8" s="593">
        <v>105777.87</v>
      </c>
      <c r="O8" s="593">
        <v>2504972.3400000003</v>
      </c>
      <c r="P8" s="593">
        <v>17435028.899999999</v>
      </c>
      <c r="Q8" s="593">
        <v>35692974.709999993</v>
      </c>
      <c r="R8" s="593">
        <v>86557741.383899972</v>
      </c>
      <c r="S8" s="593">
        <v>13957869.300000001</v>
      </c>
      <c r="T8" s="593">
        <v>25185606.049999993</v>
      </c>
    </row>
    <row r="9" spans="1:21">
      <c r="A9" s="466">
        <v>1.1000000000000001</v>
      </c>
      <c r="B9" s="466" t="s">
        <v>791</v>
      </c>
      <c r="C9" s="600">
        <v>924334565.06590021</v>
      </c>
      <c r="D9" s="593">
        <v>542686165.06590104</v>
      </c>
      <c r="E9" s="593">
        <v>1840137.72</v>
      </c>
      <c r="F9" s="593">
        <v>0</v>
      </c>
      <c r="G9" s="593">
        <v>58591459.38000001</v>
      </c>
      <c r="H9" s="593">
        <v>3572596.31</v>
      </c>
      <c r="I9" s="593">
        <v>6337428.0499999998</v>
      </c>
      <c r="J9" s="593">
        <v>3271250.9800000004</v>
      </c>
      <c r="K9" s="593">
        <v>0</v>
      </c>
      <c r="L9" s="593">
        <v>323056940.62000006</v>
      </c>
      <c r="M9" s="593">
        <v>27654802.920000002</v>
      </c>
      <c r="N9" s="593">
        <v>105777.87</v>
      </c>
      <c r="O9" s="593">
        <v>2503366.7600000002</v>
      </c>
      <c r="P9" s="593">
        <v>17430928.899999999</v>
      </c>
      <c r="Q9" s="593">
        <v>35685058.809999995</v>
      </c>
      <c r="R9" s="593">
        <v>86555750.379999965</v>
      </c>
      <c r="S9" s="593">
        <v>13957869.300000001</v>
      </c>
      <c r="T9" s="593">
        <v>25185606.049999993</v>
      </c>
    </row>
    <row r="10" spans="1:21">
      <c r="A10" s="468" t="s">
        <v>252</v>
      </c>
      <c r="B10" s="468" t="s">
        <v>792</v>
      </c>
      <c r="C10" s="603">
        <v>874468687.91589999</v>
      </c>
      <c r="D10" s="593">
        <v>502273529.3359006</v>
      </c>
      <c r="E10" s="593">
        <v>1840137.72</v>
      </c>
      <c r="F10" s="593">
        <v>0</v>
      </c>
      <c r="G10" s="593">
        <v>58584441.470000014</v>
      </c>
      <c r="H10" s="593">
        <v>3572596.31</v>
      </c>
      <c r="I10" s="593">
        <v>6337428.0499999998</v>
      </c>
      <c r="J10" s="593">
        <v>3271250.9800000004</v>
      </c>
      <c r="K10" s="593">
        <v>0</v>
      </c>
      <c r="L10" s="593">
        <v>313610717.10999995</v>
      </c>
      <c r="M10" s="593">
        <v>27615402.920000002</v>
      </c>
      <c r="N10" s="593">
        <v>105777.87</v>
      </c>
      <c r="O10" s="593">
        <v>2503366.7600000002</v>
      </c>
      <c r="P10" s="593">
        <v>17204151.300000001</v>
      </c>
      <c r="Q10" s="593">
        <v>35685058.809999995</v>
      </c>
      <c r="R10" s="593">
        <v>84256057.49999997</v>
      </c>
      <c r="S10" s="593">
        <v>13909248.77</v>
      </c>
      <c r="T10" s="593">
        <v>25112445.609999992</v>
      </c>
    </row>
    <row r="11" spans="1:21">
      <c r="A11" s="469" t="s">
        <v>793</v>
      </c>
      <c r="B11" s="469" t="s">
        <v>794</v>
      </c>
      <c r="C11" s="604">
        <v>534805395.55000037</v>
      </c>
      <c r="D11" s="593">
        <v>365144908.53000009</v>
      </c>
      <c r="E11" s="593">
        <v>1129940.02</v>
      </c>
      <c r="F11" s="593">
        <v>0</v>
      </c>
      <c r="G11" s="593">
        <v>57726937.570000008</v>
      </c>
      <c r="H11" s="593">
        <v>3572596.31</v>
      </c>
      <c r="I11" s="593">
        <v>6182507.8499999996</v>
      </c>
      <c r="J11" s="593">
        <v>3271250.9800000004</v>
      </c>
      <c r="K11" s="593">
        <v>0</v>
      </c>
      <c r="L11" s="593">
        <v>111933549.44999994</v>
      </c>
      <c r="M11" s="593">
        <v>940236.19</v>
      </c>
      <c r="N11" s="593">
        <v>0</v>
      </c>
      <c r="O11" s="593">
        <v>2503366.7600000002</v>
      </c>
      <c r="P11" s="593">
        <v>7023723.4399999995</v>
      </c>
      <c r="Q11" s="593">
        <v>10683838.34</v>
      </c>
      <c r="R11" s="593">
        <v>43651635.979999997</v>
      </c>
      <c r="S11" s="593">
        <v>5664392.3800000008</v>
      </c>
      <c r="T11" s="593">
        <v>20911679.119999994</v>
      </c>
    </row>
    <row r="12" spans="1:21">
      <c r="A12" s="469" t="s">
        <v>795</v>
      </c>
      <c r="B12" s="469" t="s">
        <v>796</v>
      </c>
      <c r="C12" s="604">
        <v>102817486.78999998</v>
      </c>
      <c r="D12" s="593">
        <v>40260923.780000001</v>
      </c>
      <c r="E12" s="593">
        <v>0</v>
      </c>
      <c r="F12" s="593">
        <v>0</v>
      </c>
      <c r="G12" s="593">
        <v>686685.72</v>
      </c>
      <c r="H12" s="593">
        <v>0</v>
      </c>
      <c r="I12" s="593">
        <v>0</v>
      </c>
      <c r="J12" s="593">
        <v>0</v>
      </c>
      <c r="K12" s="593">
        <v>0</v>
      </c>
      <c r="L12" s="593">
        <v>61869877.290000014</v>
      </c>
      <c r="M12" s="593">
        <v>7303170.5199999996</v>
      </c>
      <c r="N12" s="593">
        <v>0</v>
      </c>
      <c r="O12" s="593">
        <v>0</v>
      </c>
      <c r="P12" s="593">
        <v>0</v>
      </c>
      <c r="Q12" s="593">
        <v>0</v>
      </c>
      <c r="R12" s="593">
        <v>15897054.26</v>
      </c>
      <c r="S12" s="593">
        <v>0</v>
      </c>
      <c r="T12" s="593">
        <v>0</v>
      </c>
    </row>
    <row r="13" spans="1:21">
      <c r="A13" s="469" t="s">
        <v>797</v>
      </c>
      <c r="B13" s="469" t="s">
        <v>798</v>
      </c>
      <c r="C13" s="604">
        <v>57166655.630000018</v>
      </c>
      <c r="D13" s="593">
        <v>27729681.509999998</v>
      </c>
      <c r="E13" s="593">
        <v>0</v>
      </c>
      <c r="F13" s="593">
        <v>0</v>
      </c>
      <c r="G13" s="593">
        <v>155789.62000000002</v>
      </c>
      <c r="H13" s="593">
        <v>0</v>
      </c>
      <c r="I13" s="593">
        <v>154920.20000000001</v>
      </c>
      <c r="J13" s="593">
        <v>0</v>
      </c>
      <c r="K13" s="593">
        <v>0</v>
      </c>
      <c r="L13" s="593">
        <v>29281184.499999996</v>
      </c>
      <c r="M13" s="593">
        <v>0</v>
      </c>
      <c r="N13" s="593">
        <v>0</v>
      </c>
      <c r="O13" s="593">
        <v>0</v>
      </c>
      <c r="P13" s="593">
        <v>0</v>
      </c>
      <c r="Q13" s="593">
        <v>503892.37</v>
      </c>
      <c r="R13" s="593">
        <v>1116468</v>
      </c>
      <c r="S13" s="593">
        <v>2214526.7499999995</v>
      </c>
      <c r="T13" s="593">
        <v>2934701.8899999997</v>
      </c>
    </row>
    <row r="14" spans="1:21">
      <c r="A14" s="469" t="s">
        <v>799</v>
      </c>
      <c r="B14" s="469" t="s">
        <v>800</v>
      </c>
      <c r="C14" s="604">
        <v>179679149.94589999</v>
      </c>
      <c r="D14" s="593">
        <v>69138015.515900031</v>
      </c>
      <c r="E14" s="593">
        <v>710197.7</v>
      </c>
      <c r="F14" s="593">
        <v>0</v>
      </c>
      <c r="G14" s="593">
        <v>15028.56</v>
      </c>
      <c r="H14" s="593">
        <v>0</v>
      </c>
      <c r="I14" s="593">
        <v>0</v>
      </c>
      <c r="J14" s="593">
        <v>0</v>
      </c>
      <c r="K14" s="593">
        <v>0</v>
      </c>
      <c r="L14" s="593">
        <v>110526105.87000002</v>
      </c>
      <c r="M14" s="593">
        <v>19371996.210000001</v>
      </c>
      <c r="N14" s="593">
        <v>105777.87</v>
      </c>
      <c r="O14" s="593">
        <v>0</v>
      </c>
      <c r="P14" s="593">
        <v>10180427.859999999</v>
      </c>
      <c r="Q14" s="593">
        <v>24497328.100000001</v>
      </c>
      <c r="R14" s="593">
        <v>23590899.259999998</v>
      </c>
      <c r="S14" s="593">
        <v>6030329.6399999997</v>
      </c>
      <c r="T14" s="593">
        <v>1266064.6000000001</v>
      </c>
    </row>
    <row r="15" spans="1:21">
      <c r="A15" s="470">
        <v>1.2</v>
      </c>
      <c r="B15" s="470" t="s">
        <v>801</v>
      </c>
      <c r="C15" s="600">
        <v>161196365.69343206</v>
      </c>
      <c r="D15" s="593">
        <v>10836722.570379993</v>
      </c>
      <c r="E15" s="593">
        <v>36802.754323999994</v>
      </c>
      <c r="F15" s="593">
        <v>0</v>
      </c>
      <c r="G15" s="593">
        <v>5859145.9398229998</v>
      </c>
      <c r="H15" s="593">
        <v>357259.631154</v>
      </c>
      <c r="I15" s="593">
        <v>633742.80532400007</v>
      </c>
      <c r="J15" s="593">
        <v>327125.09831000003</v>
      </c>
      <c r="K15" s="593">
        <v>0</v>
      </c>
      <c r="L15" s="593">
        <v>144500497.18322918</v>
      </c>
      <c r="M15" s="593">
        <v>11958585.144929001</v>
      </c>
      <c r="N15" s="593">
        <v>31733.361000000001</v>
      </c>
      <c r="O15" s="593">
        <v>751010.0287749999</v>
      </c>
      <c r="P15" s="593">
        <v>9759950.7867109962</v>
      </c>
      <c r="Q15" s="593">
        <v>15082278.499768</v>
      </c>
      <c r="R15" s="593">
        <v>43718674.870626017</v>
      </c>
      <c r="S15" s="593">
        <v>7526619.6500409991</v>
      </c>
      <c r="T15" s="593">
        <v>12455657.977437001</v>
      </c>
    </row>
    <row r="16" spans="1:21">
      <c r="A16" s="466">
        <v>1.3</v>
      </c>
      <c r="B16" s="470" t="s">
        <v>802</v>
      </c>
      <c r="C16" s="605"/>
      <c r="D16" s="605"/>
      <c r="E16" s="605"/>
      <c r="F16" s="605"/>
      <c r="G16" s="605"/>
      <c r="H16" s="605"/>
      <c r="I16" s="605"/>
      <c r="J16" s="605"/>
      <c r="K16" s="605"/>
      <c r="L16" s="605"/>
      <c r="M16" s="605"/>
      <c r="N16" s="605"/>
      <c r="O16" s="605"/>
      <c r="P16" s="605"/>
      <c r="Q16" s="605"/>
      <c r="R16" s="605"/>
      <c r="S16" s="605"/>
      <c r="T16" s="605"/>
    </row>
    <row r="17" spans="1:20" ht="25.5">
      <c r="A17" s="471" t="s">
        <v>803</v>
      </c>
      <c r="B17" s="472" t="s">
        <v>804</v>
      </c>
      <c r="C17" s="606">
        <v>848791753.30437624</v>
      </c>
      <c r="D17" s="593">
        <v>494870300.29630774</v>
      </c>
      <c r="E17" s="593">
        <v>1657350.6247606927</v>
      </c>
      <c r="F17" s="593">
        <v>0</v>
      </c>
      <c r="G17" s="593">
        <v>58591459.38000001</v>
      </c>
      <c r="H17" s="593">
        <v>3572596.31</v>
      </c>
      <c r="I17" s="593">
        <v>6337428.0499999998</v>
      </c>
      <c r="J17" s="593">
        <v>3271250.9800000004</v>
      </c>
      <c r="K17" s="593">
        <v>0</v>
      </c>
      <c r="L17" s="593">
        <v>295329993.62806904</v>
      </c>
      <c r="M17" s="593">
        <v>27361894.281643741</v>
      </c>
      <c r="N17" s="593">
        <v>64682.375793873965</v>
      </c>
      <c r="O17" s="593">
        <v>2503366.7600000002</v>
      </c>
      <c r="P17" s="593">
        <v>15598376.917890269</v>
      </c>
      <c r="Q17" s="593">
        <v>29972449.815796696</v>
      </c>
      <c r="R17" s="593">
        <v>81747176.103991613</v>
      </c>
      <c r="S17" s="593">
        <v>7927539.6910130009</v>
      </c>
      <c r="T17" s="593">
        <v>24699518.399999991</v>
      </c>
    </row>
    <row r="18" spans="1:20" ht="25.5">
      <c r="A18" s="473" t="s">
        <v>805</v>
      </c>
      <c r="B18" s="473" t="s">
        <v>806</v>
      </c>
      <c r="C18" s="607">
        <v>748599909.95664668</v>
      </c>
      <c r="D18" s="593">
        <v>422772118.66854852</v>
      </c>
      <c r="E18" s="593">
        <v>1307117.3209493307</v>
      </c>
      <c r="F18" s="593">
        <v>0</v>
      </c>
      <c r="G18" s="593">
        <v>58584441.470000014</v>
      </c>
      <c r="H18" s="593">
        <v>3572596.31</v>
      </c>
      <c r="I18" s="593">
        <v>6337428.0499999998</v>
      </c>
      <c r="J18" s="593">
        <v>3271250.9800000004</v>
      </c>
      <c r="K18" s="593">
        <v>0</v>
      </c>
      <c r="L18" s="593">
        <v>267243349.81809819</v>
      </c>
      <c r="M18" s="593">
        <v>25496586.184829846</v>
      </c>
      <c r="N18" s="593">
        <v>64682.375793873965</v>
      </c>
      <c r="O18" s="593">
        <v>2503366.7600000002</v>
      </c>
      <c r="P18" s="593">
        <v>10882003.242745519</v>
      </c>
      <c r="Q18" s="593">
        <v>26766480.777523994</v>
      </c>
      <c r="R18" s="593">
        <v>69906601.9991007</v>
      </c>
      <c r="S18" s="593">
        <v>7878919.1610130006</v>
      </c>
      <c r="T18" s="593">
        <v>24277461.70999999</v>
      </c>
    </row>
    <row r="19" spans="1:20">
      <c r="A19" s="471" t="s">
        <v>807</v>
      </c>
      <c r="B19" s="471" t="s">
        <v>808</v>
      </c>
      <c r="C19" s="608">
        <v>1204540860.7773435</v>
      </c>
      <c r="D19" s="593">
        <v>878277825.82491946</v>
      </c>
      <c r="E19" s="593">
        <v>1562438.0267321074</v>
      </c>
      <c r="F19" s="593">
        <v>0</v>
      </c>
      <c r="G19" s="593">
        <v>99395980.431469038</v>
      </c>
      <c r="H19" s="593">
        <v>3087375.1724033002</v>
      </c>
      <c r="I19" s="593">
        <v>4640404.6317293579</v>
      </c>
      <c r="J19" s="593">
        <v>5580807.4280000003</v>
      </c>
      <c r="K19" s="593">
        <v>0</v>
      </c>
      <c r="L19" s="593">
        <v>226867054.52095124</v>
      </c>
      <c r="M19" s="593">
        <v>19990911.421150096</v>
      </c>
      <c r="N19" s="593">
        <v>31600.765461118142</v>
      </c>
      <c r="O19" s="593">
        <v>4346958.0096966177</v>
      </c>
      <c r="P19" s="593">
        <v>9694563.2429387625</v>
      </c>
      <c r="Q19" s="593">
        <v>17462943.538669378</v>
      </c>
      <c r="R19" s="593">
        <v>65264844.428136505</v>
      </c>
      <c r="S19" s="593">
        <v>9361056.1561686713</v>
      </c>
      <c r="T19" s="593">
        <v>29429337.983673435</v>
      </c>
    </row>
    <row r="20" spans="1:20">
      <c r="A20" s="473" t="s">
        <v>809</v>
      </c>
      <c r="B20" s="473" t="s">
        <v>810</v>
      </c>
      <c r="C20" s="607">
        <v>800182702.11183298</v>
      </c>
      <c r="D20" s="593">
        <v>533300761.3181231</v>
      </c>
      <c r="E20" s="593">
        <v>1166009.6452957462</v>
      </c>
      <c r="F20" s="593">
        <v>0</v>
      </c>
      <c r="G20" s="593">
        <v>69640767.476867646</v>
      </c>
      <c r="H20" s="593">
        <v>1269865.2798880194</v>
      </c>
      <c r="I20" s="593">
        <v>796213.25352898357</v>
      </c>
      <c r="J20" s="593">
        <v>2445685.44</v>
      </c>
      <c r="K20" s="593">
        <v>0</v>
      </c>
      <c r="L20" s="593">
        <v>197241173.316843</v>
      </c>
      <c r="M20" s="593">
        <v>18301668.250857525</v>
      </c>
      <c r="N20" s="593">
        <v>30096.454657197042</v>
      </c>
      <c r="O20" s="593">
        <v>4073666.1620765384</v>
      </c>
      <c r="P20" s="593">
        <v>7480153.0480368063</v>
      </c>
      <c r="Q20" s="593">
        <v>16750361.026222723</v>
      </c>
      <c r="R20" s="593">
        <v>54655805.113322191</v>
      </c>
      <c r="S20" s="593">
        <v>8953491.7316116877</v>
      </c>
      <c r="T20" s="593">
        <v>27248071.564910851</v>
      </c>
    </row>
    <row r="21" spans="1:20">
      <c r="A21" s="474">
        <v>1.4</v>
      </c>
      <c r="B21" s="490" t="s">
        <v>942</v>
      </c>
      <c r="C21" s="609">
        <v>11460395.299288001</v>
      </c>
      <c r="D21" s="593">
        <v>6308467.1949999994</v>
      </c>
      <c r="E21" s="593">
        <v>0</v>
      </c>
      <c r="F21" s="593">
        <v>0</v>
      </c>
      <c r="G21" s="593">
        <v>1558844.1786880002</v>
      </c>
      <c r="H21" s="593">
        <v>0</v>
      </c>
      <c r="I21" s="593">
        <v>0</v>
      </c>
      <c r="J21" s="593">
        <v>403681.54999999993</v>
      </c>
      <c r="K21" s="593">
        <v>0</v>
      </c>
      <c r="L21" s="593">
        <v>3593083.9256000002</v>
      </c>
      <c r="M21" s="593">
        <v>0</v>
      </c>
      <c r="N21" s="593">
        <v>0</v>
      </c>
      <c r="O21" s="593">
        <v>0</v>
      </c>
      <c r="P21" s="593">
        <v>0</v>
      </c>
      <c r="Q21" s="593">
        <v>0</v>
      </c>
      <c r="R21" s="593">
        <v>982141.39309999999</v>
      </c>
      <c r="S21" s="593">
        <v>2478639.9175</v>
      </c>
      <c r="T21" s="593">
        <v>0</v>
      </c>
    </row>
    <row r="22" spans="1:20">
      <c r="A22" s="474">
        <v>1.5</v>
      </c>
      <c r="B22" s="490" t="s">
        <v>943</v>
      </c>
      <c r="C22" s="609">
        <v>0</v>
      </c>
      <c r="D22" s="593">
        <v>0</v>
      </c>
      <c r="E22" s="593">
        <v>0</v>
      </c>
      <c r="F22" s="593">
        <v>0</v>
      </c>
      <c r="G22" s="593">
        <v>0</v>
      </c>
      <c r="H22" s="593">
        <v>0</v>
      </c>
      <c r="I22" s="593">
        <v>0</v>
      </c>
      <c r="J22" s="593">
        <v>0</v>
      </c>
      <c r="K22" s="593">
        <v>0</v>
      </c>
      <c r="L22" s="593">
        <v>0</v>
      </c>
      <c r="M22" s="593">
        <v>0</v>
      </c>
      <c r="N22" s="593">
        <v>0</v>
      </c>
      <c r="O22" s="593">
        <v>0</v>
      </c>
      <c r="P22" s="593">
        <v>0</v>
      </c>
      <c r="Q22" s="593">
        <v>0</v>
      </c>
      <c r="R22" s="593">
        <v>0</v>
      </c>
      <c r="S22" s="593">
        <v>0</v>
      </c>
      <c r="T22" s="593">
        <v>0</v>
      </c>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Normal="100" workbookViewId="0"/>
  </sheetViews>
  <sheetFormatPr defaultColWidth="9.28515625" defaultRowHeight="12.75"/>
  <cols>
    <col min="1" max="1" width="11.7109375" style="430" bestFit="1" customWidth="1"/>
    <col min="2" max="2" width="93.42578125" style="430" customWidth="1"/>
    <col min="3" max="3" width="14.7109375" style="430" customWidth="1"/>
    <col min="4" max="4" width="14.85546875" style="430" bestFit="1" customWidth="1"/>
    <col min="5" max="5" width="13.85546875" style="430" bestFit="1" customWidth="1"/>
    <col min="6" max="6" width="17.85546875" style="460" bestFit="1" customWidth="1"/>
    <col min="7" max="7" width="13.42578125" style="460" bestFit="1" customWidth="1"/>
    <col min="8" max="8" width="13" style="430" bestFit="1" customWidth="1"/>
    <col min="9" max="9" width="10.7109375" style="430" bestFit="1" customWidth="1"/>
    <col min="10" max="10" width="14.85546875" style="460" bestFit="1" customWidth="1"/>
    <col min="11" max="11" width="13.85546875" style="460" bestFit="1" customWidth="1"/>
    <col min="12" max="12" width="17.85546875" style="460" bestFit="1" customWidth="1"/>
    <col min="13" max="13" width="13.42578125" style="460" bestFit="1" customWidth="1"/>
    <col min="14" max="14" width="13" style="460" bestFit="1" customWidth="1"/>
    <col min="15" max="15" width="18.85546875" style="430" bestFit="1" customWidth="1"/>
    <col min="16" max="16384" width="9.28515625" style="430"/>
  </cols>
  <sheetData>
    <row r="1" spans="1:15">
      <c r="A1" s="429" t="s">
        <v>188</v>
      </c>
      <c r="B1" s="596" t="str">
        <f>'1. key ratios'!B1</f>
        <v>სს "ბანკი ქართუ"</v>
      </c>
      <c r="F1" s="430"/>
      <c r="G1" s="430"/>
      <c r="J1" s="430"/>
      <c r="K1" s="430"/>
      <c r="L1" s="430"/>
      <c r="M1" s="430"/>
      <c r="N1" s="430"/>
    </row>
    <row r="2" spans="1:15">
      <c r="A2" s="429" t="s">
        <v>189</v>
      </c>
      <c r="B2" s="432">
        <f>'1. key ratios'!B2</f>
        <v>44651</v>
      </c>
      <c r="F2" s="430"/>
      <c r="G2" s="430"/>
      <c r="J2" s="430"/>
      <c r="K2" s="430"/>
      <c r="L2" s="430"/>
      <c r="M2" s="430"/>
      <c r="N2" s="430"/>
    </row>
    <row r="3" spans="1:15">
      <c r="A3" s="431" t="s">
        <v>813</v>
      </c>
      <c r="B3" s="432"/>
      <c r="F3" s="430"/>
      <c r="G3" s="430"/>
      <c r="J3" s="430"/>
      <c r="K3" s="430"/>
      <c r="L3" s="430"/>
      <c r="M3" s="430"/>
      <c r="N3" s="430"/>
    </row>
    <row r="4" spans="1:15">
      <c r="F4" s="430"/>
      <c r="G4" s="430"/>
      <c r="J4" s="430"/>
      <c r="K4" s="430"/>
      <c r="L4" s="430"/>
      <c r="M4" s="430"/>
      <c r="N4" s="430"/>
    </row>
    <row r="5" spans="1:15" ht="37.5" customHeight="1">
      <c r="A5" s="731" t="s">
        <v>814</v>
      </c>
      <c r="B5" s="732"/>
      <c r="C5" s="776" t="s">
        <v>815</v>
      </c>
      <c r="D5" s="777"/>
      <c r="E5" s="777"/>
      <c r="F5" s="777"/>
      <c r="G5" s="777"/>
      <c r="H5" s="778"/>
      <c r="I5" s="776" t="s">
        <v>816</v>
      </c>
      <c r="J5" s="779"/>
      <c r="K5" s="779"/>
      <c r="L5" s="779"/>
      <c r="M5" s="779"/>
      <c r="N5" s="780"/>
      <c r="O5" s="781" t="s">
        <v>686</v>
      </c>
    </row>
    <row r="6" spans="1:15" ht="39.4" customHeight="1">
      <c r="A6" s="735"/>
      <c r="B6" s="736"/>
      <c r="C6" s="475"/>
      <c r="D6" s="476" t="s">
        <v>817</v>
      </c>
      <c r="E6" s="476" t="s">
        <v>818</v>
      </c>
      <c r="F6" s="476" t="s">
        <v>819</v>
      </c>
      <c r="G6" s="476" t="s">
        <v>820</v>
      </c>
      <c r="H6" s="476" t="s">
        <v>821</v>
      </c>
      <c r="I6" s="463"/>
      <c r="J6" s="476" t="s">
        <v>817</v>
      </c>
      <c r="K6" s="476" t="s">
        <v>818</v>
      </c>
      <c r="L6" s="476" t="s">
        <v>819</v>
      </c>
      <c r="M6" s="476" t="s">
        <v>820</v>
      </c>
      <c r="N6" s="476" t="s">
        <v>821</v>
      </c>
      <c r="O6" s="782"/>
    </row>
    <row r="7" spans="1:15">
      <c r="A7" s="444">
        <v>1</v>
      </c>
      <c r="B7" s="450" t="s">
        <v>696</v>
      </c>
      <c r="C7" s="610">
        <v>10289892.59</v>
      </c>
      <c r="D7" s="593">
        <v>9942417.3899999969</v>
      </c>
      <c r="E7" s="593">
        <v>18276.349999999999</v>
      </c>
      <c r="F7" s="611">
        <v>328355.04000000004</v>
      </c>
      <c r="G7" s="611">
        <v>0</v>
      </c>
      <c r="H7" s="593">
        <v>843.81</v>
      </c>
      <c r="I7" s="593">
        <v>300026.30439599999</v>
      </c>
      <c r="J7" s="611">
        <v>198848.34772299998</v>
      </c>
      <c r="K7" s="611">
        <v>1827.6350000000002</v>
      </c>
      <c r="L7" s="611">
        <v>98506.511672999986</v>
      </c>
      <c r="M7" s="611">
        <v>0</v>
      </c>
      <c r="N7" s="611">
        <v>843.81</v>
      </c>
      <c r="O7" s="593">
        <v>0</v>
      </c>
    </row>
    <row r="8" spans="1:15">
      <c r="A8" s="444">
        <v>2</v>
      </c>
      <c r="B8" s="450" t="s">
        <v>697</v>
      </c>
      <c r="C8" s="610">
        <v>8819968.1750999968</v>
      </c>
      <c r="D8" s="593">
        <v>8360732.2650999986</v>
      </c>
      <c r="E8" s="593">
        <v>125994.04</v>
      </c>
      <c r="F8" s="611">
        <v>333241.87</v>
      </c>
      <c r="G8" s="611">
        <v>0</v>
      </c>
      <c r="H8" s="593">
        <v>0</v>
      </c>
      <c r="I8" s="593">
        <v>279740.50386299996</v>
      </c>
      <c r="J8" s="611">
        <v>167168.53819400008</v>
      </c>
      <c r="K8" s="611">
        <v>12599.403566000001</v>
      </c>
      <c r="L8" s="611">
        <v>99972.562102999989</v>
      </c>
      <c r="M8" s="611">
        <v>0</v>
      </c>
      <c r="N8" s="611">
        <v>0</v>
      </c>
      <c r="O8" s="593">
        <v>0</v>
      </c>
    </row>
    <row r="9" spans="1:15">
      <c r="A9" s="444">
        <v>3</v>
      </c>
      <c r="B9" s="450" t="s">
        <v>698</v>
      </c>
      <c r="C9" s="610">
        <v>0</v>
      </c>
      <c r="D9" s="593">
        <v>0</v>
      </c>
      <c r="E9" s="593">
        <v>0</v>
      </c>
      <c r="F9" s="612">
        <v>0</v>
      </c>
      <c r="G9" s="612">
        <v>0</v>
      </c>
      <c r="H9" s="593">
        <v>0</v>
      </c>
      <c r="I9" s="593">
        <v>0</v>
      </c>
      <c r="J9" s="612">
        <v>0</v>
      </c>
      <c r="K9" s="612">
        <v>0</v>
      </c>
      <c r="L9" s="612">
        <v>0</v>
      </c>
      <c r="M9" s="612">
        <v>0</v>
      </c>
      <c r="N9" s="612">
        <v>0</v>
      </c>
      <c r="O9" s="593">
        <v>0</v>
      </c>
    </row>
    <row r="10" spans="1:15">
      <c r="A10" s="444">
        <v>4</v>
      </c>
      <c r="B10" s="450" t="s">
        <v>699</v>
      </c>
      <c r="C10" s="610">
        <v>83616756.980000019</v>
      </c>
      <c r="D10" s="593">
        <v>38030620.400000021</v>
      </c>
      <c r="E10" s="593">
        <v>1225702.24</v>
      </c>
      <c r="F10" s="612">
        <v>25003674.879999995</v>
      </c>
      <c r="G10" s="612">
        <v>19356759.459999997</v>
      </c>
      <c r="H10" s="593">
        <v>0</v>
      </c>
      <c r="I10" s="593">
        <v>17957700.289733004</v>
      </c>
      <c r="J10" s="612">
        <v>760612.40820499999</v>
      </c>
      <c r="K10" s="612">
        <v>122570.224</v>
      </c>
      <c r="L10" s="612">
        <v>7501102.464373</v>
      </c>
      <c r="M10" s="612">
        <v>9573415.193155</v>
      </c>
      <c r="N10" s="612">
        <v>0</v>
      </c>
      <c r="O10" s="593">
        <v>0</v>
      </c>
    </row>
    <row r="11" spans="1:15">
      <c r="A11" s="444">
        <v>5</v>
      </c>
      <c r="B11" s="450" t="s">
        <v>700</v>
      </c>
      <c r="C11" s="610">
        <v>81870325.874999985</v>
      </c>
      <c r="D11" s="593">
        <v>49981302.829999998</v>
      </c>
      <c r="E11" s="593">
        <v>2538766.46</v>
      </c>
      <c r="F11" s="612">
        <v>14891702.68</v>
      </c>
      <c r="G11" s="612">
        <v>34465.120000000003</v>
      </c>
      <c r="H11" s="593">
        <v>14424088.784999998</v>
      </c>
      <c r="I11" s="593">
        <v>14409245.99712</v>
      </c>
      <c r="J11" s="612">
        <v>999626.05668799998</v>
      </c>
      <c r="K11" s="612">
        <v>253876.64507199998</v>
      </c>
      <c r="L11" s="612">
        <v>4467510.8025699994</v>
      </c>
      <c r="M11" s="612">
        <v>17232.560000000001</v>
      </c>
      <c r="N11" s="612">
        <v>8670999.9327900019</v>
      </c>
      <c r="O11" s="593">
        <v>0</v>
      </c>
    </row>
    <row r="12" spans="1:15">
      <c r="A12" s="444">
        <v>6</v>
      </c>
      <c r="B12" s="450" t="s">
        <v>701</v>
      </c>
      <c r="C12" s="610">
        <v>64055145.340000004</v>
      </c>
      <c r="D12" s="593">
        <v>57086375.530000001</v>
      </c>
      <c r="E12" s="593">
        <v>0</v>
      </c>
      <c r="F12" s="612">
        <v>2710318.55</v>
      </c>
      <c r="G12" s="612">
        <v>0</v>
      </c>
      <c r="H12" s="593">
        <v>4258451.26</v>
      </c>
      <c r="I12" s="593">
        <v>5106077.0036980007</v>
      </c>
      <c r="J12" s="612">
        <v>1141727.510701</v>
      </c>
      <c r="K12" s="612">
        <v>0</v>
      </c>
      <c r="L12" s="612">
        <v>813095.56522999995</v>
      </c>
      <c r="M12" s="612">
        <v>0</v>
      </c>
      <c r="N12" s="612">
        <v>3151253.9277670002</v>
      </c>
      <c r="O12" s="593">
        <v>0</v>
      </c>
    </row>
    <row r="13" spans="1:15">
      <c r="A13" s="444">
        <v>7</v>
      </c>
      <c r="B13" s="450" t="s">
        <v>702</v>
      </c>
      <c r="C13" s="610">
        <v>13306451.499999996</v>
      </c>
      <c r="D13" s="593">
        <v>4392566.3500000006</v>
      </c>
      <c r="E13" s="593">
        <v>2322517.58</v>
      </c>
      <c r="F13" s="612">
        <v>740075.20000000007</v>
      </c>
      <c r="G13" s="612">
        <v>5851292.370000002</v>
      </c>
      <c r="H13" s="593">
        <v>0</v>
      </c>
      <c r="I13" s="593">
        <v>2952848.9620160004</v>
      </c>
      <c r="J13" s="612">
        <v>87851.326937000005</v>
      </c>
      <c r="K13" s="612">
        <v>232251.758</v>
      </c>
      <c r="L13" s="612">
        <v>222022.56141700002</v>
      </c>
      <c r="M13" s="612">
        <v>2410723.3156619999</v>
      </c>
      <c r="N13" s="612">
        <v>0</v>
      </c>
      <c r="O13" s="593">
        <v>0</v>
      </c>
    </row>
    <row r="14" spans="1:15">
      <c r="A14" s="444">
        <v>8</v>
      </c>
      <c r="B14" s="450" t="s">
        <v>703</v>
      </c>
      <c r="C14" s="610">
        <v>41129939.112199999</v>
      </c>
      <c r="D14" s="593">
        <v>7413796.5500000007</v>
      </c>
      <c r="E14" s="593">
        <v>0</v>
      </c>
      <c r="F14" s="612">
        <v>9901263.0800000001</v>
      </c>
      <c r="G14" s="612">
        <v>9303900</v>
      </c>
      <c r="H14" s="593">
        <v>14510979.4822</v>
      </c>
      <c r="I14" s="593">
        <v>16477192.540675992</v>
      </c>
      <c r="J14" s="612">
        <v>148275.93119900001</v>
      </c>
      <c r="K14" s="612">
        <v>0</v>
      </c>
      <c r="L14" s="612">
        <v>2970378.9213279998</v>
      </c>
      <c r="M14" s="612">
        <v>4651950</v>
      </c>
      <c r="N14" s="612">
        <v>8706587.6881489996</v>
      </c>
      <c r="O14" s="593">
        <v>0</v>
      </c>
    </row>
    <row r="15" spans="1:15">
      <c r="A15" s="444">
        <v>9</v>
      </c>
      <c r="B15" s="450" t="s">
        <v>704</v>
      </c>
      <c r="C15" s="610">
        <v>150861045.33999997</v>
      </c>
      <c r="D15" s="593">
        <v>75116215.599999994</v>
      </c>
      <c r="E15" s="593">
        <v>11301384.98</v>
      </c>
      <c r="F15" s="612">
        <v>8475831.0100000016</v>
      </c>
      <c r="G15" s="612">
        <v>39697881.789999999</v>
      </c>
      <c r="H15" s="593">
        <v>16269731.959999997</v>
      </c>
      <c r="I15" s="593">
        <v>36345006.341761991</v>
      </c>
      <c r="J15" s="612">
        <v>1502324.3121120012</v>
      </c>
      <c r="K15" s="612">
        <v>1130138.4983960001</v>
      </c>
      <c r="L15" s="612">
        <v>2542749.30223</v>
      </c>
      <c r="M15" s="612">
        <v>18984027.102944002</v>
      </c>
      <c r="N15" s="612">
        <v>12185767.126079999</v>
      </c>
      <c r="O15" s="593">
        <v>0</v>
      </c>
    </row>
    <row r="16" spans="1:15">
      <c r="A16" s="444">
        <v>10</v>
      </c>
      <c r="B16" s="450" t="s">
        <v>705</v>
      </c>
      <c r="C16" s="610">
        <v>1559159.3300000003</v>
      </c>
      <c r="D16" s="593">
        <v>1508431.82</v>
      </c>
      <c r="E16" s="593">
        <v>0</v>
      </c>
      <c r="F16" s="612">
        <v>50727.51</v>
      </c>
      <c r="G16" s="612">
        <v>0</v>
      </c>
      <c r="H16" s="593">
        <v>0</v>
      </c>
      <c r="I16" s="593">
        <v>45386.885858999987</v>
      </c>
      <c r="J16" s="612">
        <v>30168.636188</v>
      </c>
      <c r="K16" s="612">
        <v>0</v>
      </c>
      <c r="L16" s="612">
        <v>15218.249670999998</v>
      </c>
      <c r="M16" s="612">
        <v>0</v>
      </c>
      <c r="N16" s="612">
        <v>0</v>
      </c>
      <c r="O16" s="593">
        <v>0</v>
      </c>
    </row>
    <row r="17" spans="1:15">
      <c r="A17" s="444">
        <v>11</v>
      </c>
      <c r="B17" s="450" t="s">
        <v>706</v>
      </c>
      <c r="C17" s="610">
        <v>494341.03</v>
      </c>
      <c r="D17" s="593">
        <v>494341.03</v>
      </c>
      <c r="E17" s="593">
        <v>0</v>
      </c>
      <c r="F17" s="612">
        <v>0</v>
      </c>
      <c r="G17" s="612">
        <v>0</v>
      </c>
      <c r="H17" s="593">
        <v>0</v>
      </c>
      <c r="I17" s="593">
        <v>9886.8205799999996</v>
      </c>
      <c r="J17" s="612">
        <v>9886.8205799999996</v>
      </c>
      <c r="K17" s="612">
        <v>0</v>
      </c>
      <c r="L17" s="612">
        <v>0</v>
      </c>
      <c r="M17" s="612">
        <v>0</v>
      </c>
      <c r="N17" s="612">
        <v>0</v>
      </c>
      <c r="O17" s="593">
        <v>0</v>
      </c>
    </row>
    <row r="18" spans="1:15">
      <c r="A18" s="444">
        <v>12</v>
      </c>
      <c r="B18" s="450" t="s">
        <v>707</v>
      </c>
      <c r="C18" s="610">
        <v>30548918.297499996</v>
      </c>
      <c r="D18" s="593">
        <v>7177272.7274999991</v>
      </c>
      <c r="E18" s="593">
        <v>0</v>
      </c>
      <c r="F18" s="612">
        <v>22778568.030000001</v>
      </c>
      <c r="G18" s="612">
        <v>593077.54</v>
      </c>
      <c r="H18" s="593">
        <v>0</v>
      </c>
      <c r="I18" s="593">
        <v>7273654.636930001</v>
      </c>
      <c r="J18" s="612">
        <v>143545.45448299998</v>
      </c>
      <c r="K18" s="612">
        <v>0</v>
      </c>
      <c r="L18" s="612">
        <v>6833570.412606</v>
      </c>
      <c r="M18" s="612">
        <v>296538.76984099997</v>
      </c>
      <c r="N18" s="612">
        <v>0</v>
      </c>
      <c r="O18" s="593">
        <v>0</v>
      </c>
    </row>
    <row r="19" spans="1:15">
      <c r="A19" s="444">
        <v>13</v>
      </c>
      <c r="B19" s="450" t="s">
        <v>708</v>
      </c>
      <c r="C19" s="610">
        <v>33082123.580000009</v>
      </c>
      <c r="D19" s="593">
        <v>27794140.260000005</v>
      </c>
      <c r="E19" s="593">
        <v>0</v>
      </c>
      <c r="F19" s="612">
        <v>4021918.72</v>
      </c>
      <c r="G19" s="612">
        <v>0</v>
      </c>
      <c r="H19" s="593">
        <v>1266064.6000000001</v>
      </c>
      <c r="I19" s="593">
        <v>2521131.4859079998</v>
      </c>
      <c r="J19" s="612">
        <v>554917.107647</v>
      </c>
      <c r="K19" s="612">
        <v>0</v>
      </c>
      <c r="L19" s="612">
        <v>1206575.617204</v>
      </c>
      <c r="M19" s="612">
        <v>0</v>
      </c>
      <c r="N19" s="612">
        <v>759638.76105700003</v>
      </c>
      <c r="O19" s="593">
        <v>0</v>
      </c>
    </row>
    <row r="20" spans="1:15">
      <c r="A20" s="444">
        <v>14</v>
      </c>
      <c r="B20" s="450" t="s">
        <v>709</v>
      </c>
      <c r="C20" s="610">
        <v>63911780.229999997</v>
      </c>
      <c r="D20" s="593">
        <v>23444661.600000013</v>
      </c>
      <c r="E20" s="593">
        <v>3777522.0999999996</v>
      </c>
      <c r="F20" s="612">
        <v>13264408.440000001</v>
      </c>
      <c r="G20" s="612">
        <v>22184427.929999996</v>
      </c>
      <c r="H20" s="593">
        <v>1240760.1599999999</v>
      </c>
      <c r="I20" s="593">
        <v>16200371.720372001</v>
      </c>
      <c r="J20" s="612">
        <v>468893.23219200008</v>
      </c>
      <c r="K20" s="612">
        <v>377752.20990800002</v>
      </c>
      <c r="L20" s="612">
        <v>3979322.5248569991</v>
      </c>
      <c r="M20" s="612">
        <v>10629947.654611999</v>
      </c>
      <c r="N20" s="612">
        <v>744456.09880299994</v>
      </c>
      <c r="O20" s="593">
        <v>0</v>
      </c>
    </row>
    <row r="21" spans="1:15">
      <c r="A21" s="444">
        <v>15</v>
      </c>
      <c r="B21" s="450" t="s">
        <v>710</v>
      </c>
      <c r="C21" s="610">
        <v>756915.3899999999</v>
      </c>
      <c r="D21" s="593">
        <v>39247.660000000003</v>
      </c>
      <c r="E21" s="593">
        <v>0</v>
      </c>
      <c r="F21" s="612">
        <v>717667.73</v>
      </c>
      <c r="G21" s="612">
        <v>0</v>
      </c>
      <c r="H21" s="593">
        <v>0</v>
      </c>
      <c r="I21" s="593">
        <v>216085.27360400002</v>
      </c>
      <c r="J21" s="612">
        <v>784.95329600000002</v>
      </c>
      <c r="K21" s="612">
        <v>0</v>
      </c>
      <c r="L21" s="612">
        <v>215300.32030800002</v>
      </c>
      <c r="M21" s="612">
        <v>0</v>
      </c>
      <c r="N21" s="612">
        <v>0</v>
      </c>
      <c r="O21" s="593">
        <v>0</v>
      </c>
    </row>
    <row r="22" spans="1:15">
      <c r="A22" s="444">
        <v>16</v>
      </c>
      <c r="B22" s="450" t="s">
        <v>711</v>
      </c>
      <c r="C22" s="610">
        <v>49920320.519999996</v>
      </c>
      <c r="D22" s="593">
        <v>49847160.079999998</v>
      </c>
      <c r="E22" s="593">
        <v>0</v>
      </c>
      <c r="F22" s="612">
        <v>0</v>
      </c>
      <c r="G22" s="612">
        <v>73160.44</v>
      </c>
      <c r="H22" s="593">
        <v>0</v>
      </c>
      <c r="I22" s="593">
        <v>1033523.4227499999</v>
      </c>
      <c r="J22" s="612">
        <v>996943.20158699993</v>
      </c>
      <c r="K22" s="612">
        <v>0</v>
      </c>
      <c r="L22" s="612">
        <v>0</v>
      </c>
      <c r="M22" s="612">
        <v>36580.221163000002</v>
      </c>
      <c r="N22" s="612">
        <v>0</v>
      </c>
      <c r="O22" s="593">
        <v>0</v>
      </c>
    </row>
    <row r="23" spans="1:15">
      <c r="A23" s="444">
        <v>17</v>
      </c>
      <c r="B23" s="450" t="s">
        <v>712</v>
      </c>
      <c r="C23" s="610">
        <v>24691904.559999999</v>
      </c>
      <c r="D23" s="593">
        <v>15227830.570000002</v>
      </c>
      <c r="E23" s="593">
        <v>9326629.0299999993</v>
      </c>
      <c r="F23" s="612">
        <v>137444.96</v>
      </c>
      <c r="G23" s="612">
        <v>0</v>
      </c>
      <c r="H23" s="593">
        <v>0</v>
      </c>
      <c r="I23" s="593">
        <v>1278453.0039849998</v>
      </c>
      <c r="J23" s="612">
        <v>304556.61153500003</v>
      </c>
      <c r="K23" s="612">
        <v>932662.90323499998</v>
      </c>
      <c r="L23" s="612">
        <v>41233.489215000001</v>
      </c>
      <c r="M23" s="612">
        <v>0</v>
      </c>
      <c r="N23" s="612">
        <v>0</v>
      </c>
      <c r="O23" s="593">
        <v>0</v>
      </c>
    </row>
    <row r="24" spans="1:15">
      <c r="A24" s="444">
        <v>18</v>
      </c>
      <c r="B24" s="450" t="s">
        <v>713</v>
      </c>
      <c r="C24" s="610">
        <v>3619358.79</v>
      </c>
      <c r="D24" s="593">
        <v>998579.54999999993</v>
      </c>
      <c r="E24" s="593">
        <v>542908.24</v>
      </c>
      <c r="F24" s="612">
        <v>0</v>
      </c>
      <c r="G24" s="612">
        <v>0</v>
      </c>
      <c r="H24" s="593">
        <v>2077871</v>
      </c>
      <c r="I24" s="593">
        <v>1304949.9813780002</v>
      </c>
      <c r="J24" s="612">
        <v>3936.557002</v>
      </c>
      <c r="K24" s="612">
        <v>54290.824375999997</v>
      </c>
      <c r="L24" s="612">
        <v>0</v>
      </c>
      <c r="M24" s="612">
        <v>0</v>
      </c>
      <c r="N24" s="612">
        <v>1246722.6000000001</v>
      </c>
      <c r="O24" s="593">
        <v>0</v>
      </c>
    </row>
    <row r="25" spans="1:15">
      <c r="A25" s="444">
        <v>19</v>
      </c>
      <c r="B25" s="450" t="s">
        <v>714</v>
      </c>
      <c r="C25" s="610">
        <v>31712048.079999998</v>
      </c>
      <c r="D25" s="593">
        <v>1959711.7999999998</v>
      </c>
      <c r="E25" s="593">
        <v>0</v>
      </c>
      <c r="F25" s="612">
        <v>27041377.219999999</v>
      </c>
      <c r="G25" s="612">
        <v>2710959.06</v>
      </c>
      <c r="H25" s="593">
        <v>0</v>
      </c>
      <c r="I25" s="593">
        <v>9507086.9327639993</v>
      </c>
      <c r="J25" s="612">
        <v>39194.235959999998</v>
      </c>
      <c r="K25" s="612">
        <v>0</v>
      </c>
      <c r="L25" s="612">
        <v>8112413.1656759996</v>
      </c>
      <c r="M25" s="612">
        <v>1355479.531128</v>
      </c>
      <c r="N25" s="612">
        <v>0</v>
      </c>
      <c r="O25" s="593">
        <v>0</v>
      </c>
    </row>
    <row r="26" spans="1:15">
      <c r="A26" s="444">
        <v>20</v>
      </c>
      <c r="B26" s="450" t="s">
        <v>715</v>
      </c>
      <c r="C26" s="610">
        <v>55912497.870000005</v>
      </c>
      <c r="D26" s="593">
        <v>41530679.889999993</v>
      </c>
      <c r="E26" s="593">
        <v>13907501.65</v>
      </c>
      <c r="F26" s="612">
        <v>474316.33</v>
      </c>
      <c r="G26" s="612">
        <v>0</v>
      </c>
      <c r="H26" s="593">
        <v>0</v>
      </c>
      <c r="I26" s="593">
        <v>2363658.6609420003</v>
      </c>
      <c r="J26" s="612">
        <v>830613.5978710003</v>
      </c>
      <c r="K26" s="612">
        <v>1390750.1651300001</v>
      </c>
      <c r="L26" s="612">
        <v>142294.897941</v>
      </c>
      <c r="M26" s="612">
        <v>0</v>
      </c>
      <c r="N26" s="612">
        <v>0</v>
      </c>
      <c r="O26" s="593">
        <v>0</v>
      </c>
    </row>
    <row r="27" spans="1:15">
      <c r="A27" s="444">
        <v>21</v>
      </c>
      <c r="B27" s="450" t="s">
        <v>716</v>
      </c>
      <c r="C27" s="610">
        <v>3640598.8643000009</v>
      </c>
      <c r="D27" s="593">
        <v>3640598.8643000009</v>
      </c>
      <c r="E27" s="593">
        <v>0</v>
      </c>
      <c r="F27" s="612">
        <v>0</v>
      </c>
      <c r="G27" s="612">
        <v>0</v>
      </c>
      <c r="H27" s="593">
        <v>0</v>
      </c>
      <c r="I27" s="593">
        <v>72811.977488999983</v>
      </c>
      <c r="J27" s="612">
        <v>72811.977488999983</v>
      </c>
      <c r="K27" s="612">
        <v>0</v>
      </c>
      <c r="L27" s="612">
        <v>0</v>
      </c>
      <c r="M27" s="612">
        <v>0</v>
      </c>
      <c r="N27" s="612">
        <v>0</v>
      </c>
      <c r="O27" s="593">
        <v>0</v>
      </c>
    </row>
    <row r="28" spans="1:15">
      <c r="A28" s="444">
        <v>22</v>
      </c>
      <c r="B28" s="450" t="s">
        <v>717</v>
      </c>
      <c r="C28" s="610">
        <v>38063669.769999996</v>
      </c>
      <c r="D28" s="593">
        <v>31116388.809999999</v>
      </c>
      <c r="E28" s="593">
        <v>0</v>
      </c>
      <c r="F28" s="612">
        <v>503892.37</v>
      </c>
      <c r="G28" s="612">
        <v>186376.59</v>
      </c>
      <c r="H28" s="593">
        <v>6257012</v>
      </c>
      <c r="I28" s="593">
        <v>7123695.7838660013</v>
      </c>
      <c r="J28" s="612">
        <v>622327.77624599996</v>
      </c>
      <c r="K28" s="612">
        <v>0</v>
      </c>
      <c r="L28" s="612">
        <v>151167.71103800001</v>
      </c>
      <c r="M28" s="612">
        <v>93188.296581999995</v>
      </c>
      <c r="N28" s="612">
        <v>6257012</v>
      </c>
      <c r="O28" s="593">
        <v>0</v>
      </c>
    </row>
    <row r="29" spans="1:15">
      <c r="A29" s="444">
        <v>23</v>
      </c>
      <c r="B29" s="450" t="s">
        <v>718</v>
      </c>
      <c r="C29" s="610">
        <v>84583066.970000014</v>
      </c>
      <c r="D29" s="593">
        <v>72343266.069999993</v>
      </c>
      <c r="E29" s="593">
        <v>88505.36</v>
      </c>
      <c r="F29" s="612">
        <v>4796468.1899999995</v>
      </c>
      <c r="G29" s="612">
        <v>1109495.8399999999</v>
      </c>
      <c r="H29" s="593">
        <v>6245331.5099999998</v>
      </c>
      <c r="I29" s="593">
        <v>7196603.1418170007</v>
      </c>
      <c r="J29" s="612">
        <v>1446865.3212240005</v>
      </c>
      <c r="K29" s="612">
        <v>8850.535573000001</v>
      </c>
      <c r="L29" s="612">
        <v>1438940.457218</v>
      </c>
      <c r="M29" s="612">
        <v>554747.92171000002</v>
      </c>
      <c r="N29" s="612">
        <v>3747198.9060920002</v>
      </c>
      <c r="O29" s="593">
        <v>0</v>
      </c>
    </row>
    <row r="30" spans="1:15">
      <c r="A30" s="444">
        <v>24</v>
      </c>
      <c r="B30" s="450" t="s">
        <v>719</v>
      </c>
      <c r="C30" s="610">
        <v>51592186.830000035</v>
      </c>
      <c r="D30" s="593">
        <v>24670967.230000008</v>
      </c>
      <c r="E30" s="593">
        <v>12655533.119999997</v>
      </c>
      <c r="F30" s="612">
        <v>4788619.709999999</v>
      </c>
      <c r="G30" s="612">
        <v>632325.58000000007</v>
      </c>
      <c r="H30" s="593">
        <v>8844741.1899999976</v>
      </c>
      <c r="I30" s="593">
        <v>9421599.038774997</v>
      </c>
      <c r="J30" s="612">
        <v>493419.34464600013</v>
      </c>
      <c r="K30" s="612">
        <v>1265553.3125820009</v>
      </c>
      <c r="L30" s="612">
        <v>1436585.9173049997</v>
      </c>
      <c r="M30" s="612">
        <v>316162.78831899998</v>
      </c>
      <c r="N30" s="612">
        <v>5909877.6759230001</v>
      </c>
      <c r="O30" s="593">
        <v>0</v>
      </c>
    </row>
    <row r="31" spans="1:15">
      <c r="A31" s="444">
        <v>25</v>
      </c>
      <c r="B31" s="450" t="s">
        <v>720</v>
      </c>
      <c r="C31" s="610">
        <v>35848876.030399926</v>
      </c>
      <c r="D31" s="593">
        <v>30081566.573600024</v>
      </c>
      <c r="E31" s="593">
        <v>782079.43</v>
      </c>
      <c r="F31" s="612">
        <v>3205669.9615000002</v>
      </c>
      <c r="G31" s="612">
        <v>1642208.23</v>
      </c>
      <c r="H31" s="593">
        <v>137351.83530000001</v>
      </c>
      <c r="I31" s="593">
        <v>2586783.1605750034</v>
      </c>
      <c r="J31" s="612">
        <v>588465.78760400007</v>
      </c>
      <c r="K31" s="612">
        <v>78207.944532000009</v>
      </c>
      <c r="L31" s="612">
        <v>961700.98583500006</v>
      </c>
      <c r="M31" s="612">
        <v>821104.11340300005</v>
      </c>
      <c r="N31" s="612">
        <v>137304.32920099999</v>
      </c>
      <c r="O31" s="593">
        <v>0</v>
      </c>
    </row>
    <row r="32" spans="1:15">
      <c r="A32" s="444">
        <v>26</v>
      </c>
      <c r="B32" s="450" t="s">
        <v>822</v>
      </c>
      <c r="C32" s="610">
        <v>1263652.112700003</v>
      </c>
      <c r="D32" s="593">
        <v>1250522.9028000026</v>
      </c>
      <c r="E32" s="593">
        <v>1758.26</v>
      </c>
      <c r="F32" s="612">
        <v>333.69990000000001</v>
      </c>
      <c r="G32" s="612">
        <v>18.93</v>
      </c>
      <c r="H32" s="593">
        <v>11018.320000000002</v>
      </c>
      <c r="I32" s="593">
        <v>36313.820025999987</v>
      </c>
      <c r="J32" s="612">
        <v>25010.458056000025</v>
      </c>
      <c r="K32" s="612">
        <v>175.82600000000002</v>
      </c>
      <c r="L32" s="612">
        <v>100.10997</v>
      </c>
      <c r="M32" s="612">
        <v>9.1059999999999999</v>
      </c>
      <c r="N32" s="612">
        <v>11018.320000000002</v>
      </c>
      <c r="O32" s="593">
        <v>0</v>
      </c>
    </row>
    <row r="33" spans="1:15">
      <c r="A33" s="444">
        <v>27</v>
      </c>
      <c r="B33" s="477" t="s">
        <v>68</v>
      </c>
      <c r="C33" s="613">
        <f>SUM(C7:C32)</f>
        <v>965150943.16719985</v>
      </c>
      <c r="D33" s="593">
        <f t="shared" ref="D33:N33" si="0">SUM(D7:D32)</f>
        <v>583449394.35330009</v>
      </c>
      <c r="E33" s="593">
        <f t="shared" si="0"/>
        <v>58615078.839999996</v>
      </c>
      <c r="F33" s="612">
        <f t="shared" si="0"/>
        <v>144165875.1814</v>
      </c>
      <c r="G33" s="612">
        <f t="shared" si="0"/>
        <v>103376348.88000003</v>
      </c>
      <c r="H33" s="593">
        <f t="shared" si="0"/>
        <v>75544245.912499979</v>
      </c>
      <c r="I33" s="593">
        <f t="shared" si="0"/>
        <v>162019833.69088399</v>
      </c>
      <c r="J33" s="612">
        <f t="shared" si="0"/>
        <v>11638775.505365001</v>
      </c>
      <c r="K33" s="612">
        <f t="shared" si="0"/>
        <v>5861507.8853700031</v>
      </c>
      <c r="L33" s="612">
        <f t="shared" si="0"/>
        <v>43249762.549768008</v>
      </c>
      <c r="M33" s="612">
        <f t="shared" si="0"/>
        <v>49741106.574518993</v>
      </c>
      <c r="N33" s="612">
        <f t="shared" si="0"/>
        <v>51528681.175862007</v>
      </c>
      <c r="O33" s="593">
        <v>0</v>
      </c>
    </row>
    <row r="35" spans="1:15">
      <c r="B35" s="451"/>
      <c r="C35" s="451"/>
    </row>
    <row r="41" spans="1:15">
      <c r="A41" s="447"/>
      <c r="B41" s="447"/>
      <c r="C41" s="447"/>
    </row>
    <row r="42" spans="1:15">
      <c r="A42" s="447"/>
      <c r="B42" s="447"/>
      <c r="C42" s="44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Normal="100" workbookViewId="0"/>
  </sheetViews>
  <sheetFormatPr defaultColWidth="8.7109375" defaultRowHeight="12"/>
  <cols>
    <col min="1" max="1" width="11.7109375" style="478" bestFit="1" customWidth="1"/>
    <col min="2" max="2" width="80.28515625" style="478" customWidth="1"/>
    <col min="3" max="11" width="28.28515625" style="478" customWidth="1"/>
    <col min="12" max="16384" width="8.7109375" style="478"/>
  </cols>
  <sheetData>
    <row r="1" spans="1:11" s="430" customFormat="1" ht="12.75">
      <c r="A1" s="429" t="s">
        <v>188</v>
      </c>
      <c r="B1" s="596" t="str">
        <f>'1. key ratios'!B1</f>
        <v>სს "ბანკი ქართუ"</v>
      </c>
    </row>
    <row r="2" spans="1:11" s="430" customFormat="1" ht="12.75">
      <c r="A2" s="429" t="s">
        <v>189</v>
      </c>
      <c r="B2" s="432">
        <f>'1. key ratios'!B2</f>
        <v>44651</v>
      </c>
    </row>
    <row r="3" spans="1:11" s="430" customFormat="1" ht="12.75">
      <c r="A3" s="431" t="s">
        <v>823</v>
      </c>
      <c r="B3" s="432"/>
    </row>
    <row r="4" spans="1:11">
      <c r="C4" s="479" t="s">
        <v>673</v>
      </c>
      <c r="D4" s="479" t="s">
        <v>674</v>
      </c>
      <c r="E4" s="479" t="s">
        <v>675</v>
      </c>
      <c r="F4" s="479" t="s">
        <v>676</v>
      </c>
      <c r="G4" s="479" t="s">
        <v>677</v>
      </c>
      <c r="H4" s="479" t="s">
        <v>678</v>
      </c>
      <c r="I4" s="479" t="s">
        <v>679</v>
      </c>
      <c r="J4" s="479" t="s">
        <v>680</v>
      </c>
      <c r="K4" s="479" t="s">
        <v>681</v>
      </c>
    </row>
    <row r="5" spans="1:11" ht="103.9" customHeight="1">
      <c r="A5" s="783" t="s">
        <v>824</v>
      </c>
      <c r="B5" s="784"/>
      <c r="C5" s="433" t="s">
        <v>825</v>
      </c>
      <c r="D5" s="433" t="s">
        <v>811</v>
      </c>
      <c r="E5" s="433" t="s">
        <v>812</v>
      </c>
      <c r="F5" s="433" t="s">
        <v>826</v>
      </c>
      <c r="G5" s="433" t="s">
        <v>827</v>
      </c>
      <c r="H5" s="433" t="s">
        <v>828</v>
      </c>
      <c r="I5" s="433" t="s">
        <v>829</v>
      </c>
      <c r="J5" s="433" t="s">
        <v>830</v>
      </c>
      <c r="K5" s="433" t="s">
        <v>831</v>
      </c>
    </row>
    <row r="6" spans="1:11" ht="12.75">
      <c r="A6" s="444">
        <v>1</v>
      </c>
      <c r="B6" s="444" t="s">
        <v>832</v>
      </c>
      <c r="C6" s="593">
        <v>44999177.44632791</v>
      </c>
      <c r="D6" s="593">
        <v>11246197.873883996</v>
      </c>
      <c r="E6" s="593">
        <v>0</v>
      </c>
      <c r="F6" s="593">
        <v>0</v>
      </c>
      <c r="G6" s="593">
        <v>736689328.02387345</v>
      </c>
      <c r="H6" s="593">
        <v>8176841.8308985131</v>
      </c>
      <c r="I6" s="593">
        <v>103916525.11966531</v>
      </c>
      <c r="J6" s="593">
        <v>17429402.980312537</v>
      </c>
      <c r="K6" s="593">
        <v>42693469.892238989</v>
      </c>
    </row>
    <row r="7" spans="1:11" ht="12.75">
      <c r="A7" s="444">
        <v>2</v>
      </c>
      <c r="B7" s="444" t="s">
        <v>833</v>
      </c>
      <c r="C7" s="593">
        <v>0</v>
      </c>
      <c r="D7" s="593">
        <v>0</v>
      </c>
      <c r="E7" s="593">
        <v>0</v>
      </c>
      <c r="F7" s="593">
        <v>0</v>
      </c>
      <c r="G7" s="593">
        <v>0</v>
      </c>
      <c r="H7" s="593">
        <v>0</v>
      </c>
      <c r="I7" s="593">
        <v>0</v>
      </c>
      <c r="J7" s="593">
        <v>0</v>
      </c>
      <c r="K7" s="593">
        <v>3000000</v>
      </c>
    </row>
    <row r="8" spans="1:11" ht="12.75">
      <c r="A8" s="444">
        <v>3</v>
      </c>
      <c r="B8" s="444" t="s">
        <v>783</v>
      </c>
      <c r="C8" s="593">
        <v>4260276.5937130973</v>
      </c>
      <c r="D8" s="593">
        <v>0</v>
      </c>
      <c r="E8" s="593">
        <v>0</v>
      </c>
      <c r="F8" s="593">
        <v>0</v>
      </c>
      <c r="G8" s="593">
        <v>35492929.770529352</v>
      </c>
      <c r="H8" s="593">
        <v>630839.74464394618</v>
      </c>
      <c r="I8" s="593">
        <v>6689554.4164738227</v>
      </c>
      <c r="J8" s="593">
        <v>2936650.733970793</v>
      </c>
      <c r="K8" s="593">
        <v>1259565.4637689998</v>
      </c>
    </row>
    <row r="9" spans="1:11" ht="12.75">
      <c r="A9" s="444">
        <v>4</v>
      </c>
      <c r="B9" s="466" t="s">
        <v>834</v>
      </c>
      <c r="C9" s="593">
        <v>6555615.4483664334</v>
      </c>
      <c r="D9" s="593">
        <v>3593083.9256000002</v>
      </c>
      <c r="E9" s="593">
        <v>0</v>
      </c>
      <c r="F9" s="593">
        <v>0</v>
      </c>
      <c r="G9" s="593">
        <v>265570828.17926395</v>
      </c>
      <c r="H9" s="593">
        <v>1244534.1672334829</v>
      </c>
      <c r="I9" s="593">
        <v>27950973.617111854</v>
      </c>
      <c r="J9" s="593">
        <v>5282319.212782138</v>
      </c>
      <c r="K9" s="593">
        <v>12889115.423542125</v>
      </c>
    </row>
    <row r="10" spans="1:11" ht="12.75">
      <c r="A10" s="444">
        <v>5</v>
      </c>
      <c r="B10" s="466" t="s">
        <v>835</v>
      </c>
      <c r="C10" s="593">
        <v>0</v>
      </c>
      <c r="D10" s="593">
        <v>0</v>
      </c>
      <c r="E10" s="593">
        <v>0</v>
      </c>
      <c r="F10" s="593">
        <v>0</v>
      </c>
      <c r="G10" s="593">
        <v>0</v>
      </c>
      <c r="H10" s="593">
        <v>0</v>
      </c>
      <c r="I10" s="593">
        <v>0</v>
      </c>
      <c r="J10" s="593">
        <v>0</v>
      </c>
      <c r="K10" s="593">
        <v>0</v>
      </c>
    </row>
    <row r="11" spans="1:11" ht="12.75">
      <c r="A11" s="444">
        <v>6</v>
      </c>
      <c r="B11" s="466" t="s">
        <v>836</v>
      </c>
      <c r="C11" s="593">
        <v>0</v>
      </c>
      <c r="D11" s="593">
        <v>0</v>
      </c>
      <c r="E11" s="593">
        <v>0</v>
      </c>
      <c r="F11" s="593">
        <v>0</v>
      </c>
      <c r="G11" s="593">
        <v>4119988.0300000003</v>
      </c>
      <c r="H11" s="593">
        <v>0</v>
      </c>
      <c r="I11" s="593">
        <v>0</v>
      </c>
      <c r="J11" s="593">
        <v>0</v>
      </c>
      <c r="K11" s="593">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Normal="100" workbookViewId="0"/>
  </sheetViews>
  <sheetFormatPr defaultRowHeight="15"/>
  <cols>
    <col min="1" max="1" width="10" bestFit="1" customWidth="1"/>
    <col min="2" max="2" width="71.7109375" customWidth="1"/>
    <col min="3" max="3" width="12.7109375" bestFit="1" customWidth="1"/>
    <col min="4" max="4" width="13.28515625" bestFit="1" customWidth="1"/>
    <col min="5" max="5" width="12.28515625" bestFit="1" customWidth="1"/>
    <col min="6" max="6" width="16.28515625" bestFit="1" customWidth="1"/>
    <col min="7" max="7" width="10.28515625" bestFit="1" customWidth="1"/>
    <col min="8" max="8" width="10.5703125" bestFit="1" customWidth="1"/>
    <col min="9" max="9" width="11.7109375" bestFit="1" customWidth="1"/>
    <col min="10" max="10" width="13.28515625" bestFit="1" customWidth="1"/>
    <col min="11" max="11" width="12.28515625" bestFit="1" customWidth="1"/>
    <col min="12" max="12" width="16.28515625" bestFit="1" customWidth="1"/>
    <col min="13" max="14" width="10.5703125" bestFit="1" customWidth="1"/>
    <col min="15" max="15" width="18.140625" bestFit="1" customWidth="1"/>
    <col min="16" max="16" width="48.140625" bestFit="1" customWidth="1"/>
    <col min="17" max="17" width="45.85546875" bestFit="1" customWidth="1"/>
    <col min="18" max="18" width="48.140625" bestFit="1" customWidth="1"/>
    <col min="19" max="19" width="44.42578125" bestFit="1" customWidth="1"/>
  </cols>
  <sheetData>
    <row r="1" spans="1:19">
      <c r="A1" s="429" t="s">
        <v>188</v>
      </c>
      <c r="B1" s="596" t="str">
        <f>'1. key ratios'!B1</f>
        <v>სს "ბანკი ქართუ"</v>
      </c>
    </row>
    <row r="2" spans="1:19">
      <c r="A2" s="429" t="s">
        <v>189</v>
      </c>
      <c r="B2" s="432">
        <f>'1. key ratios'!B2</f>
        <v>44651</v>
      </c>
    </row>
    <row r="3" spans="1:19">
      <c r="A3" s="431" t="s">
        <v>998</v>
      </c>
      <c r="B3" s="430"/>
    </row>
    <row r="4" spans="1:19">
      <c r="A4" s="431"/>
      <c r="B4" s="430"/>
    </row>
    <row r="5" spans="1:19" ht="24" customHeight="1">
      <c r="A5" s="786" t="s">
        <v>999</v>
      </c>
      <c r="B5" s="786"/>
      <c r="C5" s="787" t="s">
        <v>786</v>
      </c>
      <c r="D5" s="787"/>
      <c r="E5" s="787"/>
      <c r="F5" s="787"/>
      <c r="G5" s="787"/>
      <c r="H5" s="787"/>
      <c r="I5" s="787" t="s">
        <v>1000</v>
      </c>
      <c r="J5" s="787"/>
      <c r="K5" s="787"/>
      <c r="L5" s="787"/>
      <c r="M5" s="787"/>
      <c r="N5" s="787"/>
      <c r="O5" s="785" t="s">
        <v>1001</v>
      </c>
      <c r="P5" s="785" t="s">
        <v>1002</v>
      </c>
      <c r="Q5" s="785" t="s">
        <v>1003</v>
      </c>
      <c r="R5" s="785" t="s">
        <v>1004</v>
      </c>
      <c r="S5" s="785" t="s">
        <v>1005</v>
      </c>
    </row>
    <row r="6" spans="1:19" ht="36" customHeight="1">
      <c r="A6" s="786"/>
      <c r="B6" s="786"/>
      <c r="C6" s="614"/>
      <c r="D6" s="476" t="s">
        <v>817</v>
      </c>
      <c r="E6" s="476" t="s">
        <v>818</v>
      </c>
      <c r="F6" s="476" t="s">
        <v>819</v>
      </c>
      <c r="G6" s="476" t="s">
        <v>820</v>
      </c>
      <c r="H6" s="476" t="s">
        <v>821</v>
      </c>
      <c r="I6" s="614"/>
      <c r="J6" s="476" t="s">
        <v>817</v>
      </c>
      <c r="K6" s="476" t="s">
        <v>818</v>
      </c>
      <c r="L6" s="476" t="s">
        <v>819</v>
      </c>
      <c r="M6" s="476" t="s">
        <v>820</v>
      </c>
      <c r="N6" s="476" t="s">
        <v>821</v>
      </c>
      <c r="O6" s="785"/>
      <c r="P6" s="785"/>
      <c r="Q6" s="785"/>
      <c r="R6" s="785"/>
      <c r="S6" s="785"/>
    </row>
    <row r="7" spans="1:19">
      <c r="A7" s="615">
        <v>1</v>
      </c>
      <c r="B7" s="616" t="s">
        <v>1006</v>
      </c>
      <c r="C7" s="674">
        <v>280164.17000000004</v>
      </c>
      <c r="D7" s="674">
        <v>219906.43</v>
      </c>
      <c r="E7" s="674">
        <v>0</v>
      </c>
      <c r="F7" s="674">
        <v>59413.93</v>
      </c>
      <c r="G7" s="674">
        <v>0</v>
      </c>
      <c r="H7" s="674">
        <v>843.81</v>
      </c>
      <c r="I7" s="674">
        <v>23066.117581000002</v>
      </c>
      <c r="J7" s="674">
        <v>4398.1285809999999</v>
      </c>
      <c r="K7" s="674">
        <v>0</v>
      </c>
      <c r="L7" s="674">
        <v>17824.179</v>
      </c>
      <c r="M7" s="674">
        <v>0</v>
      </c>
      <c r="N7" s="674">
        <v>843.81</v>
      </c>
      <c r="O7" s="674">
        <v>16</v>
      </c>
      <c r="P7" s="676">
        <v>0.17499999999999999</v>
      </c>
      <c r="Q7" s="676">
        <v>0.18974170645863997</v>
      </c>
      <c r="R7" s="676">
        <v>0.13350205411705574</v>
      </c>
      <c r="S7" s="672">
        <v>57.718189377399383</v>
      </c>
    </row>
    <row r="8" spans="1:19">
      <c r="A8" s="615">
        <v>2</v>
      </c>
      <c r="B8" s="618" t="s">
        <v>1007</v>
      </c>
      <c r="C8" s="674">
        <v>7869874.209999999</v>
      </c>
      <c r="D8" s="674">
        <v>5508824.4099999983</v>
      </c>
      <c r="E8" s="674">
        <v>267612.82000000007</v>
      </c>
      <c r="F8" s="674">
        <v>1366301.57</v>
      </c>
      <c r="G8" s="674">
        <v>723742.57</v>
      </c>
      <c r="H8" s="674">
        <v>3392.84</v>
      </c>
      <c r="I8" s="674">
        <v>900686.6402359996</v>
      </c>
      <c r="J8" s="674">
        <v>98770.769455999995</v>
      </c>
      <c r="K8" s="674">
        <v>26761.280626000007</v>
      </c>
      <c r="L8" s="674">
        <v>409890.46914000006</v>
      </c>
      <c r="M8" s="674">
        <v>361871.28101400001</v>
      </c>
      <c r="N8" s="674">
        <v>3392.84</v>
      </c>
      <c r="O8" s="674">
        <v>140</v>
      </c>
      <c r="P8" s="676">
        <v>8.043247375447761E-2</v>
      </c>
      <c r="Q8" s="676">
        <v>8.3584476015743064E-2</v>
      </c>
      <c r="R8" s="676">
        <v>9.0363831671713621E-2</v>
      </c>
      <c r="S8" s="672">
        <v>55.472405920106667</v>
      </c>
    </row>
    <row r="9" spans="1:19">
      <c r="A9" s="615">
        <v>3</v>
      </c>
      <c r="B9" s="618" t="s">
        <v>1008</v>
      </c>
      <c r="C9" s="674">
        <v>0</v>
      </c>
      <c r="D9" s="674">
        <v>0</v>
      </c>
      <c r="E9" s="674">
        <v>0</v>
      </c>
      <c r="F9" s="674">
        <v>0</v>
      </c>
      <c r="G9" s="674">
        <v>0</v>
      </c>
      <c r="H9" s="674">
        <v>0</v>
      </c>
      <c r="I9" s="674">
        <v>0</v>
      </c>
      <c r="J9" s="674">
        <v>0</v>
      </c>
      <c r="K9" s="674">
        <v>0</v>
      </c>
      <c r="L9" s="674">
        <v>0</v>
      </c>
      <c r="M9" s="674">
        <v>0</v>
      </c>
      <c r="N9" s="674">
        <v>0</v>
      </c>
      <c r="O9" s="674">
        <v>0</v>
      </c>
      <c r="P9" s="676">
        <v>0</v>
      </c>
      <c r="Q9" s="676">
        <v>0</v>
      </c>
      <c r="R9" s="676">
        <v>0</v>
      </c>
      <c r="S9" s="672">
        <v>0</v>
      </c>
    </row>
    <row r="10" spans="1:19">
      <c r="A10" s="615">
        <v>4</v>
      </c>
      <c r="B10" s="618" t="s">
        <v>1009</v>
      </c>
      <c r="C10" s="674">
        <v>0</v>
      </c>
      <c r="D10" s="674">
        <v>0</v>
      </c>
      <c r="E10" s="674">
        <v>0</v>
      </c>
      <c r="F10" s="674">
        <v>0</v>
      </c>
      <c r="G10" s="674">
        <v>0</v>
      </c>
      <c r="H10" s="674">
        <v>0</v>
      </c>
      <c r="I10" s="674">
        <v>0</v>
      </c>
      <c r="J10" s="674">
        <v>0</v>
      </c>
      <c r="K10" s="674">
        <v>0</v>
      </c>
      <c r="L10" s="674">
        <v>0</v>
      </c>
      <c r="M10" s="674">
        <v>0</v>
      </c>
      <c r="N10" s="674">
        <v>0</v>
      </c>
      <c r="O10" s="674">
        <v>0</v>
      </c>
      <c r="P10" s="676">
        <v>0</v>
      </c>
      <c r="Q10" s="676">
        <v>0</v>
      </c>
      <c r="R10" s="676">
        <v>0</v>
      </c>
      <c r="S10" s="672">
        <v>0</v>
      </c>
    </row>
    <row r="11" spans="1:19">
      <c r="A11" s="615">
        <v>5</v>
      </c>
      <c r="B11" s="618" t="s">
        <v>1010</v>
      </c>
      <c r="C11" s="674">
        <v>1980341.6270999999</v>
      </c>
      <c r="D11" s="674">
        <v>1845947.4770999996</v>
      </c>
      <c r="E11" s="674">
        <v>10144.83</v>
      </c>
      <c r="F11" s="674">
        <v>113584.78</v>
      </c>
      <c r="G11" s="674">
        <v>0</v>
      </c>
      <c r="H11" s="674">
        <v>10664.54</v>
      </c>
      <c r="I11" s="674">
        <v>82673.406541999968</v>
      </c>
      <c r="J11" s="674">
        <v>36918.949542000068</v>
      </c>
      <c r="K11" s="674">
        <v>1014.4830000000002</v>
      </c>
      <c r="L11" s="674">
        <v>34075.433999999994</v>
      </c>
      <c r="M11" s="674">
        <v>0</v>
      </c>
      <c r="N11" s="674">
        <v>10664.54</v>
      </c>
      <c r="O11" s="674">
        <v>247</v>
      </c>
      <c r="P11" s="676">
        <v>0.15534011885542093</v>
      </c>
      <c r="Q11" s="676">
        <v>0.16712102374553472</v>
      </c>
      <c r="R11" s="676">
        <v>0.10468465615277994</v>
      </c>
      <c r="S11" s="672">
        <v>5.1145175360256925</v>
      </c>
    </row>
    <row r="12" spans="1:19">
      <c r="A12" s="615">
        <v>6</v>
      </c>
      <c r="B12" s="618" t="s">
        <v>1011</v>
      </c>
      <c r="C12" s="674">
        <v>312491.62389999971</v>
      </c>
      <c r="D12" s="674">
        <v>311784.97249999968</v>
      </c>
      <c r="E12" s="674">
        <v>0</v>
      </c>
      <c r="F12" s="674">
        <v>333.94139999999999</v>
      </c>
      <c r="G12" s="674">
        <v>18.93</v>
      </c>
      <c r="H12" s="674">
        <v>353.78000000000003</v>
      </c>
      <c r="I12" s="674">
        <v>6698.7678700000115</v>
      </c>
      <c r="J12" s="674">
        <v>6235.699450000011</v>
      </c>
      <c r="K12" s="674">
        <v>0</v>
      </c>
      <c r="L12" s="674">
        <v>100.18242000000001</v>
      </c>
      <c r="M12" s="674">
        <v>9.1059999999999999</v>
      </c>
      <c r="N12" s="674">
        <v>353.78000000000003</v>
      </c>
      <c r="O12" s="674">
        <v>1163</v>
      </c>
      <c r="P12" s="676">
        <v>0.13161813060437433</v>
      </c>
      <c r="Q12" s="676">
        <v>0.14002735719424156</v>
      </c>
      <c r="R12" s="676">
        <v>9.2467056164189321E-2</v>
      </c>
      <c r="S12" s="672">
        <v>10.757590000909062</v>
      </c>
    </row>
    <row r="13" spans="1:19">
      <c r="A13" s="615">
        <v>7</v>
      </c>
      <c r="B13" s="618" t="s">
        <v>1012</v>
      </c>
      <c r="C13" s="674">
        <v>15716578.659999995</v>
      </c>
      <c r="D13" s="674">
        <v>11158819.119999997</v>
      </c>
      <c r="E13" s="674">
        <v>1015226.56</v>
      </c>
      <c r="F13" s="674">
        <v>3408692.75</v>
      </c>
      <c r="G13" s="674">
        <v>0</v>
      </c>
      <c r="H13" s="674">
        <v>133840.23000000001</v>
      </c>
      <c r="I13" s="674">
        <v>1479341.1590460006</v>
      </c>
      <c r="J13" s="674">
        <v>221370.44989699984</v>
      </c>
      <c r="K13" s="674">
        <v>101522.65798500001</v>
      </c>
      <c r="L13" s="674">
        <v>1022607.8211429999</v>
      </c>
      <c r="M13" s="674">
        <v>0</v>
      </c>
      <c r="N13" s="674">
        <v>133840.230021</v>
      </c>
      <c r="O13" s="674">
        <v>182</v>
      </c>
      <c r="P13" s="676">
        <v>8.9924441277526052E-2</v>
      </c>
      <c r="Q13" s="676">
        <v>9.3772039856669792E-2</v>
      </c>
      <c r="R13" s="676">
        <v>9.1392347158589501E-2</v>
      </c>
      <c r="S13" s="672">
        <v>100.49261881945905</v>
      </c>
    </row>
    <row r="14" spans="1:19">
      <c r="A14" s="619">
        <v>7.1</v>
      </c>
      <c r="B14" s="620" t="s">
        <v>1013</v>
      </c>
      <c r="C14" s="674">
        <v>12067233.849999994</v>
      </c>
      <c r="D14" s="674">
        <v>8312589.5399999991</v>
      </c>
      <c r="E14" s="674">
        <v>731874.5</v>
      </c>
      <c r="F14" s="674">
        <v>2888929.58</v>
      </c>
      <c r="G14" s="674">
        <v>0</v>
      </c>
      <c r="H14" s="674">
        <v>133840.23000000001</v>
      </c>
      <c r="I14" s="674">
        <v>1238152.4070320006</v>
      </c>
      <c r="J14" s="674">
        <v>164445.85828399987</v>
      </c>
      <c r="K14" s="674">
        <v>73187.451546000011</v>
      </c>
      <c r="L14" s="674">
        <v>866678.86718099995</v>
      </c>
      <c r="M14" s="674">
        <v>0</v>
      </c>
      <c r="N14" s="674">
        <v>133840.230021</v>
      </c>
      <c r="O14" s="674">
        <v>116</v>
      </c>
      <c r="P14" s="676">
        <v>8.8502054759310722E-2</v>
      </c>
      <c r="Q14" s="676">
        <v>9.2189847820515161E-2</v>
      </c>
      <c r="R14" s="676">
        <v>8.8044059546007788E-2</v>
      </c>
      <c r="S14" s="672">
        <v>101.12551836353398</v>
      </c>
    </row>
    <row r="15" spans="1:19" ht="25.5">
      <c r="A15" s="619">
        <v>7.2</v>
      </c>
      <c r="B15" s="620" t="s">
        <v>1014</v>
      </c>
      <c r="C15" s="674">
        <v>2896687.4800000009</v>
      </c>
      <c r="D15" s="674">
        <v>2164096.3899999992</v>
      </c>
      <c r="E15" s="674">
        <v>254670.13</v>
      </c>
      <c r="F15" s="674">
        <v>477920.95999999996</v>
      </c>
      <c r="G15" s="674">
        <v>0</v>
      </c>
      <c r="H15" s="674">
        <v>0</v>
      </c>
      <c r="I15" s="674">
        <v>212125.23125799999</v>
      </c>
      <c r="J15" s="674">
        <v>43281.927570999993</v>
      </c>
      <c r="K15" s="674">
        <v>25467.013438999998</v>
      </c>
      <c r="L15" s="674">
        <v>143376.290248</v>
      </c>
      <c r="M15" s="674">
        <v>0</v>
      </c>
      <c r="N15" s="674">
        <v>0</v>
      </c>
      <c r="O15" s="674">
        <v>24</v>
      </c>
      <c r="P15" s="676">
        <v>0</v>
      </c>
      <c r="Q15" s="676">
        <v>0</v>
      </c>
      <c r="R15" s="676">
        <v>9.7456562588864398E-2</v>
      </c>
      <c r="S15" s="672">
        <v>107.2553342483217</v>
      </c>
    </row>
    <row r="16" spans="1:19">
      <c r="A16" s="619">
        <v>7.3</v>
      </c>
      <c r="B16" s="620" t="s">
        <v>1015</v>
      </c>
      <c r="C16" s="674">
        <v>752657.33000000019</v>
      </c>
      <c r="D16" s="674">
        <v>682133.19000000006</v>
      </c>
      <c r="E16" s="674">
        <v>28681.93</v>
      </c>
      <c r="F16" s="674">
        <v>41842.21</v>
      </c>
      <c r="G16" s="674">
        <v>0</v>
      </c>
      <c r="H16" s="674">
        <v>0</v>
      </c>
      <c r="I16" s="674">
        <v>29063.520755999994</v>
      </c>
      <c r="J16" s="674">
        <v>13642.664042000002</v>
      </c>
      <c r="K16" s="674">
        <v>2868.1930000000002</v>
      </c>
      <c r="L16" s="674">
        <v>12552.663714</v>
      </c>
      <c r="M16" s="674">
        <v>0</v>
      </c>
      <c r="N16" s="674">
        <v>0</v>
      </c>
      <c r="O16" s="674">
        <v>42</v>
      </c>
      <c r="P16" s="676">
        <v>0.14499999999999999</v>
      </c>
      <c r="Q16" s="676">
        <v>0.1550353528039834</v>
      </c>
      <c r="R16" s="676">
        <v>0.12173607968449597</v>
      </c>
      <c r="S16" s="672">
        <v>64.31836151766835</v>
      </c>
    </row>
    <row r="17" spans="1:19">
      <c r="A17" s="615">
        <v>8</v>
      </c>
      <c r="B17" s="618" t="s">
        <v>1016</v>
      </c>
      <c r="C17" s="674">
        <v>0</v>
      </c>
      <c r="D17" s="674">
        <v>0</v>
      </c>
      <c r="E17" s="674">
        <v>0</v>
      </c>
      <c r="F17" s="674">
        <v>0</v>
      </c>
      <c r="G17" s="674">
        <v>0</v>
      </c>
      <c r="H17" s="674">
        <v>0</v>
      </c>
      <c r="I17" s="674">
        <v>0</v>
      </c>
      <c r="J17" s="674">
        <v>0</v>
      </c>
      <c r="K17" s="674">
        <v>0</v>
      </c>
      <c r="L17" s="674">
        <v>0</v>
      </c>
      <c r="M17" s="674">
        <v>0</v>
      </c>
      <c r="N17" s="674">
        <v>0</v>
      </c>
      <c r="O17" s="674">
        <v>0</v>
      </c>
      <c r="P17" s="676">
        <v>0</v>
      </c>
      <c r="Q17" s="676">
        <v>0</v>
      </c>
      <c r="R17" s="676">
        <v>0</v>
      </c>
      <c r="S17" s="672">
        <v>0</v>
      </c>
    </row>
    <row r="18" spans="1:19">
      <c r="A18" s="621">
        <v>9</v>
      </c>
      <c r="B18" s="622" t="s">
        <v>1017</v>
      </c>
      <c r="C18" s="675">
        <v>0</v>
      </c>
      <c r="D18" s="675">
        <v>0</v>
      </c>
      <c r="E18" s="675">
        <v>0</v>
      </c>
      <c r="F18" s="675">
        <v>0</v>
      </c>
      <c r="G18" s="675">
        <v>0</v>
      </c>
      <c r="H18" s="675">
        <v>0</v>
      </c>
      <c r="I18" s="675">
        <v>0</v>
      </c>
      <c r="J18" s="675">
        <v>0</v>
      </c>
      <c r="K18" s="675">
        <v>0</v>
      </c>
      <c r="L18" s="675">
        <v>0</v>
      </c>
      <c r="M18" s="675">
        <v>0</v>
      </c>
      <c r="N18" s="675">
        <v>0</v>
      </c>
      <c r="O18" s="675">
        <v>0</v>
      </c>
      <c r="P18" s="677">
        <v>0</v>
      </c>
      <c r="Q18" s="677">
        <v>0</v>
      </c>
      <c r="R18" s="677">
        <v>0</v>
      </c>
      <c r="S18" s="673">
        <v>0</v>
      </c>
    </row>
    <row r="19" spans="1:19">
      <c r="A19" s="615">
        <v>10</v>
      </c>
      <c r="B19" s="623" t="s">
        <v>1018</v>
      </c>
      <c r="C19" s="678">
        <v>26159450.290999994</v>
      </c>
      <c r="D19" s="678">
        <v>19045282.409599997</v>
      </c>
      <c r="E19" s="678">
        <v>1292984.2100000002</v>
      </c>
      <c r="F19" s="678">
        <v>4948326.9714000002</v>
      </c>
      <c r="G19" s="678">
        <v>723761.5</v>
      </c>
      <c r="H19" s="678">
        <v>149095.20000000001</v>
      </c>
      <c r="I19" s="678">
        <v>2492466.091275</v>
      </c>
      <c r="J19" s="678">
        <v>367693.99692599988</v>
      </c>
      <c r="K19" s="678">
        <v>129298.42161100003</v>
      </c>
      <c r="L19" s="678">
        <v>1484498.085703</v>
      </c>
      <c r="M19" s="678">
        <v>361880.38701400004</v>
      </c>
      <c r="N19" s="678">
        <v>149095.200021</v>
      </c>
      <c r="O19" s="679">
        <v>1748</v>
      </c>
      <c r="P19" s="680">
        <v>8.9667332260407184E-2</v>
      </c>
      <c r="Q19" s="680">
        <v>9.3663129474425053E-2</v>
      </c>
      <c r="R19" s="680">
        <v>9.255301734241618E-2</v>
      </c>
      <c r="S19" s="681">
        <v>78.855657544776989</v>
      </c>
    </row>
    <row r="20" spans="1:19" ht="25.5">
      <c r="A20" s="619">
        <v>10.1</v>
      </c>
      <c r="B20" s="620" t="s">
        <v>1019</v>
      </c>
      <c r="C20" s="674"/>
      <c r="D20" s="674"/>
      <c r="E20" s="674"/>
      <c r="F20" s="674"/>
      <c r="G20" s="674"/>
      <c r="H20" s="674"/>
      <c r="I20" s="674"/>
      <c r="J20" s="674"/>
      <c r="K20" s="674"/>
      <c r="L20" s="674"/>
      <c r="M20" s="674"/>
      <c r="N20" s="674"/>
      <c r="O20" s="617"/>
      <c r="P20" s="676"/>
      <c r="Q20" s="676"/>
      <c r="R20" s="676"/>
      <c r="S20" s="676"/>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selection pane="bottomLeft"/>
      <selection pane="bottomRight"/>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"ბანკი ქართუ"</v>
      </c>
    </row>
    <row r="2" spans="1:8" ht="15.75">
      <c r="A2" s="14" t="s">
        <v>189</v>
      </c>
      <c r="B2" s="390">
        <f>'1. key ratios'!B2</f>
        <v>44651</v>
      </c>
    </row>
    <row r="3" spans="1:8" ht="15.75">
      <c r="A3" s="14"/>
    </row>
    <row r="4" spans="1:8" ht="16.5" thickBot="1">
      <c r="A4" s="15" t="s">
        <v>406</v>
      </c>
      <c r="B4" s="63" t="s">
        <v>244</v>
      </c>
      <c r="C4" s="15"/>
      <c r="D4" s="25"/>
      <c r="E4" s="25"/>
      <c r="F4" s="26"/>
      <c r="G4" s="26"/>
      <c r="H4" s="27" t="s">
        <v>93</v>
      </c>
    </row>
    <row r="5" spans="1:8" ht="15.75">
      <c r="A5" s="28"/>
      <c r="B5" s="29"/>
      <c r="C5" s="685" t="s">
        <v>194</v>
      </c>
      <c r="D5" s="686"/>
      <c r="E5" s="687"/>
      <c r="F5" s="685" t="s">
        <v>195</v>
      </c>
      <c r="G5" s="686"/>
      <c r="H5" s="688"/>
    </row>
    <row r="6" spans="1:8" ht="15.75">
      <c r="A6" s="30" t="s">
        <v>26</v>
      </c>
      <c r="B6" s="31" t="s">
        <v>153</v>
      </c>
      <c r="C6" s="32" t="s">
        <v>27</v>
      </c>
      <c r="D6" s="32" t="s">
        <v>94</v>
      </c>
      <c r="E6" s="32" t="s">
        <v>68</v>
      </c>
      <c r="F6" s="32" t="s">
        <v>27</v>
      </c>
      <c r="G6" s="32" t="s">
        <v>94</v>
      </c>
      <c r="H6" s="33" t="s">
        <v>68</v>
      </c>
    </row>
    <row r="7" spans="1:8" ht="15.75">
      <c r="A7" s="30">
        <v>1</v>
      </c>
      <c r="B7" s="34" t="s">
        <v>154</v>
      </c>
      <c r="C7" s="509">
        <v>5933824</v>
      </c>
      <c r="D7" s="509">
        <v>8917918</v>
      </c>
      <c r="E7" s="510">
        <f>C7+D7</f>
        <v>14851742</v>
      </c>
      <c r="F7" s="511">
        <v>12038040</v>
      </c>
      <c r="G7" s="512">
        <v>23886415</v>
      </c>
      <c r="H7" s="513">
        <f>F7+G7</f>
        <v>35924455</v>
      </c>
    </row>
    <row r="8" spans="1:8" ht="15.75">
      <c r="A8" s="30">
        <v>2</v>
      </c>
      <c r="B8" s="34" t="s">
        <v>155</v>
      </c>
      <c r="C8" s="509">
        <v>6716302</v>
      </c>
      <c r="D8" s="509">
        <v>204617975</v>
      </c>
      <c r="E8" s="510">
        <f t="shared" ref="E8:E20" si="0">C8+D8</f>
        <v>211334277</v>
      </c>
      <c r="F8" s="511">
        <v>597708</v>
      </c>
      <c r="G8" s="512">
        <v>220212777</v>
      </c>
      <c r="H8" s="513">
        <f t="shared" ref="H8:H40" si="1">F8+G8</f>
        <v>220810485</v>
      </c>
    </row>
    <row r="9" spans="1:8" ht="15.75">
      <c r="A9" s="30">
        <v>3</v>
      </c>
      <c r="B9" s="34" t="s">
        <v>156</v>
      </c>
      <c r="C9" s="509">
        <v>78414</v>
      </c>
      <c r="D9" s="509">
        <v>194561958</v>
      </c>
      <c r="E9" s="510">
        <f t="shared" si="0"/>
        <v>194640372</v>
      </c>
      <c r="F9" s="511">
        <v>23645319</v>
      </c>
      <c r="G9" s="512">
        <v>95062304</v>
      </c>
      <c r="H9" s="513">
        <f t="shared" si="1"/>
        <v>118707623</v>
      </c>
    </row>
    <row r="10" spans="1:8" ht="15.75">
      <c r="A10" s="30">
        <v>4</v>
      </c>
      <c r="B10" s="34" t="s">
        <v>185</v>
      </c>
      <c r="C10" s="509">
        <v>0</v>
      </c>
      <c r="D10" s="509">
        <v>0</v>
      </c>
      <c r="E10" s="510">
        <f t="shared" si="0"/>
        <v>0</v>
      </c>
      <c r="F10" s="511">
        <v>0</v>
      </c>
      <c r="G10" s="512">
        <v>0</v>
      </c>
      <c r="H10" s="513">
        <f t="shared" si="1"/>
        <v>0</v>
      </c>
    </row>
    <row r="11" spans="1:8" ht="15.75">
      <c r="A11" s="30">
        <v>5</v>
      </c>
      <c r="B11" s="34" t="s">
        <v>157</v>
      </c>
      <c r="C11" s="509">
        <v>32345550</v>
      </c>
      <c r="D11" s="509">
        <v>0</v>
      </c>
      <c r="E11" s="510">
        <f t="shared" si="0"/>
        <v>32345550</v>
      </c>
      <c r="F11" s="511">
        <v>42995676</v>
      </c>
      <c r="G11" s="512">
        <v>16717820</v>
      </c>
      <c r="H11" s="513">
        <f t="shared" si="1"/>
        <v>59713496</v>
      </c>
    </row>
    <row r="12" spans="1:8" ht="15.75">
      <c r="A12" s="30">
        <v>6.1</v>
      </c>
      <c r="B12" s="35" t="s">
        <v>158</v>
      </c>
      <c r="C12" s="509">
        <v>342036594</v>
      </c>
      <c r="D12" s="509">
        <v>623114348</v>
      </c>
      <c r="E12" s="510">
        <f t="shared" si="0"/>
        <v>965150942</v>
      </c>
      <c r="F12" s="511">
        <v>347564438</v>
      </c>
      <c r="G12" s="512">
        <v>771440529</v>
      </c>
      <c r="H12" s="513">
        <f t="shared" si="1"/>
        <v>1119004967</v>
      </c>
    </row>
    <row r="13" spans="1:8" ht="15.75">
      <c r="A13" s="30">
        <v>6.2</v>
      </c>
      <c r="B13" s="35" t="s">
        <v>159</v>
      </c>
      <c r="C13" s="509">
        <v>-63062496</v>
      </c>
      <c r="D13" s="509">
        <v>-98957338</v>
      </c>
      <c r="E13" s="510">
        <f t="shared" si="0"/>
        <v>-162019834</v>
      </c>
      <c r="F13" s="511">
        <v>-61314250</v>
      </c>
      <c r="G13" s="512">
        <v>-117905917</v>
      </c>
      <c r="H13" s="513">
        <f t="shared" si="1"/>
        <v>-179220167</v>
      </c>
    </row>
    <row r="14" spans="1:8" ht="15.75">
      <c r="A14" s="30">
        <v>6</v>
      </c>
      <c r="B14" s="34" t="s">
        <v>160</v>
      </c>
      <c r="C14" s="510">
        <f>C12+C13</f>
        <v>278974098</v>
      </c>
      <c r="D14" s="510">
        <f>D12+D13</f>
        <v>524157010</v>
      </c>
      <c r="E14" s="510">
        <f t="shared" si="0"/>
        <v>803131108</v>
      </c>
      <c r="F14" s="510">
        <f>F12+F13</f>
        <v>286250188</v>
      </c>
      <c r="G14" s="510">
        <f>G12+G13</f>
        <v>653534612</v>
      </c>
      <c r="H14" s="513">
        <f t="shared" si="1"/>
        <v>939784800</v>
      </c>
    </row>
    <row r="15" spans="1:8" ht="15.75">
      <c r="A15" s="30">
        <v>7</v>
      </c>
      <c r="B15" s="34" t="s">
        <v>161</v>
      </c>
      <c r="C15" s="509">
        <v>17439275</v>
      </c>
      <c r="D15" s="509">
        <v>7343250</v>
      </c>
      <c r="E15" s="510">
        <f t="shared" si="0"/>
        <v>24782525</v>
      </c>
      <c r="F15" s="511">
        <v>8121016</v>
      </c>
      <c r="G15" s="512">
        <v>6483163</v>
      </c>
      <c r="H15" s="513">
        <f>F15+G15</f>
        <v>14604179</v>
      </c>
    </row>
    <row r="16" spans="1:8" ht="15.75">
      <c r="A16" s="30">
        <v>8</v>
      </c>
      <c r="B16" s="34" t="s">
        <v>162</v>
      </c>
      <c r="C16" s="509">
        <v>15975500</v>
      </c>
      <c r="D16" s="509" t="s">
        <v>1052</v>
      </c>
      <c r="E16" s="510">
        <f>C16</f>
        <v>15975500</v>
      </c>
      <c r="F16" s="511">
        <v>2483931</v>
      </c>
      <c r="G16" s="512" t="s">
        <v>1052</v>
      </c>
      <c r="H16" s="513">
        <f t="shared" ref="H16:H18" si="2">F16</f>
        <v>2483931</v>
      </c>
    </row>
    <row r="17" spans="1:8" ht="15.75">
      <c r="A17" s="30">
        <v>9</v>
      </c>
      <c r="B17" s="34" t="s">
        <v>163</v>
      </c>
      <c r="C17" s="509">
        <v>7793239</v>
      </c>
      <c r="D17" s="509">
        <v>0</v>
      </c>
      <c r="E17" s="510">
        <f t="shared" si="0"/>
        <v>7793239</v>
      </c>
      <c r="F17" s="511">
        <v>7793239</v>
      </c>
      <c r="G17" s="512">
        <v>0</v>
      </c>
      <c r="H17" s="513">
        <f t="shared" si="2"/>
        <v>7793239</v>
      </c>
    </row>
    <row r="18" spans="1:8" ht="15.75">
      <c r="A18" s="30">
        <v>10</v>
      </c>
      <c r="B18" s="34" t="s">
        <v>164</v>
      </c>
      <c r="C18" s="509">
        <v>19652980</v>
      </c>
      <c r="D18" s="509" t="s">
        <v>1052</v>
      </c>
      <c r="E18" s="510">
        <f>C18</f>
        <v>19652980</v>
      </c>
      <c r="F18" s="511">
        <v>20545588</v>
      </c>
      <c r="G18" s="512" t="s">
        <v>1052</v>
      </c>
      <c r="H18" s="513">
        <f t="shared" si="2"/>
        <v>20545588</v>
      </c>
    </row>
    <row r="19" spans="1:8" ht="15.75">
      <c r="A19" s="30">
        <v>11</v>
      </c>
      <c r="B19" s="34" t="s">
        <v>165</v>
      </c>
      <c r="C19" s="509">
        <v>14540606</v>
      </c>
      <c r="D19" s="509">
        <v>31422383</v>
      </c>
      <c r="E19" s="510">
        <f t="shared" si="0"/>
        <v>45962989</v>
      </c>
      <c r="F19" s="511">
        <v>25529698</v>
      </c>
      <c r="G19" s="512">
        <v>4109763</v>
      </c>
      <c r="H19" s="513">
        <f>F19+G19</f>
        <v>29639461</v>
      </c>
    </row>
    <row r="20" spans="1:8" ht="15.75">
      <c r="A20" s="30">
        <v>12</v>
      </c>
      <c r="B20" s="36" t="s">
        <v>166</v>
      </c>
      <c r="C20" s="510">
        <f>SUM(C7:C11)+SUM(C14:C19)</f>
        <v>399449788</v>
      </c>
      <c r="D20" s="510">
        <f>SUM(D7:D11)+SUM(D14:D19)</f>
        <v>971020494</v>
      </c>
      <c r="E20" s="510">
        <f t="shared" si="0"/>
        <v>1370470282</v>
      </c>
      <c r="F20" s="510">
        <f>SUM(F7:F11)+SUM(F14:F19)</f>
        <v>430000403</v>
      </c>
      <c r="G20" s="510">
        <f>SUM(G7:G11)+SUM(G14:G19)</f>
        <v>1020006854</v>
      </c>
      <c r="H20" s="513">
        <f t="shared" si="1"/>
        <v>1450007257</v>
      </c>
    </row>
    <row r="21" spans="1:8" ht="15.75">
      <c r="A21" s="30"/>
      <c r="B21" s="31" t="s">
        <v>183</v>
      </c>
      <c r="C21" s="514" t="s">
        <v>956</v>
      </c>
      <c r="D21" s="514"/>
      <c r="E21" s="514"/>
      <c r="F21" s="515" t="s">
        <v>956</v>
      </c>
      <c r="G21" s="516"/>
      <c r="H21" s="517"/>
    </row>
    <row r="22" spans="1:8" ht="15.75">
      <c r="A22" s="30">
        <v>13</v>
      </c>
      <c r="B22" s="34" t="s">
        <v>167</v>
      </c>
      <c r="C22" s="509">
        <v>55977</v>
      </c>
      <c r="D22" s="509">
        <v>107864</v>
      </c>
      <c r="E22" s="510">
        <f>C22+D22</f>
        <v>163841</v>
      </c>
      <c r="F22" s="511">
        <v>51303</v>
      </c>
      <c r="G22" s="512">
        <v>116136</v>
      </c>
      <c r="H22" s="513">
        <f t="shared" si="1"/>
        <v>167439</v>
      </c>
    </row>
    <row r="23" spans="1:8" ht="15.75">
      <c r="A23" s="30">
        <v>14</v>
      </c>
      <c r="B23" s="34" t="s">
        <v>168</v>
      </c>
      <c r="C23" s="509">
        <v>35555659</v>
      </c>
      <c r="D23" s="509">
        <v>427628990</v>
      </c>
      <c r="E23" s="510">
        <f t="shared" ref="E23:E30" si="3">C23+D23</f>
        <v>463184649</v>
      </c>
      <c r="F23" s="511">
        <v>40186914</v>
      </c>
      <c r="G23" s="512">
        <v>302621616</v>
      </c>
      <c r="H23" s="513">
        <f t="shared" si="1"/>
        <v>342808530</v>
      </c>
    </row>
    <row r="24" spans="1:8" ht="15.75">
      <c r="A24" s="30">
        <v>15</v>
      </c>
      <c r="B24" s="34" t="s">
        <v>169</v>
      </c>
      <c r="C24" s="509">
        <v>17727858</v>
      </c>
      <c r="D24" s="509">
        <v>50267625</v>
      </c>
      <c r="E24" s="510">
        <f t="shared" si="3"/>
        <v>67995483</v>
      </c>
      <c r="F24" s="511">
        <v>17004721</v>
      </c>
      <c r="G24" s="512">
        <v>68068682</v>
      </c>
      <c r="H24" s="513">
        <f t="shared" si="1"/>
        <v>85073403</v>
      </c>
    </row>
    <row r="25" spans="1:8" ht="15.75">
      <c r="A25" s="30">
        <v>16</v>
      </c>
      <c r="B25" s="34" t="s">
        <v>170</v>
      </c>
      <c r="C25" s="509">
        <v>82869929</v>
      </c>
      <c r="D25" s="509">
        <v>416823053</v>
      </c>
      <c r="E25" s="510">
        <f t="shared" si="3"/>
        <v>499692982</v>
      </c>
      <c r="F25" s="511">
        <v>72787666</v>
      </c>
      <c r="G25" s="512">
        <v>505256273</v>
      </c>
      <c r="H25" s="513">
        <f t="shared" si="1"/>
        <v>578043939</v>
      </c>
    </row>
    <row r="26" spans="1:8" ht="15.75">
      <c r="A26" s="30">
        <v>17</v>
      </c>
      <c r="B26" s="34" t="s">
        <v>171</v>
      </c>
      <c r="C26" s="514"/>
      <c r="D26" s="514"/>
      <c r="E26" s="510">
        <f t="shared" si="3"/>
        <v>0</v>
      </c>
      <c r="F26" s="515"/>
      <c r="G26" s="516"/>
      <c r="H26" s="513">
        <f t="shared" si="1"/>
        <v>0</v>
      </c>
    </row>
    <row r="27" spans="1:8" ht="15.75">
      <c r="A27" s="30">
        <v>18</v>
      </c>
      <c r="B27" s="34" t="s">
        <v>172</v>
      </c>
      <c r="C27" s="509">
        <v>0</v>
      </c>
      <c r="D27" s="509">
        <v>0</v>
      </c>
      <c r="E27" s="510">
        <f t="shared" si="3"/>
        <v>0</v>
      </c>
      <c r="F27" s="511">
        <v>0</v>
      </c>
      <c r="G27" s="512">
        <v>0</v>
      </c>
      <c r="H27" s="513">
        <f t="shared" si="1"/>
        <v>0</v>
      </c>
    </row>
    <row r="28" spans="1:8" ht="15.75">
      <c r="A28" s="30">
        <v>19</v>
      </c>
      <c r="B28" s="34" t="s">
        <v>173</v>
      </c>
      <c r="C28" s="509">
        <v>6941623</v>
      </c>
      <c r="D28" s="509">
        <v>7781094</v>
      </c>
      <c r="E28" s="510">
        <f t="shared" si="3"/>
        <v>14722717</v>
      </c>
      <c r="F28" s="511">
        <v>3551096</v>
      </c>
      <c r="G28" s="512">
        <v>12050461</v>
      </c>
      <c r="H28" s="513">
        <f t="shared" si="1"/>
        <v>15601557</v>
      </c>
    </row>
    <row r="29" spans="1:8" ht="15.75">
      <c r="A29" s="30">
        <v>20</v>
      </c>
      <c r="B29" s="34" t="s">
        <v>95</v>
      </c>
      <c r="C29" s="509">
        <v>6305533</v>
      </c>
      <c r="D29" s="509">
        <v>1886820</v>
      </c>
      <c r="E29" s="510">
        <f t="shared" si="3"/>
        <v>8192353</v>
      </c>
      <c r="F29" s="511">
        <v>10839807</v>
      </c>
      <c r="G29" s="512">
        <v>5470217</v>
      </c>
      <c r="H29" s="513">
        <f t="shared" si="1"/>
        <v>16310024</v>
      </c>
    </row>
    <row r="30" spans="1:8" ht="15.75">
      <c r="A30" s="30">
        <v>21</v>
      </c>
      <c r="B30" s="34" t="s">
        <v>174</v>
      </c>
      <c r="C30" s="509">
        <v>0</v>
      </c>
      <c r="D30" s="509">
        <v>120950700</v>
      </c>
      <c r="E30" s="510">
        <f t="shared" si="3"/>
        <v>120950700</v>
      </c>
      <c r="F30" s="511">
        <v>0</v>
      </c>
      <c r="G30" s="512">
        <v>223814080</v>
      </c>
      <c r="H30" s="513">
        <f t="shared" si="1"/>
        <v>223814080</v>
      </c>
    </row>
    <row r="31" spans="1:8" ht="15.75">
      <c r="A31" s="30">
        <v>22</v>
      </c>
      <c r="B31" s="36" t="s">
        <v>175</v>
      </c>
      <c r="C31" s="510">
        <f>SUM(C22:C30)</f>
        <v>149456579</v>
      </c>
      <c r="D31" s="510">
        <f>SUM(D22:D30)</f>
        <v>1025446146</v>
      </c>
      <c r="E31" s="510">
        <f>C31+D31</f>
        <v>1174902725</v>
      </c>
      <c r="F31" s="510">
        <f>SUM(F22:F30)</f>
        <v>144421507</v>
      </c>
      <c r="G31" s="510">
        <f>SUM(G22:G30)</f>
        <v>1117397465</v>
      </c>
      <c r="H31" s="513">
        <f t="shared" si="1"/>
        <v>1261818972</v>
      </c>
    </row>
    <row r="32" spans="1:8" ht="15.75">
      <c r="A32" s="30"/>
      <c r="B32" s="31" t="s">
        <v>184</v>
      </c>
      <c r="C32" s="514"/>
      <c r="D32" s="514"/>
      <c r="E32" s="509"/>
      <c r="F32" s="515"/>
      <c r="G32" s="516"/>
      <c r="H32" s="517"/>
    </row>
    <row r="33" spans="1:8" ht="15.75">
      <c r="A33" s="30">
        <v>23</v>
      </c>
      <c r="B33" s="34" t="s">
        <v>176</v>
      </c>
      <c r="C33" s="509">
        <v>114430000</v>
      </c>
      <c r="D33" s="514"/>
      <c r="E33" s="510">
        <f>C33</f>
        <v>114430000</v>
      </c>
      <c r="F33" s="511">
        <v>114430000</v>
      </c>
      <c r="G33" s="516"/>
      <c r="H33" s="513">
        <f t="shared" si="1"/>
        <v>114430000</v>
      </c>
    </row>
    <row r="34" spans="1:8" ht="15.75">
      <c r="A34" s="30">
        <v>24</v>
      </c>
      <c r="B34" s="34" t="s">
        <v>177</v>
      </c>
      <c r="C34" s="509">
        <v>0</v>
      </c>
      <c r="D34" s="514"/>
      <c r="E34" s="510">
        <f t="shared" ref="E34:E40" si="4">C34</f>
        <v>0</v>
      </c>
      <c r="F34" s="511">
        <v>0</v>
      </c>
      <c r="G34" s="516"/>
      <c r="H34" s="513">
        <f t="shared" si="1"/>
        <v>0</v>
      </c>
    </row>
    <row r="35" spans="1:8" ht="15.75">
      <c r="A35" s="30">
        <v>25</v>
      </c>
      <c r="B35" s="35" t="s">
        <v>178</v>
      </c>
      <c r="C35" s="509">
        <v>0</v>
      </c>
      <c r="D35" s="514"/>
      <c r="E35" s="510">
        <f t="shared" si="4"/>
        <v>0</v>
      </c>
      <c r="F35" s="511">
        <v>0</v>
      </c>
      <c r="G35" s="516"/>
      <c r="H35" s="513">
        <f t="shared" si="1"/>
        <v>0</v>
      </c>
    </row>
    <row r="36" spans="1:8" ht="15.75">
      <c r="A36" s="30">
        <v>26</v>
      </c>
      <c r="B36" s="34" t="s">
        <v>179</v>
      </c>
      <c r="C36" s="509">
        <v>0</v>
      </c>
      <c r="D36" s="514"/>
      <c r="E36" s="510">
        <f t="shared" si="4"/>
        <v>0</v>
      </c>
      <c r="F36" s="511">
        <v>0</v>
      </c>
      <c r="G36" s="516"/>
      <c r="H36" s="513">
        <f t="shared" si="1"/>
        <v>0</v>
      </c>
    </row>
    <row r="37" spans="1:8" ht="15.75">
      <c r="A37" s="30">
        <v>27</v>
      </c>
      <c r="B37" s="34" t="s">
        <v>180</v>
      </c>
      <c r="C37" s="509">
        <v>7438034</v>
      </c>
      <c r="D37" s="514"/>
      <c r="E37" s="510">
        <f t="shared" si="4"/>
        <v>7438034</v>
      </c>
      <c r="F37" s="511">
        <v>7438034</v>
      </c>
      <c r="G37" s="516"/>
      <c r="H37" s="513">
        <f t="shared" si="1"/>
        <v>7438034</v>
      </c>
    </row>
    <row r="38" spans="1:8" ht="15.75">
      <c r="A38" s="30">
        <v>28</v>
      </c>
      <c r="B38" s="34" t="s">
        <v>181</v>
      </c>
      <c r="C38" s="509">
        <v>73960973</v>
      </c>
      <c r="D38" s="514"/>
      <c r="E38" s="510">
        <f t="shared" si="4"/>
        <v>73960973</v>
      </c>
      <c r="F38" s="511">
        <v>66012224</v>
      </c>
      <c r="G38" s="516"/>
      <c r="H38" s="513">
        <f t="shared" si="1"/>
        <v>66012224</v>
      </c>
    </row>
    <row r="39" spans="1:8" ht="15.75">
      <c r="A39" s="30">
        <v>29</v>
      </c>
      <c r="B39" s="34" t="s">
        <v>196</v>
      </c>
      <c r="C39" s="509">
        <v>-261450</v>
      </c>
      <c r="D39" s="514"/>
      <c r="E39" s="510">
        <f t="shared" si="4"/>
        <v>-261450</v>
      </c>
      <c r="F39" s="511">
        <v>308027</v>
      </c>
      <c r="G39" s="516"/>
      <c r="H39" s="513">
        <f t="shared" si="1"/>
        <v>308027</v>
      </c>
    </row>
    <row r="40" spans="1:8" ht="15.75">
      <c r="A40" s="30">
        <v>30</v>
      </c>
      <c r="B40" s="36" t="s">
        <v>182</v>
      </c>
      <c r="C40" s="509">
        <f>SUM(C33:C39)</f>
        <v>195567557</v>
      </c>
      <c r="D40" s="514"/>
      <c r="E40" s="510">
        <f t="shared" si="4"/>
        <v>195567557</v>
      </c>
      <c r="F40" s="511">
        <v>188188285</v>
      </c>
      <c r="G40" s="516"/>
      <c r="H40" s="513">
        <f t="shared" si="1"/>
        <v>188188285</v>
      </c>
    </row>
    <row r="41" spans="1:8" ht="16.5" thickBot="1">
      <c r="A41" s="37">
        <v>31</v>
      </c>
      <c r="B41" s="38" t="s">
        <v>197</v>
      </c>
      <c r="C41" s="216">
        <f>C31+C40</f>
        <v>345024136</v>
      </c>
      <c r="D41" s="216">
        <f>D31+D40</f>
        <v>1025446146</v>
      </c>
      <c r="E41" s="216">
        <f>C41+D41</f>
        <v>1370470282</v>
      </c>
      <c r="F41" s="216">
        <f>F31+F40</f>
        <v>332609792</v>
      </c>
      <c r="G41" s="216">
        <f>G31+G40</f>
        <v>1117397465</v>
      </c>
      <c r="H41" s="217">
        <f>F41+G41</f>
        <v>1450007257</v>
      </c>
    </row>
    <row r="43" spans="1:8">
      <c r="B43" s="39"/>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63" zoomScale="85" zoomScaleNormal="85" workbookViewId="0">
      <selection sqref="A1:C1"/>
    </sheetView>
  </sheetViews>
  <sheetFormatPr defaultColWidth="43.5703125" defaultRowHeight="11.25"/>
  <cols>
    <col min="1" max="1" width="8" style="664" customWidth="1"/>
    <col min="2" max="2" width="66.28515625" style="670" customWidth="1"/>
    <col min="3" max="3" width="131.42578125" style="671" customWidth="1"/>
    <col min="4" max="5" width="10.28515625" style="624" customWidth="1"/>
    <col min="6" max="16384" width="43.5703125" style="624"/>
  </cols>
  <sheetData>
    <row r="1" spans="1:3" ht="12.75" thickTop="1" thickBot="1">
      <c r="A1" s="794" t="s">
        <v>326</v>
      </c>
      <c r="B1" s="795"/>
      <c r="C1" s="796"/>
    </row>
    <row r="2" spans="1:3" ht="26.25" customHeight="1">
      <c r="A2" s="625"/>
      <c r="B2" s="797" t="s">
        <v>327</v>
      </c>
      <c r="C2" s="797"/>
    </row>
    <row r="3" spans="1:3" s="627" customFormat="1" ht="11.25" customHeight="1">
      <c r="A3" s="626"/>
      <c r="B3" s="797" t="s">
        <v>419</v>
      </c>
      <c r="C3" s="797"/>
    </row>
    <row r="4" spans="1:3" ht="12" customHeight="1" thickBot="1">
      <c r="A4" s="798" t="s">
        <v>423</v>
      </c>
      <c r="B4" s="799"/>
      <c r="C4" s="800"/>
    </row>
    <row r="5" spans="1:3" ht="12" thickTop="1">
      <c r="A5" s="628"/>
      <c r="B5" s="801" t="s">
        <v>328</v>
      </c>
      <c r="C5" s="802"/>
    </row>
    <row r="6" spans="1:3">
      <c r="A6" s="625"/>
      <c r="B6" s="788" t="s">
        <v>420</v>
      </c>
      <c r="C6" s="789"/>
    </row>
    <row r="7" spans="1:3">
      <c r="A7" s="625"/>
      <c r="B7" s="788" t="s">
        <v>329</v>
      </c>
      <c r="C7" s="789"/>
    </row>
    <row r="8" spans="1:3">
      <c r="A8" s="625"/>
      <c r="B8" s="788" t="s">
        <v>421</v>
      </c>
      <c r="C8" s="789"/>
    </row>
    <row r="9" spans="1:3">
      <c r="A9" s="625"/>
      <c r="B9" s="790" t="s">
        <v>422</v>
      </c>
      <c r="C9" s="791"/>
    </row>
    <row r="10" spans="1:3">
      <c r="A10" s="625"/>
      <c r="B10" s="792" t="s">
        <v>330</v>
      </c>
      <c r="C10" s="793" t="s">
        <v>330</v>
      </c>
    </row>
    <row r="11" spans="1:3">
      <c r="A11" s="625"/>
      <c r="B11" s="792" t="s">
        <v>331</v>
      </c>
      <c r="C11" s="793" t="s">
        <v>331</v>
      </c>
    </row>
    <row r="12" spans="1:3">
      <c r="A12" s="625"/>
      <c r="B12" s="792" t="s">
        <v>332</v>
      </c>
      <c r="C12" s="793" t="s">
        <v>332</v>
      </c>
    </row>
    <row r="13" spans="1:3">
      <c r="A13" s="625"/>
      <c r="B13" s="792" t="s">
        <v>333</v>
      </c>
      <c r="C13" s="793" t="s">
        <v>333</v>
      </c>
    </row>
    <row r="14" spans="1:3">
      <c r="A14" s="625"/>
      <c r="B14" s="792" t="s">
        <v>334</v>
      </c>
      <c r="C14" s="793" t="s">
        <v>334</v>
      </c>
    </row>
    <row r="15" spans="1:3" ht="21.75" customHeight="1">
      <c r="A15" s="625"/>
      <c r="B15" s="792" t="s">
        <v>335</v>
      </c>
      <c r="C15" s="793" t="s">
        <v>335</v>
      </c>
    </row>
    <row r="16" spans="1:3">
      <c r="A16" s="625"/>
      <c r="B16" s="792" t="s">
        <v>336</v>
      </c>
      <c r="C16" s="793" t="s">
        <v>337</v>
      </c>
    </row>
    <row r="17" spans="1:3">
      <c r="A17" s="625"/>
      <c r="B17" s="792" t="s">
        <v>338</v>
      </c>
      <c r="C17" s="793" t="s">
        <v>339</v>
      </c>
    </row>
    <row r="18" spans="1:3">
      <c r="A18" s="625"/>
      <c r="B18" s="792" t="s">
        <v>340</v>
      </c>
      <c r="C18" s="793" t="s">
        <v>341</v>
      </c>
    </row>
    <row r="19" spans="1:3">
      <c r="A19" s="625"/>
      <c r="B19" s="792" t="s">
        <v>342</v>
      </c>
      <c r="C19" s="793" t="s">
        <v>342</v>
      </c>
    </row>
    <row r="20" spans="1:3">
      <c r="A20" s="625"/>
      <c r="B20" s="792" t="s">
        <v>343</v>
      </c>
      <c r="C20" s="793" t="s">
        <v>343</v>
      </c>
    </row>
    <row r="21" spans="1:3">
      <c r="A21" s="625"/>
      <c r="B21" s="792" t="s">
        <v>344</v>
      </c>
      <c r="C21" s="793" t="s">
        <v>344</v>
      </c>
    </row>
    <row r="22" spans="1:3" ht="23.25" customHeight="1">
      <c r="A22" s="625"/>
      <c r="B22" s="792" t="s">
        <v>345</v>
      </c>
      <c r="C22" s="793" t="s">
        <v>346</v>
      </c>
    </row>
    <row r="23" spans="1:3">
      <c r="A23" s="625"/>
      <c r="B23" s="792" t="s">
        <v>347</v>
      </c>
      <c r="C23" s="793" t="s">
        <v>347</v>
      </c>
    </row>
    <row r="24" spans="1:3">
      <c r="A24" s="625"/>
      <c r="B24" s="792" t="s">
        <v>348</v>
      </c>
      <c r="C24" s="793" t="s">
        <v>349</v>
      </c>
    </row>
    <row r="25" spans="1:3" ht="12" thickBot="1">
      <c r="A25" s="629"/>
      <c r="B25" s="805" t="s">
        <v>350</v>
      </c>
      <c r="C25" s="806"/>
    </row>
    <row r="26" spans="1:3" ht="12.75" thickTop="1" thickBot="1">
      <c r="A26" s="798" t="s">
        <v>433</v>
      </c>
      <c r="B26" s="799"/>
      <c r="C26" s="800"/>
    </row>
    <row r="27" spans="1:3" ht="12.75" thickTop="1" thickBot="1">
      <c r="A27" s="630"/>
      <c r="B27" s="807" t="s">
        <v>351</v>
      </c>
      <c r="C27" s="808"/>
    </row>
    <row r="28" spans="1:3" ht="12.75" thickTop="1" thickBot="1">
      <c r="A28" s="798" t="s">
        <v>424</v>
      </c>
      <c r="B28" s="799"/>
      <c r="C28" s="800"/>
    </row>
    <row r="29" spans="1:3" ht="12" thickTop="1">
      <c r="A29" s="628"/>
      <c r="B29" s="809" t="s">
        <v>352</v>
      </c>
      <c r="C29" s="810" t="s">
        <v>353</v>
      </c>
    </row>
    <row r="30" spans="1:3">
      <c r="A30" s="625"/>
      <c r="B30" s="803" t="s">
        <v>354</v>
      </c>
      <c r="C30" s="804" t="s">
        <v>355</v>
      </c>
    </row>
    <row r="31" spans="1:3">
      <c r="A31" s="625"/>
      <c r="B31" s="803" t="s">
        <v>356</v>
      </c>
      <c r="C31" s="804" t="s">
        <v>357</v>
      </c>
    </row>
    <row r="32" spans="1:3">
      <c r="A32" s="625"/>
      <c r="B32" s="803" t="s">
        <v>358</v>
      </c>
      <c r="C32" s="804" t="s">
        <v>359</v>
      </c>
    </row>
    <row r="33" spans="1:3">
      <c r="A33" s="625"/>
      <c r="B33" s="803" t="s">
        <v>360</v>
      </c>
      <c r="C33" s="804" t="s">
        <v>361</v>
      </c>
    </row>
    <row r="34" spans="1:3">
      <c r="A34" s="625"/>
      <c r="B34" s="803" t="s">
        <v>362</v>
      </c>
      <c r="C34" s="804" t="s">
        <v>363</v>
      </c>
    </row>
    <row r="35" spans="1:3" ht="23.25" customHeight="1">
      <c r="A35" s="625"/>
      <c r="B35" s="803" t="s">
        <v>364</v>
      </c>
      <c r="C35" s="804" t="s">
        <v>365</v>
      </c>
    </row>
    <row r="36" spans="1:3" ht="24" customHeight="1">
      <c r="A36" s="625"/>
      <c r="B36" s="803" t="s">
        <v>366</v>
      </c>
      <c r="C36" s="804" t="s">
        <v>367</v>
      </c>
    </row>
    <row r="37" spans="1:3" ht="24.75" customHeight="1">
      <c r="A37" s="625"/>
      <c r="B37" s="803" t="s">
        <v>368</v>
      </c>
      <c r="C37" s="804" t="s">
        <v>369</v>
      </c>
    </row>
    <row r="38" spans="1:3" ht="23.25" customHeight="1">
      <c r="A38" s="625"/>
      <c r="B38" s="803" t="s">
        <v>425</v>
      </c>
      <c r="C38" s="804" t="s">
        <v>370</v>
      </c>
    </row>
    <row r="39" spans="1:3" ht="39.75" customHeight="1">
      <c r="A39" s="625"/>
      <c r="B39" s="792" t="s">
        <v>439</v>
      </c>
      <c r="C39" s="793" t="s">
        <v>371</v>
      </c>
    </row>
    <row r="40" spans="1:3" ht="12" customHeight="1">
      <c r="A40" s="625"/>
      <c r="B40" s="803" t="s">
        <v>372</v>
      </c>
      <c r="C40" s="804" t="s">
        <v>373</v>
      </c>
    </row>
    <row r="41" spans="1:3" ht="27" customHeight="1" thickBot="1">
      <c r="A41" s="629"/>
      <c r="B41" s="813" t="s">
        <v>374</v>
      </c>
      <c r="C41" s="814" t="s">
        <v>375</v>
      </c>
    </row>
    <row r="42" spans="1:3" ht="12.75" thickTop="1" thickBot="1">
      <c r="A42" s="798" t="s">
        <v>426</v>
      </c>
      <c r="B42" s="799"/>
      <c r="C42" s="800"/>
    </row>
    <row r="43" spans="1:3" ht="12" thickTop="1">
      <c r="A43" s="628"/>
      <c r="B43" s="801" t="s">
        <v>462</v>
      </c>
      <c r="C43" s="802" t="s">
        <v>376</v>
      </c>
    </row>
    <row r="44" spans="1:3">
      <c r="A44" s="625"/>
      <c r="B44" s="788" t="s">
        <v>461</v>
      </c>
      <c r="C44" s="789"/>
    </row>
    <row r="45" spans="1:3" ht="23.25" customHeight="1" thickBot="1">
      <c r="A45" s="629"/>
      <c r="B45" s="811" t="s">
        <v>377</v>
      </c>
      <c r="C45" s="812" t="s">
        <v>378</v>
      </c>
    </row>
    <row r="46" spans="1:3" ht="11.25" customHeight="1" thickTop="1" thickBot="1">
      <c r="A46" s="798" t="s">
        <v>427</v>
      </c>
      <c r="B46" s="799"/>
      <c r="C46" s="800"/>
    </row>
    <row r="47" spans="1:3" ht="26.25" customHeight="1" thickTop="1">
      <c r="A47" s="625"/>
      <c r="B47" s="788" t="s">
        <v>428</v>
      </c>
      <c r="C47" s="789"/>
    </row>
    <row r="48" spans="1:3" ht="12" thickBot="1">
      <c r="A48" s="798" t="s">
        <v>429</v>
      </c>
      <c r="B48" s="799"/>
      <c r="C48" s="800"/>
    </row>
    <row r="49" spans="1:3" ht="12" thickTop="1">
      <c r="A49" s="628"/>
      <c r="B49" s="801" t="s">
        <v>379</v>
      </c>
      <c r="C49" s="802" t="s">
        <v>379</v>
      </c>
    </row>
    <row r="50" spans="1:3" ht="11.25" customHeight="1">
      <c r="A50" s="625"/>
      <c r="B50" s="788" t="s">
        <v>380</v>
      </c>
      <c r="C50" s="789" t="s">
        <v>380</v>
      </c>
    </row>
    <row r="51" spans="1:3">
      <c r="A51" s="625"/>
      <c r="B51" s="788" t="s">
        <v>381</v>
      </c>
      <c r="C51" s="789" t="s">
        <v>381</v>
      </c>
    </row>
    <row r="52" spans="1:3" ht="11.25" customHeight="1">
      <c r="A52" s="625"/>
      <c r="B52" s="788" t="s">
        <v>489</v>
      </c>
      <c r="C52" s="789" t="s">
        <v>382</v>
      </c>
    </row>
    <row r="53" spans="1:3" ht="33.6" customHeight="1">
      <c r="A53" s="625"/>
      <c r="B53" s="788" t="s">
        <v>383</v>
      </c>
      <c r="C53" s="789" t="s">
        <v>383</v>
      </c>
    </row>
    <row r="54" spans="1:3" ht="11.25" customHeight="1">
      <c r="A54" s="625"/>
      <c r="B54" s="788" t="s">
        <v>482</v>
      </c>
      <c r="C54" s="789" t="s">
        <v>384</v>
      </c>
    </row>
    <row r="55" spans="1:3" ht="11.25" customHeight="1" thickBot="1">
      <c r="A55" s="798" t="s">
        <v>430</v>
      </c>
      <c r="B55" s="799"/>
      <c r="C55" s="800"/>
    </row>
    <row r="56" spans="1:3" ht="12" thickTop="1">
      <c r="A56" s="628"/>
      <c r="B56" s="801" t="s">
        <v>379</v>
      </c>
      <c r="C56" s="802" t="s">
        <v>379</v>
      </c>
    </row>
    <row r="57" spans="1:3">
      <c r="A57" s="625"/>
      <c r="B57" s="788" t="s">
        <v>385</v>
      </c>
      <c r="C57" s="789" t="s">
        <v>385</v>
      </c>
    </row>
    <row r="58" spans="1:3">
      <c r="A58" s="625"/>
      <c r="B58" s="788" t="s">
        <v>436</v>
      </c>
      <c r="C58" s="789" t="s">
        <v>386</v>
      </c>
    </row>
    <row r="59" spans="1:3">
      <c r="A59" s="625"/>
      <c r="B59" s="788" t="s">
        <v>387</v>
      </c>
      <c r="C59" s="789" t="s">
        <v>387</v>
      </c>
    </row>
    <row r="60" spans="1:3">
      <c r="A60" s="625"/>
      <c r="B60" s="788" t="s">
        <v>388</v>
      </c>
      <c r="C60" s="789" t="s">
        <v>388</v>
      </c>
    </row>
    <row r="61" spans="1:3">
      <c r="A61" s="625"/>
      <c r="B61" s="788" t="s">
        <v>389</v>
      </c>
      <c r="C61" s="789" t="s">
        <v>389</v>
      </c>
    </row>
    <row r="62" spans="1:3">
      <c r="A62" s="625"/>
      <c r="B62" s="788" t="s">
        <v>437</v>
      </c>
      <c r="C62" s="789" t="s">
        <v>390</v>
      </c>
    </row>
    <row r="63" spans="1:3">
      <c r="A63" s="625"/>
      <c r="B63" s="788" t="s">
        <v>391</v>
      </c>
      <c r="C63" s="789" t="s">
        <v>391</v>
      </c>
    </row>
    <row r="64" spans="1:3" ht="12" thickBot="1">
      <c r="A64" s="629"/>
      <c r="B64" s="811" t="s">
        <v>392</v>
      </c>
      <c r="C64" s="812" t="s">
        <v>392</v>
      </c>
    </row>
    <row r="65" spans="1:3" ht="11.25" customHeight="1" thickTop="1">
      <c r="A65" s="817" t="s">
        <v>431</v>
      </c>
      <c r="B65" s="818"/>
      <c r="C65" s="819"/>
    </row>
    <row r="66" spans="1:3" ht="12" thickBot="1">
      <c r="A66" s="629"/>
      <c r="B66" s="811" t="s">
        <v>393</v>
      </c>
      <c r="C66" s="812" t="s">
        <v>393</v>
      </c>
    </row>
    <row r="67" spans="1:3" ht="11.25" customHeight="1" thickTop="1" thickBot="1">
      <c r="A67" s="798" t="s">
        <v>432</v>
      </c>
      <c r="B67" s="799"/>
      <c r="C67" s="800"/>
    </row>
    <row r="68" spans="1:3" ht="12" thickTop="1">
      <c r="A68" s="628"/>
      <c r="B68" s="801" t="s">
        <v>394</v>
      </c>
      <c r="C68" s="802" t="s">
        <v>394</v>
      </c>
    </row>
    <row r="69" spans="1:3">
      <c r="A69" s="625"/>
      <c r="B69" s="788" t="s">
        <v>395</v>
      </c>
      <c r="C69" s="789" t="s">
        <v>395</v>
      </c>
    </row>
    <row r="70" spans="1:3">
      <c r="A70" s="625"/>
      <c r="B70" s="788" t="s">
        <v>396</v>
      </c>
      <c r="C70" s="789" t="s">
        <v>396</v>
      </c>
    </row>
    <row r="71" spans="1:3" ht="55.15" customHeight="1">
      <c r="A71" s="625"/>
      <c r="B71" s="815" t="s">
        <v>1020</v>
      </c>
      <c r="C71" s="816" t="s">
        <v>397</v>
      </c>
    </row>
    <row r="72" spans="1:3" ht="33.75" customHeight="1">
      <c r="A72" s="625"/>
      <c r="B72" s="815" t="s">
        <v>441</v>
      </c>
      <c r="C72" s="816" t="s">
        <v>398</v>
      </c>
    </row>
    <row r="73" spans="1:3" ht="15.75" customHeight="1">
      <c r="A73" s="625"/>
      <c r="B73" s="815" t="s">
        <v>438</v>
      </c>
      <c r="C73" s="816" t="s">
        <v>399</v>
      </c>
    </row>
    <row r="74" spans="1:3">
      <c r="A74" s="625"/>
      <c r="B74" s="788" t="s">
        <v>400</v>
      </c>
      <c r="C74" s="789" t="s">
        <v>400</v>
      </c>
    </row>
    <row r="75" spans="1:3" ht="12" thickBot="1">
      <c r="A75" s="629"/>
      <c r="B75" s="811" t="s">
        <v>401</v>
      </c>
      <c r="C75" s="812" t="s">
        <v>401</v>
      </c>
    </row>
    <row r="76" spans="1:3" ht="12" thickTop="1">
      <c r="A76" s="817" t="s">
        <v>465</v>
      </c>
      <c r="B76" s="818"/>
      <c r="C76" s="819"/>
    </row>
    <row r="77" spans="1:3">
      <c r="A77" s="625"/>
      <c r="B77" s="788" t="s">
        <v>393</v>
      </c>
      <c r="C77" s="789"/>
    </row>
    <row r="78" spans="1:3">
      <c r="A78" s="625"/>
      <c r="B78" s="788" t="s">
        <v>463</v>
      </c>
      <c r="C78" s="789"/>
    </row>
    <row r="79" spans="1:3">
      <c r="A79" s="625"/>
      <c r="B79" s="788" t="s">
        <v>464</v>
      </c>
      <c r="C79" s="789"/>
    </row>
    <row r="80" spans="1:3">
      <c r="A80" s="817" t="s">
        <v>466</v>
      </c>
      <c r="B80" s="818"/>
      <c r="C80" s="819"/>
    </row>
    <row r="81" spans="1:3">
      <c r="A81" s="625"/>
      <c r="B81" s="788" t="s">
        <v>393</v>
      </c>
      <c r="C81" s="789"/>
    </row>
    <row r="82" spans="1:3">
      <c r="A82" s="625"/>
      <c r="B82" s="788" t="s">
        <v>467</v>
      </c>
      <c r="C82" s="789"/>
    </row>
    <row r="83" spans="1:3" ht="76.5" customHeight="1">
      <c r="A83" s="625"/>
      <c r="B83" s="788" t="s">
        <v>481</v>
      </c>
      <c r="C83" s="789"/>
    </row>
    <row r="84" spans="1:3" ht="53.25" customHeight="1">
      <c r="A84" s="625"/>
      <c r="B84" s="788" t="s">
        <v>480</v>
      </c>
      <c r="C84" s="789"/>
    </row>
    <row r="85" spans="1:3">
      <c r="A85" s="625"/>
      <c r="B85" s="788" t="s">
        <v>468</v>
      </c>
      <c r="C85" s="789"/>
    </row>
    <row r="86" spans="1:3">
      <c r="A86" s="625"/>
      <c r="B86" s="788" t="s">
        <v>469</v>
      </c>
      <c r="C86" s="789"/>
    </row>
    <row r="87" spans="1:3">
      <c r="A87" s="625"/>
      <c r="B87" s="788" t="s">
        <v>470</v>
      </c>
      <c r="C87" s="789"/>
    </row>
    <row r="88" spans="1:3">
      <c r="A88" s="817" t="s">
        <v>471</v>
      </c>
      <c r="B88" s="818"/>
      <c r="C88" s="819"/>
    </row>
    <row r="89" spans="1:3">
      <c r="A89" s="625"/>
      <c r="B89" s="788" t="s">
        <v>393</v>
      </c>
      <c r="C89" s="789"/>
    </row>
    <row r="90" spans="1:3">
      <c r="A90" s="625"/>
      <c r="B90" s="788" t="s">
        <v>473</v>
      </c>
      <c r="C90" s="789"/>
    </row>
    <row r="91" spans="1:3" ht="12" customHeight="1">
      <c r="A91" s="625"/>
      <c r="B91" s="788" t="s">
        <v>474</v>
      </c>
      <c r="C91" s="789"/>
    </row>
    <row r="92" spans="1:3">
      <c r="A92" s="625"/>
      <c r="B92" s="788" t="s">
        <v>475</v>
      </c>
      <c r="C92" s="789"/>
    </row>
    <row r="93" spans="1:3" ht="24.75" customHeight="1">
      <c r="A93" s="625"/>
      <c r="B93" s="820" t="s">
        <v>517</v>
      </c>
      <c r="C93" s="821"/>
    </row>
    <row r="94" spans="1:3" ht="24" customHeight="1">
      <c r="A94" s="625"/>
      <c r="B94" s="820" t="s">
        <v>518</v>
      </c>
      <c r="C94" s="821"/>
    </row>
    <row r="95" spans="1:3" ht="13.5" customHeight="1">
      <c r="A95" s="625"/>
      <c r="B95" s="803" t="s">
        <v>476</v>
      </c>
      <c r="C95" s="804"/>
    </row>
    <row r="96" spans="1:3" ht="11.25" customHeight="1" thickBot="1">
      <c r="A96" s="822" t="s">
        <v>513</v>
      </c>
      <c r="B96" s="823"/>
      <c r="C96" s="824"/>
    </row>
    <row r="97" spans="1:3" ht="12.75" thickTop="1" thickBot="1">
      <c r="A97" s="831" t="s">
        <v>402</v>
      </c>
      <c r="B97" s="831"/>
      <c r="C97" s="831"/>
    </row>
    <row r="98" spans="1:3">
      <c r="A98" s="631">
        <v>2</v>
      </c>
      <c r="B98" s="632" t="s">
        <v>493</v>
      </c>
      <c r="C98" s="632" t="s">
        <v>514</v>
      </c>
    </row>
    <row r="99" spans="1:3">
      <c r="A99" s="633">
        <v>3</v>
      </c>
      <c r="B99" s="634" t="s">
        <v>494</v>
      </c>
      <c r="C99" s="635" t="s">
        <v>515</v>
      </c>
    </row>
    <row r="100" spans="1:3">
      <c r="A100" s="633">
        <v>4</v>
      </c>
      <c r="B100" s="634" t="s">
        <v>495</v>
      </c>
      <c r="C100" s="635" t="s">
        <v>519</v>
      </c>
    </row>
    <row r="101" spans="1:3" ht="11.25" customHeight="1">
      <c r="A101" s="633">
        <v>5</v>
      </c>
      <c r="B101" s="634" t="s">
        <v>496</v>
      </c>
      <c r="C101" s="635" t="s">
        <v>516</v>
      </c>
    </row>
    <row r="102" spans="1:3" ht="12" customHeight="1">
      <c r="A102" s="633">
        <v>6</v>
      </c>
      <c r="B102" s="634" t="s">
        <v>511</v>
      </c>
      <c r="C102" s="635" t="s">
        <v>497</v>
      </c>
    </row>
    <row r="103" spans="1:3" ht="12" customHeight="1">
      <c r="A103" s="633">
        <v>7</v>
      </c>
      <c r="B103" s="634" t="s">
        <v>498</v>
      </c>
      <c r="C103" s="635" t="s">
        <v>512</v>
      </c>
    </row>
    <row r="104" spans="1:3">
      <c r="A104" s="633">
        <v>8</v>
      </c>
      <c r="B104" s="634" t="s">
        <v>503</v>
      </c>
      <c r="C104" s="635" t="s">
        <v>523</v>
      </c>
    </row>
    <row r="105" spans="1:3" ht="11.25" customHeight="1">
      <c r="A105" s="817" t="s">
        <v>477</v>
      </c>
      <c r="B105" s="818"/>
      <c r="C105" s="819"/>
    </row>
    <row r="106" spans="1:3" ht="12" customHeight="1">
      <c r="A106" s="625"/>
      <c r="B106" s="788" t="s">
        <v>393</v>
      </c>
      <c r="C106" s="789"/>
    </row>
    <row r="107" spans="1:3">
      <c r="A107" s="817" t="s">
        <v>660</v>
      </c>
      <c r="B107" s="818"/>
      <c r="C107" s="819"/>
    </row>
    <row r="108" spans="1:3" ht="12" customHeight="1">
      <c r="A108" s="625"/>
      <c r="B108" s="788" t="s">
        <v>662</v>
      </c>
      <c r="C108" s="789"/>
    </row>
    <row r="109" spans="1:3">
      <c r="A109" s="625"/>
      <c r="B109" s="788" t="s">
        <v>663</v>
      </c>
      <c r="C109" s="789"/>
    </row>
    <row r="110" spans="1:3">
      <c r="A110" s="625"/>
      <c r="B110" s="788" t="s">
        <v>661</v>
      </c>
      <c r="C110" s="789"/>
    </row>
    <row r="111" spans="1:3">
      <c r="A111" s="825" t="s">
        <v>1021</v>
      </c>
      <c r="B111" s="825"/>
      <c r="C111" s="825"/>
    </row>
    <row r="112" spans="1:3">
      <c r="A112" s="826" t="s">
        <v>326</v>
      </c>
      <c r="B112" s="826"/>
      <c r="C112" s="826"/>
    </row>
    <row r="113" spans="1:3">
      <c r="A113" s="636">
        <v>1</v>
      </c>
      <c r="B113" s="827" t="s">
        <v>837</v>
      </c>
      <c r="C113" s="828"/>
    </row>
    <row r="114" spans="1:3">
      <c r="A114" s="636">
        <v>2</v>
      </c>
      <c r="B114" s="829" t="s">
        <v>838</v>
      </c>
      <c r="C114" s="830"/>
    </row>
    <row r="115" spans="1:3">
      <c r="A115" s="636">
        <v>3</v>
      </c>
      <c r="B115" s="827" t="s">
        <v>839</v>
      </c>
      <c r="C115" s="828"/>
    </row>
    <row r="116" spans="1:3">
      <c r="A116" s="636">
        <v>4</v>
      </c>
      <c r="B116" s="827" t="s">
        <v>840</v>
      </c>
      <c r="C116" s="828"/>
    </row>
    <row r="117" spans="1:3">
      <c r="A117" s="636">
        <v>5</v>
      </c>
      <c r="B117" s="827" t="s">
        <v>841</v>
      </c>
      <c r="C117" s="828"/>
    </row>
    <row r="118" spans="1:3" ht="55.5" customHeight="1">
      <c r="A118" s="636">
        <v>6</v>
      </c>
      <c r="B118" s="827" t="s">
        <v>949</v>
      </c>
      <c r="C118" s="828"/>
    </row>
    <row r="119" spans="1:3" ht="22.5">
      <c r="A119" s="636">
        <v>6.01</v>
      </c>
      <c r="B119" s="637" t="s">
        <v>696</v>
      </c>
      <c r="C119" s="638" t="s">
        <v>950</v>
      </c>
    </row>
    <row r="120" spans="1:3" ht="33.75">
      <c r="A120" s="636">
        <v>6.02</v>
      </c>
      <c r="B120" s="637" t="s">
        <v>697</v>
      </c>
      <c r="C120" s="638" t="s">
        <v>1022</v>
      </c>
    </row>
    <row r="121" spans="1:3">
      <c r="A121" s="636">
        <v>6.03</v>
      </c>
      <c r="B121" s="638" t="s">
        <v>698</v>
      </c>
      <c r="C121" s="638" t="s">
        <v>842</v>
      </c>
    </row>
    <row r="122" spans="1:3">
      <c r="A122" s="636">
        <v>6.04</v>
      </c>
      <c r="B122" s="637" t="s">
        <v>699</v>
      </c>
      <c r="C122" s="639" t="s">
        <v>843</v>
      </c>
    </row>
    <row r="123" spans="1:3">
      <c r="A123" s="636">
        <v>6.05</v>
      </c>
      <c r="B123" s="637" t="s">
        <v>700</v>
      </c>
      <c r="C123" s="639" t="s">
        <v>844</v>
      </c>
    </row>
    <row r="124" spans="1:3" ht="22.5">
      <c r="A124" s="636">
        <v>6.06</v>
      </c>
      <c r="B124" s="637" t="s">
        <v>701</v>
      </c>
      <c r="C124" s="639" t="s">
        <v>845</v>
      </c>
    </row>
    <row r="125" spans="1:3">
      <c r="A125" s="636">
        <v>6.07</v>
      </c>
      <c r="B125" s="640" t="s">
        <v>702</v>
      </c>
      <c r="C125" s="639" t="s">
        <v>846</v>
      </c>
    </row>
    <row r="126" spans="1:3" ht="22.5">
      <c r="A126" s="636">
        <v>6.08</v>
      </c>
      <c r="B126" s="637" t="s">
        <v>703</v>
      </c>
      <c r="C126" s="639" t="s">
        <v>847</v>
      </c>
    </row>
    <row r="127" spans="1:3" ht="22.5">
      <c r="A127" s="636">
        <v>6.09</v>
      </c>
      <c r="B127" s="641" t="s">
        <v>704</v>
      </c>
      <c r="C127" s="639" t="s">
        <v>848</v>
      </c>
    </row>
    <row r="128" spans="1:3">
      <c r="A128" s="480">
        <v>6.1</v>
      </c>
      <c r="B128" s="641" t="s">
        <v>705</v>
      </c>
      <c r="C128" s="639" t="s">
        <v>849</v>
      </c>
    </row>
    <row r="129" spans="1:3">
      <c r="A129" s="636">
        <v>6.11</v>
      </c>
      <c r="B129" s="641" t="s">
        <v>706</v>
      </c>
      <c r="C129" s="639" t="s">
        <v>850</v>
      </c>
    </row>
    <row r="130" spans="1:3">
      <c r="A130" s="636">
        <v>6.12</v>
      </c>
      <c r="B130" s="641" t="s">
        <v>707</v>
      </c>
      <c r="C130" s="639" t="s">
        <v>851</v>
      </c>
    </row>
    <row r="131" spans="1:3">
      <c r="A131" s="636">
        <v>6.13</v>
      </c>
      <c r="B131" s="641" t="s">
        <v>708</v>
      </c>
      <c r="C131" s="638" t="s">
        <v>852</v>
      </c>
    </row>
    <row r="132" spans="1:3">
      <c r="A132" s="636">
        <v>6.14</v>
      </c>
      <c r="B132" s="641" t="s">
        <v>709</v>
      </c>
      <c r="C132" s="638" t="s">
        <v>853</v>
      </c>
    </row>
    <row r="133" spans="1:3">
      <c r="A133" s="636">
        <v>6.15</v>
      </c>
      <c r="B133" s="641" t="s">
        <v>710</v>
      </c>
      <c r="C133" s="638" t="s">
        <v>854</v>
      </c>
    </row>
    <row r="134" spans="1:3" ht="22.5">
      <c r="A134" s="636">
        <v>6.16</v>
      </c>
      <c r="B134" s="641" t="s">
        <v>711</v>
      </c>
      <c r="C134" s="638" t="s">
        <v>855</v>
      </c>
    </row>
    <row r="135" spans="1:3">
      <c r="A135" s="636">
        <v>6.17</v>
      </c>
      <c r="B135" s="638" t="s">
        <v>712</v>
      </c>
      <c r="C135" s="638" t="s">
        <v>856</v>
      </c>
    </row>
    <row r="136" spans="1:3" ht="22.5">
      <c r="A136" s="636">
        <v>6.18</v>
      </c>
      <c r="B136" s="641" t="s">
        <v>713</v>
      </c>
      <c r="C136" s="638" t="s">
        <v>857</v>
      </c>
    </row>
    <row r="137" spans="1:3">
      <c r="A137" s="636">
        <v>6.19</v>
      </c>
      <c r="B137" s="641" t="s">
        <v>714</v>
      </c>
      <c r="C137" s="638" t="s">
        <v>858</v>
      </c>
    </row>
    <row r="138" spans="1:3">
      <c r="A138" s="480">
        <v>6.2</v>
      </c>
      <c r="B138" s="641" t="s">
        <v>715</v>
      </c>
      <c r="C138" s="638" t="s">
        <v>859</v>
      </c>
    </row>
    <row r="139" spans="1:3">
      <c r="A139" s="636">
        <v>6.21</v>
      </c>
      <c r="B139" s="641" t="s">
        <v>716</v>
      </c>
      <c r="C139" s="638" t="s">
        <v>860</v>
      </c>
    </row>
    <row r="140" spans="1:3">
      <c r="A140" s="636">
        <v>6.22</v>
      </c>
      <c r="B140" s="641" t="s">
        <v>717</v>
      </c>
      <c r="C140" s="638" t="s">
        <v>861</v>
      </c>
    </row>
    <row r="141" spans="1:3" ht="22.5">
      <c r="A141" s="636">
        <v>6.23</v>
      </c>
      <c r="B141" s="641" t="s">
        <v>718</v>
      </c>
      <c r="C141" s="638" t="s">
        <v>862</v>
      </c>
    </row>
    <row r="142" spans="1:3" ht="22.5">
      <c r="A142" s="636">
        <v>6.24</v>
      </c>
      <c r="B142" s="637" t="s">
        <v>719</v>
      </c>
      <c r="C142" s="638" t="s">
        <v>863</v>
      </c>
    </row>
    <row r="143" spans="1:3">
      <c r="A143" s="636">
        <v>6.2500000000000098</v>
      </c>
      <c r="B143" s="637" t="s">
        <v>720</v>
      </c>
      <c r="C143" s="638" t="s">
        <v>864</v>
      </c>
    </row>
    <row r="144" spans="1:3" ht="22.5">
      <c r="A144" s="636">
        <v>6.2600000000000202</v>
      </c>
      <c r="B144" s="637" t="s">
        <v>865</v>
      </c>
      <c r="C144" s="642" t="s">
        <v>866</v>
      </c>
    </row>
    <row r="145" spans="1:3" ht="22.5">
      <c r="A145" s="636">
        <v>6.2700000000000298</v>
      </c>
      <c r="B145" s="637" t="s">
        <v>165</v>
      </c>
      <c r="C145" s="642" t="s">
        <v>952</v>
      </c>
    </row>
    <row r="146" spans="1:3">
      <c r="A146" s="636"/>
      <c r="B146" s="832" t="s">
        <v>867</v>
      </c>
      <c r="C146" s="833"/>
    </row>
    <row r="147" spans="1:3" s="644" customFormat="1">
      <c r="A147" s="643">
        <v>7.1</v>
      </c>
      <c r="B147" s="637" t="s">
        <v>868</v>
      </c>
      <c r="C147" s="836" t="s">
        <v>869</v>
      </c>
    </row>
    <row r="148" spans="1:3" s="644" customFormat="1">
      <c r="A148" s="643">
        <v>7.2</v>
      </c>
      <c r="B148" s="637" t="s">
        <v>870</v>
      </c>
      <c r="C148" s="837"/>
    </row>
    <row r="149" spans="1:3" s="644" customFormat="1">
      <c r="A149" s="643">
        <v>7.3</v>
      </c>
      <c r="B149" s="637" t="s">
        <v>871</v>
      </c>
      <c r="C149" s="837"/>
    </row>
    <row r="150" spans="1:3" s="644" customFormat="1">
      <c r="A150" s="643">
        <v>7.4</v>
      </c>
      <c r="B150" s="637" t="s">
        <v>872</v>
      </c>
      <c r="C150" s="837"/>
    </row>
    <row r="151" spans="1:3" s="644" customFormat="1">
      <c r="A151" s="643">
        <v>7.5</v>
      </c>
      <c r="B151" s="637" t="s">
        <v>873</v>
      </c>
      <c r="C151" s="837"/>
    </row>
    <row r="152" spans="1:3" s="644" customFormat="1">
      <c r="A152" s="643">
        <v>7.6</v>
      </c>
      <c r="B152" s="637" t="s">
        <v>945</v>
      </c>
      <c r="C152" s="838"/>
    </row>
    <row r="153" spans="1:3" s="644" customFormat="1" ht="22.5">
      <c r="A153" s="643">
        <v>7.7</v>
      </c>
      <c r="B153" s="637" t="s">
        <v>874</v>
      </c>
      <c r="C153" s="645" t="s">
        <v>875</v>
      </c>
    </row>
    <row r="154" spans="1:3" s="644" customFormat="1" ht="22.5">
      <c r="A154" s="643">
        <v>7.8</v>
      </c>
      <c r="B154" s="637" t="s">
        <v>876</v>
      </c>
      <c r="C154" s="645" t="s">
        <v>877</v>
      </c>
    </row>
    <row r="155" spans="1:3">
      <c r="A155" s="625"/>
      <c r="B155" s="832" t="s">
        <v>878</v>
      </c>
      <c r="C155" s="833"/>
    </row>
    <row r="156" spans="1:3">
      <c r="A156" s="643">
        <v>1</v>
      </c>
      <c r="B156" s="788" t="s">
        <v>1023</v>
      </c>
      <c r="C156" s="789"/>
    </row>
    <row r="157" spans="1:3" ht="25.15" customHeight="1">
      <c r="A157" s="643">
        <v>2</v>
      </c>
      <c r="B157" s="788" t="s">
        <v>953</v>
      </c>
      <c r="C157" s="789"/>
    </row>
    <row r="158" spans="1:3">
      <c r="A158" s="643">
        <v>3</v>
      </c>
      <c r="B158" s="788" t="s">
        <v>944</v>
      </c>
      <c r="C158" s="789"/>
    </row>
    <row r="159" spans="1:3">
      <c r="A159" s="625"/>
      <c r="B159" s="832" t="s">
        <v>879</v>
      </c>
      <c r="C159" s="833"/>
    </row>
    <row r="160" spans="1:3" ht="39" customHeight="1">
      <c r="A160" s="643">
        <v>1</v>
      </c>
      <c r="B160" s="834" t="s">
        <v>1024</v>
      </c>
      <c r="C160" s="835"/>
    </row>
    <row r="161" spans="1:3" ht="22.5">
      <c r="A161" s="643">
        <v>3</v>
      </c>
      <c r="B161" s="637" t="s">
        <v>684</v>
      </c>
      <c r="C161" s="645" t="s">
        <v>880</v>
      </c>
    </row>
    <row r="162" spans="1:3" ht="22.5">
      <c r="A162" s="643">
        <v>4</v>
      </c>
      <c r="B162" s="637" t="s">
        <v>685</v>
      </c>
      <c r="C162" s="645" t="s">
        <v>881</v>
      </c>
    </row>
    <row r="163" spans="1:3" ht="33.75">
      <c r="A163" s="643">
        <v>5</v>
      </c>
      <c r="B163" s="637" t="s">
        <v>686</v>
      </c>
      <c r="C163" s="645" t="s">
        <v>882</v>
      </c>
    </row>
    <row r="164" spans="1:3">
      <c r="A164" s="643">
        <v>6</v>
      </c>
      <c r="B164" s="637" t="s">
        <v>687</v>
      </c>
      <c r="C164" s="637" t="s">
        <v>883</v>
      </c>
    </row>
    <row r="165" spans="1:3">
      <c r="A165" s="625"/>
      <c r="B165" s="832" t="s">
        <v>884</v>
      </c>
      <c r="C165" s="833"/>
    </row>
    <row r="166" spans="1:3" ht="45">
      <c r="A166" s="643"/>
      <c r="B166" s="637" t="s">
        <v>885</v>
      </c>
      <c r="C166" s="646" t="s">
        <v>1025</v>
      </c>
    </row>
    <row r="167" spans="1:3">
      <c r="A167" s="643"/>
      <c r="B167" s="637" t="s">
        <v>686</v>
      </c>
      <c r="C167" s="645" t="s">
        <v>886</v>
      </c>
    </row>
    <row r="168" spans="1:3">
      <c r="A168" s="625"/>
      <c r="B168" s="832" t="s">
        <v>887</v>
      </c>
      <c r="C168" s="833"/>
    </row>
    <row r="169" spans="1:3" ht="26.65" customHeight="1">
      <c r="A169" s="625"/>
      <c r="B169" s="788" t="s">
        <v>1026</v>
      </c>
      <c r="C169" s="789"/>
    </row>
    <row r="170" spans="1:3">
      <c r="A170" s="625" t="s">
        <v>888</v>
      </c>
      <c r="B170" s="481" t="s">
        <v>744</v>
      </c>
      <c r="C170" s="482" t="s">
        <v>889</v>
      </c>
    </row>
    <row r="171" spans="1:3">
      <c r="A171" s="625" t="s">
        <v>538</v>
      </c>
      <c r="B171" s="483" t="s">
        <v>745</v>
      </c>
      <c r="C171" s="645" t="s">
        <v>890</v>
      </c>
    </row>
    <row r="172" spans="1:3" ht="22.5">
      <c r="A172" s="625" t="s">
        <v>545</v>
      </c>
      <c r="B172" s="482" t="s">
        <v>746</v>
      </c>
      <c r="C172" s="645" t="s">
        <v>891</v>
      </c>
    </row>
    <row r="173" spans="1:3">
      <c r="A173" s="625" t="s">
        <v>892</v>
      </c>
      <c r="B173" s="483" t="s">
        <v>747</v>
      </c>
      <c r="C173" s="483" t="s">
        <v>893</v>
      </c>
    </row>
    <row r="174" spans="1:3" ht="22.5">
      <c r="A174" s="625" t="s">
        <v>894</v>
      </c>
      <c r="B174" s="484" t="s">
        <v>748</v>
      </c>
      <c r="C174" s="484" t="s">
        <v>895</v>
      </c>
    </row>
    <row r="175" spans="1:3" ht="22.5">
      <c r="A175" s="625" t="s">
        <v>546</v>
      </c>
      <c r="B175" s="484" t="s">
        <v>749</v>
      </c>
      <c r="C175" s="484" t="s">
        <v>896</v>
      </c>
    </row>
    <row r="176" spans="1:3" ht="22.5">
      <c r="A176" s="625" t="s">
        <v>897</v>
      </c>
      <c r="B176" s="484" t="s">
        <v>750</v>
      </c>
      <c r="C176" s="484" t="s">
        <v>898</v>
      </c>
    </row>
    <row r="177" spans="1:3" ht="22.5">
      <c r="A177" s="625" t="s">
        <v>899</v>
      </c>
      <c r="B177" s="484" t="s">
        <v>751</v>
      </c>
      <c r="C177" s="484" t="s">
        <v>901</v>
      </c>
    </row>
    <row r="178" spans="1:3" ht="22.5">
      <c r="A178" s="625" t="s">
        <v>900</v>
      </c>
      <c r="B178" s="484" t="s">
        <v>752</v>
      </c>
      <c r="C178" s="484" t="s">
        <v>903</v>
      </c>
    </row>
    <row r="179" spans="1:3" ht="22.5">
      <c r="A179" s="625" t="s">
        <v>902</v>
      </c>
      <c r="B179" s="484" t="s">
        <v>753</v>
      </c>
      <c r="C179" s="647" t="s">
        <v>905</v>
      </c>
    </row>
    <row r="180" spans="1:3" ht="22.5">
      <c r="A180" s="625" t="s">
        <v>904</v>
      </c>
      <c r="B180" s="491" t="s">
        <v>754</v>
      </c>
      <c r="C180" s="647" t="s">
        <v>907</v>
      </c>
    </row>
    <row r="181" spans="1:3" ht="22.5">
      <c r="A181" s="625" t="s">
        <v>906</v>
      </c>
      <c r="B181" s="484" t="s">
        <v>755</v>
      </c>
      <c r="C181" s="485" t="s">
        <v>909</v>
      </c>
    </row>
    <row r="182" spans="1:3">
      <c r="A182" s="648" t="s">
        <v>908</v>
      </c>
      <c r="B182" s="486" t="s">
        <v>756</v>
      </c>
      <c r="C182" s="482" t="s">
        <v>910</v>
      </c>
    </row>
    <row r="183" spans="1:3" ht="22.5">
      <c r="A183" s="625"/>
      <c r="B183" s="484" t="s">
        <v>911</v>
      </c>
      <c r="C183" s="639" t="s">
        <v>912</v>
      </c>
    </row>
    <row r="184" spans="1:3" ht="22.5">
      <c r="A184" s="625"/>
      <c r="B184" s="484" t="s">
        <v>913</v>
      </c>
      <c r="C184" s="639" t="s">
        <v>914</v>
      </c>
    </row>
    <row r="185" spans="1:3" ht="22.5">
      <c r="A185" s="625"/>
      <c r="B185" s="484" t="s">
        <v>915</v>
      </c>
      <c r="C185" s="639" t="s">
        <v>916</v>
      </c>
    </row>
    <row r="186" spans="1:3">
      <c r="A186" s="625"/>
      <c r="B186" s="832" t="s">
        <v>917</v>
      </c>
      <c r="C186" s="833"/>
    </row>
    <row r="187" spans="1:3" ht="49.9" customHeight="1">
      <c r="A187" s="625"/>
      <c r="B187" s="788" t="s">
        <v>1027</v>
      </c>
      <c r="C187" s="789"/>
    </row>
    <row r="188" spans="1:3">
      <c r="A188" s="643">
        <v>1</v>
      </c>
      <c r="B188" s="638" t="s">
        <v>776</v>
      </c>
      <c r="C188" s="638" t="s">
        <v>776</v>
      </c>
    </row>
    <row r="189" spans="1:3" ht="33.75">
      <c r="A189" s="643">
        <v>2</v>
      </c>
      <c r="B189" s="638" t="s">
        <v>918</v>
      </c>
      <c r="C189" s="638" t="s">
        <v>919</v>
      </c>
    </row>
    <row r="190" spans="1:3">
      <c r="A190" s="643">
        <v>3</v>
      </c>
      <c r="B190" s="638" t="s">
        <v>778</v>
      </c>
      <c r="C190" s="638" t="s">
        <v>920</v>
      </c>
    </row>
    <row r="191" spans="1:3" ht="22.5">
      <c r="A191" s="643">
        <v>4</v>
      </c>
      <c r="B191" s="638" t="s">
        <v>779</v>
      </c>
      <c r="C191" s="638" t="s">
        <v>921</v>
      </c>
    </row>
    <row r="192" spans="1:3" ht="22.5">
      <c r="A192" s="643">
        <v>5</v>
      </c>
      <c r="B192" s="638" t="s">
        <v>780</v>
      </c>
      <c r="C192" s="638" t="s">
        <v>1028</v>
      </c>
    </row>
    <row r="193" spans="1:4" ht="45">
      <c r="A193" s="643">
        <v>6</v>
      </c>
      <c r="B193" s="638" t="s">
        <v>781</v>
      </c>
      <c r="C193" s="638" t="s">
        <v>922</v>
      </c>
    </row>
    <row r="194" spans="1:4">
      <c r="A194" s="625"/>
      <c r="B194" s="832" t="s">
        <v>923</v>
      </c>
      <c r="C194" s="833"/>
    </row>
    <row r="195" spans="1:4" ht="25.9" customHeight="1">
      <c r="A195" s="625"/>
      <c r="B195" s="842" t="s">
        <v>946</v>
      </c>
      <c r="C195" s="834"/>
    </row>
    <row r="196" spans="1:4" ht="22.5">
      <c r="A196" s="625">
        <v>1.1000000000000001</v>
      </c>
      <c r="B196" s="487" t="s">
        <v>791</v>
      </c>
      <c r="C196" s="638" t="s">
        <v>924</v>
      </c>
      <c r="D196" s="649"/>
    </row>
    <row r="197" spans="1:4" ht="12.75">
      <c r="A197" s="625" t="s">
        <v>252</v>
      </c>
      <c r="B197" s="488" t="s">
        <v>792</v>
      </c>
      <c r="C197" s="638" t="s">
        <v>925</v>
      </c>
      <c r="D197" s="650"/>
    </row>
    <row r="198" spans="1:4" ht="12.75">
      <c r="A198" s="625" t="s">
        <v>793</v>
      </c>
      <c r="B198" s="651" t="s">
        <v>794</v>
      </c>
      <c r="C198" s="797" t="s">
        <v>947</v>
      </c>
      <c r="D198" s="652"/>
    </row>
    <row r="199" spans="1:4" ht="12.75">
      <c r="A199" s="625" t="s">
        <v>795</v>
      </c>
      <c r="B199" s="651" t="s">
        <v>796</v>
      </c>
      <c r="C199" s="797"/>
      <c r="D199" s="652"/>
    </row>
    <row r="200" spans="1:4" ht="12.75">
      <c r="A200" s="625" t="s">
        <v>797</v>
      </c>
      <c r="B200" s="651" t="s">
        <v>798</v>
      </c>
      <c r="C200" s="797"/>
      <c r="D200" s="652"/>
    </row>
    <row r="201" spans="1:4" ht="12.75">
      <c r="A201" s="625" t="s">
        <v>799</v>
      </c>
      <c r="B201" s="651" t="s">
        <v>800</v>
      </c>
      <c r="C201" s="797"/>
      <c r="D201" s="652"/>
    </row>
    <row r="202" spans="1:4" ht="22.5">
      <c r="A202" s="625">
        <v>1.2</v>
      </c>
      <c r="B202" s="653" t="s">
        <v>801</v>
      </c>
      <c r="C202" s="637" t="s">
        <v>926</v>
      </c>
      <c r="D202" s="654"/>
    </row>
    <row r="203" spans="1:4" ht="22.5">
      <c r="A203" s="625" t="s">
        <v>803</v>
      </c>
      <c r="B203" s="655" t="s">
        <v>804</v>
      </c>
      <c r="C203" s="656" t="s">
        <v>927</v>
      </c>
      <c r="D203" s="657"/>
    </row>
    <row r="204" spans="1:4" ht="23.25">
      <c r="A204" s="625" t="s">
        <v>805</v>
      </c>
      <c r="B204" s="658" t="s">
        <v>806</v>
      </c>
      <c r="C204" s="656" t="s">
        <v>928</v>
      </c>
      <c r="D204" s="659"/>
    </row>
    <row r="205" spans="1:4" ht="12.75">
      <c r="A205" s="625" t="s">
        <v>807</v>
      </c>
      <c r="B205" s="660" t="s">
        <v>808</v>
      </c>
      <c r="C205" s="637" t="s">
        <v>929</v>
      </c>
      <c r="D205" s="657"/>
    </row>
    <row r="206" spans="1:4" ht="18" customHeight="1">
      <c r="A206" s="625" t="s">
        <v>809</v>
      </c>
      <c r="B206" s="661" t="s">
        <v>810</v>
      </c>
      <c r="C206" s="637" t="s">
        <v>930</v>
      </c>
      <c r="D206" s="659"/>
    </row>
    <row r="207" spans="1:4" ht="22.5">
      <c r="A207" s="625">
        <v>1.4</v>
      </c>
      <c r="B207" s="655" t="s">
        <v>942</v>
      </c>
      <c r="C207" s="662" t="s">
        <v>931</v>
      </c>
      <c r="D207" s="663"/>
    </row>
    <row r="208" spans="1:4" ht="12.75">
      <c r="A208" s="625">
        <v>1.5</v>
      </c>
      <c r="B208" s="655" t="s">
        <v>943</v>
      </c>
      <c r="C208" s="662" t="s">
        <v>931</v>
      </c>
      <c r="D208" s="663"/>
    </row>
    <row r="209" spans="1:3">
      <c r="A209" s="625"/>
      <c r="B209" s="825" t="s">
        <v>932</v>
      </c>
      <c r="C209" s="825"/>
    </row>
    <row r="210" spans="1:3" ht="24.4" customHeight="1">
      <c r="A210" s="625"/>
      <c r="B210" s="842" t="s">
        <v>933</v>
      </c>
      <c r="C210" s="842"/>
    </row>
    <row r="211" spans="1:3" ht="22.5">
      <c r="A211" s="643"/>
      <c r="B211" s="637" t="s">
        <v>684</v>
      </c>
      <c r="C211" s="645" t="s">
        <v>880</v>
      </c>
    </row>
    <row r="212" spans="1:3" ht="22.5">
      <c r="A212" s="643"/>
      <c r="B212" s="637" t="s">
        <v>685</v>
      </c>
      <c r="C212" s="645" t="s">
        <v>881</v>
      </c>
    </row>
    <row r="213" spans="1:3" ht="22.5">
      <c r="A213" s="625"/>
      <c r="B213" s="637" t="s">
        <v>686</v>
      </c>
      <c r="C213" s="645" t="s">
        <v>934</v>
      </c>
    </row>
    <row r="214" spans="1:3">
      <c r="A214" s="625"/>
      <c r="B214" s="825" t="s">
        <v>935</v>
      </c>
      <c r="C214" s="825"/>
    </row>
    <row r="215" spans="1:3" ht="39.4" customHeight="1">
      <c r="A215" s="643"/>
      <c r="B215" s="842" t="s">
        <v>948</v>
      </c>
      <c r="C215" s="842"/>
    </row>
    <row r="216" spans="1:3">
      <c r="B216" s="825" t="s">
        <v>1029</v>
      </c>
      <c r="C216" s="825"/>
    </row>
    <row r="217" spans="1:3" ht="25.5">
      <c r="A217" s="615">
        <v>1</v>
      </c>
      <c r="B217" s="665" t="s">
        <v>1006</v>
      </c>
      <c r="C217" s="665" t="s">
        <v>1030</v>
      </c>
    </row>
    <row r="218" spans="1:3" ht="12.75">
      <c r="A218" s="615">
        <v>2</v>
      </c>
      <c r="B218" s="665" t="s">
        <v>1007</v>
      </c>
      <c r="C218" s="665" t="s">
        <v>1031</v>
      </c>
    </row>
    <row r="219" spans="1:3" ht="25.5">
      <c r="A219" s="615">
        <v>3</v>
      </c>
      <c r="B219" s="665" t="s">
        <v>1008</v>
      </c>
      <c r="C219" s="665" t="s">
        <v>1032</v>
      </c>
    </row>
    <row r="220" spans="1:3" ht="12.75">
      <c r="A220" s="615">
        <v>4</v>
      </c>
      <c r="B220" s="665" t="s">
        <v>1009</v>
      </c>
      <c r="C220" s="665" t="s">
        <v>1033</v>
      </c>
    </row>
    <row r="221" spans="1:3" ht="25.5">
      <c r="A221" s="615">
        <v>5</v>
      </c>
      <c r="B221" s="665" t="s">
        <v>1010</v>
      </c>
      <c r="C221" s="665" t="s">
        <v>1034</v>
      </c>
    </row>
    <row r="222" spans="1:3" ht="12.75">
      <c r="A222" s="615">
        <v>6</v>
      </c>
      <c r="B222" s="665" t="s">
        <v>1011</v>
      </c>
      <c r="C222" s="665" t="s">
        <v>1035</v>
      </c>
    </row>
    <row r="223" spans="1:3" ht="25.5">
      <c r="A223" s="615">
        <v>7</v>
      </c>
      <c r="B223" s="665" t="s">
        <v>1012</v>
      </c>
      <c r="C223" s="665" t="s">
        <v>1036</v>
      </c>
    </row>
    <row r="224" spans="1:3" ht="12.75">
      <c r="A224" s="615">
        <v>7.1</v>
      </c>
      <c r="B224" s="666" t="s">
        <v>1013</v>
      </c>
      <c r="C224" s="665" t="s">
        <v>1037</v>
      </c>
    </row>
    <row r="225" spans="1:3" ht="25.5">
      <c r="A225" s="615">
        <v>7.2</v>
      </c>
      <c r="B225" s="666" t="s">
        <v>1014</v>
      </c>
      <c r="C225" s="665" t="s">
        <v>1038</v>
      </c>
    </row>
    <row r="226" spans="1:3" ht="12.75">
      <c r="A226" s="615">
        <v>7.3</v>
      </c>
      <c r="B226" s="667" t="s">
        <v>1015</v>
      </c>
      <c r="C226" s="665" t="s">
        <v>1039</v>
      </c>
    </row>
    <row r="227" spans="1:3" ht="12.75">
      <c r="A227" s="615">
        <v>8</v>
      </c>
      <c r="B227" s="665" t="s">
        <v>1016</v>
      </c>
      <c r="C227" s="665" t="s">
        <v>1040</v>
      </c>
    </row>
    <row r="228" spans="1:3" ht="12.75">
      <c r="A228" s="615">
        <v>9</v>
      </c>
      <c r="B228" s="665" t="s">
        <v>1017</v>
      </c>
      <c r="C228" s="665" t="s">
        <v>1041</v>
      </c>
    </row>
    <row r="229" spans="1:3" ht="25.5">
      <c r="A229" s="615">
        <v>10.1</v>
      </c>
      <c r="B229" s="668" t="s">
        <v>1042</v>
      </c>
      <c r="C229" s="665" t="s">
        <v>1043</v>
      </c>
    </row>
    <row r="230" spans="1:3" ht="12.75">
      <c r="A230" s="839"/>
      <c r="B230" s="669" t="s">
        <v>786</v>
      </c>
      <c r="C230" s="665" t="s">
        <v>1044</v>
      </c>
    </row>
    <row r="231" spans="1:3" ht="25.5">
      <c r="A231" s="840"/>
      <c r="B231" s="669" t="s">
        <v>1000</v>
      </c>
      <c r="C231" s="665" t="s">
        <v>1045</v>
      </c>
    </row>
    <row r="232" spans="1:3" ht="12.75">
      <c r="A232" s="840"/>
      <c r="B232" s="669" t="s">
        <v>1001</v>
      </c>
      <c r="C232" s="665" t="s">
        <v>1046</v>
      </c>
    </row>
    <row r="233" spans="1:3" ht="24">
      <c r="A233" s="840"/>
      <c r="B233" s="669" t="s">
        <v>1002</v>
      </c>
      <c r="C233" s="450" t="s">
        <v>1047</v>
      </c>
    </row>
    <row r="234" spans="1:3" ht="40.5" customHeight="1">
      <c r="A234" s="840"/>
      <c r="B234" s="669" t="s">
        <v>1003</v>
      </c>
      <c r="C234" s="665" t="s">
        <v>1048</v>
      </c>
    </row>
    <row r="235" spans="1:3" ht="24" customHeight="1">
      <c r="A235" s="840"/>
      <c r="B235" s="669" t="s">
        <v>1004</v>
      </c>
      <c r="C235" s="665" t="s">
        <v>1049</v>
      </c>
    </row>
    <row r="236" spans="1:3" ht="25.5">
      <c r="A236" s="841"/>
      <c r="B236" s="669" t="s">
        <v>1005</v>
      </c>
      <c r="C236" s="665" t="s">
        <v>1050</v>
      </c>
    </row>
  </sheetData>
  <mergeCells count="133">
    <mergeCell ref="B216:C216"/>
    <mergeCell ref="A230:A23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7" activePane="bottomRight" state="frozen"/>
      <selection pane="topRight"/>
      <selection pane="bottomLeft"/>
      <selection pane="bottomRight"/>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"ბანკი ქართუ"</v>
      </c>
      <c r="C1" s="13"/>
    </row>
    <row r="2" spans="1:8" ht="15.75">
      <c r="A2" s="14" t="s">
        <v>189</v>
      </c>
      <c r="B2" s="390">
        <f>'1. key ratios'!B2</f>
        <v>44651</v>
      </c>
      <c r="C2" s="13"/>
    </row>
    <row r="3" spans="1:8" ht="15.75">
      <c r="A3" s="14"/>
      <c r="B3" s="13"/>
      <c r="C3" s="13"/>
    </row>
    <row r="4" spans="1:8" ht="16.5" thickBot="1">
      <c r="A4" s="15" t="s">
        <v>407</v>
      </c>
      <c r="B4" s="24" t="s">
        <v>222</v>
      </c>
      <c r="C4" s="26"/>
      <c r="D4" s="26"/>
      <c r="E4" s="26"/>
      <c r="F4" s="15"/>
      <c r="G4" s="15"/>
      <c r="H4" s="40" t="s">
        <v>93</v>
      </c>
    </row>
    <row r="5" spans="1:8" ht="15.75">
      <c r="A5" s="111"/>
      <c r="B5" s="112"/>
      <c r="C5" s="685" t="s">
        <v>194</v>
      </c>
      <c r="D5" s="686"/>
      <c r="E5" s="687"/>
      <c r="F5" s="685" t="s">
        <v>195</v>
      </c>
      <c r="G5" s="686"/>
      <c r="H5" s="688"/>
    </row>
    <row r="6" spans="1:8">
      <c r="A6" s="113" t="s">
        <v>26</v>
      </c>
      <c r="B6" s="41"/>
      <c r="C6" s="42" t="s">
        <v>27</v>
      </c>
      <c r="D6" s="42" t="s">
        <v>96</v>
      </c>
      <c r="E6" s="42" t="s">
        <v>68</v>
      </c>
      <c r="F6" s="42" t="s">
        <v>27</v>
      </c>
      <c r="G6" s="42" t="s">
        <v>96</v>
      </c>
      <c r="H6" s="114" t="s">
        <v>68</v>
      </c>
    </row>
    <row r="7" spans="1:8">
      <c r="A7" s="115"/>
      <c r="B7" s="44" t="s">
        <v>92</v>
      </c>
      <c r="C7" s="45"/>
      <c r="D7" s="45"/>
      <c r="E7" s="45"/>
      <c r="F7" s="45"/>
      <c r="G7" s="45"/>
      <c r="H7" s="116"/>
    </row>
    <row r="8" spans="1:8" ht="15.75">
      <c r="A8" s="115">
        <v>1</v>
      </c>
      <c r="B8" s="46" t="s">
        <v>97</v>
      </c>
      <c r="C8" s="520">
        <v>229531</v>
      </c>
      <c r="D8" s="520">
        <v>-112131</v>
      </c>
      <c r="E8" s="510">
        <f>C8+D8</f>
        <v>117400</v>
      </c>
      <c r="F8" s="520">
        <v>458656</v>
      </c>
      <c r="G8" s="520">
        <v>-136944</v>
      </c>
      <c r="H8" s="521">
        <f>F8+G8</f>
        <v>321712</v>
      </c>
    </row>
    <row r="9" spans="1:8" ht="15.75">
      <c r="A9" s="115">
        <v>2</v>
      </c>
      <c r="B9" s="46" t="s">
        <v>98</v>
      </c>
      <c r="C9" s="522">
        <f>SUM(C10:C18)</f>
        <v>7877685</v>
      </c>
      <c r="D9" s="522">
        <f>SUM(D10:D18)</f>
        <v>9218466</v>
      </c>
      <c r="E9" s="510">
        <f t="shared" ref="E9:E67" si="0">C9+D9</f>
        <v>17096151</v>
      </c>
      <c r="F9" s="522">
        <f>SUM(F10:F18)</f>
        <v>6623379</v>
      </c>
      <c r="G9" s="522">
        <f>SUM(G10:G18)</f>
        <v>10080714</v>
      </c>
      <c r="H9" s="521">
        <f t="shared" ref="H9:H67" si="1">F9+G9</f>
        <v>16704093</v>
      </c>
    </row>
    <row r="10" spans="1:8" ht="15.75">
      <c r="A10" s="115">
        <v>2.1</v>
      </c>
      <c r="B10" s="47" t="s">
        <v>99</v>
      </c>
      <c r="C10" s="520">
        <v>0</v>
      </c>
      <c r="D10" s="520">
        <v>0</v>
      </c>
      <c r="E10" s="510">
        <f t="shared" si="0"/>
        <v>0</v>
      </c>
      <c r="F10" s="520">
        <v>0</v>
      </c>
      <c r="G10" s="520">
        <v>0</v>
      </c>
      <c r="H10" s="521">
        <f t="shared" si="1"/>
        <v>0</v>
      </c>
    </row>
    <row r="11" spans="1:8" ht="15.75">
      <c r="A11" s="115">
        <v>2.2000000000000002</v>
      </c>
      <c r="B11" s="47" t="s">
        <v>100</v>
      </c>
      <c r="C11" s="520">
        <v>2715111.7</v>
      </c>
      <c r="D11" s="520">
        <v>3393702.1600000006</v>
      </c>
      <c r="E11" s="510">
        <f t="shared" si="0"/>
        <v>6108813.8600000013</v>
      </c>
      <c r="F11" s="520">
        <v>3252283.02</v>
      </c>
      <c r="G11" s="520">
        <v>3132633.0100000002</v>
      </c>
      <c r="H11" s="521">
        <f t="shared" si="1"/>
        <v>6384916.0300000003</v>
      </c>
    </row>
    <row r="12" spans="1:8" ht="15.75">
      <c r="A12" s="115">
        <v>2.2999999999999998</v>
      </c>
      <c r="B12" s="47" t="s">
        <v>101</v>
      </c>
      <c r="C12" s="520">
        <v>0</v>
      </c>
      <c r="D12" s="520">
        <v>3955.43</v>
      </c>
      <c r="E12" s="510">
        <f t="shared" si="0"/>
        <v>3955.43</v>
      </c>
      <c r="F12" s="520">
        <v>0</v>
      </c>
      <c r="G12" s="520">
        <v>4869.03</v>
      </c>
      <c r="H12" s="521">
        <f t="shared" si="1"/>
        <v>4869.03</v>
      </c>
    </row>
    <row r="13" spans="1:8" ht="15.75">
      <c r="A13" s="115">
        <v>2.4</v>
      </c>
      <c r="B13" s="47" t="s">
        <v>102</v>
      </c>
      <c r="C13" s="520">
        <v>80502.450000000012</v>
      </c>
      <c r="D13" s="520">
        <v>211084.85</v>
      </c>
      <c r="E13" s="510">
        <f t="shared" si="0"/>
        <v>291587.30000000005</v>
      </c>
      <c r="F13" s="520">
        <v>422570.67000000004</v>
      </c>
      <c r="G13" s="520">
        <v>348169.36999999994</v>
      </c>
      <c r="H13" s="521">
        <f t="shared" si="1"/>
        <v>770740.04</v>
      </c>
    </row>
    <row r="14" spans="1:8" ht="15.75">
      <c r="A14" s="115">
        <v>2.5</v>
      </c>
      <c r="B14" s="47" t="s">
        <v>103</v>
      </c>
      <c r="C14" s="520">
        <v>1088529.52</v>
      </c>
      <c r="D14" s="520">
        <v>1379578.3299999998</v>
      </c>
      <c r="E14" s="510">
        <f t="shared" si="0"/>
        <v>2468107.8499999996</v>
      </c>
      <c r="F14" s="520">
        <v>790873.89</v>
      </c>
      <c r="G14" s="520">
        <v>1355561.83</v>
      </c>
      <c r="H14" s="521">
        <f t="shared" si="1"/>
        <v>2146435.7200000002</v>
      </c>
    </row>
    <row r="15" spans="1:8" ht="15.75">
      <c r="A15" s="115">
        <v>2.6</v>
      </c>
      <c r="B15" s="47" t="s">
        <v>104</v>
      </c>
      <c r="C15" s="520">
        <v>2814195.4799999995</v>
      </c>
      <c r="D15" s="520">
        <v>901779.05</v>
      </c>
      <c r="E15" s="510">
        <f t="shared" si="0"/>
        <v>3715974.5299999993</v>
      </c>
      <c r="F15" s="520">
        <v>1378555.9200000002</v>
      </c>
      <c r="G15" s="520">
        <v>880218.24</v>
      </c>
      <c r="H15" s="521">
        <f t="shared" si="1"/>
        <v>2258774.16</v>
      </c>
    </row>
    <row r="16" spans="1:8" ht="15.75">
      <c r="A16" s="115">
        <v>2.7</v>
      </c>
      <c r="B16" s="47" t="s">
        <v>105</v>
      </c>
      <c r="C16" s="520">
        <v>864.81</v>
      </c>
      <c r="D16" s="520">
        <v>47901.88</v>
      </c>
      <c r="E16" s="510">
        <f t="shared" si="0"/>
        <v>48766.689999999995</v>
      </c>
      <c r="F16" s="520">
        <v>1567</v>
      </c>
      <c r="G16" s="520">
        <v>40007.049999999988</v>
      </c>
      <c r="H16" s="521">
        <f t="shared" si="1"/>
        <v>41574.049999999988</v>
      </c>
    </row>
    <row r="17" spans="1:8" ht="15.75">
      <c r="A17" s="115">
        <v>2.8</v>
      </c>
      <c r="B17" s="47" t="s">
        <v>106</v>
      </c>
      <c r="C17" s="520">
        <v>481626</v>
      </c>
      <c r="D17" s="520">
        <v>977539</v>
      </c>
      <c r="E17" s="510">
        <f t="shared" si="0"/>
        <v>1459165</v>
      </c>
      <c r="F17" s="520">
        <v>313952</v>
      </c>
      <c r="G17" s="520">
        <v>774631</v>
      </c>
      <c r="H17" s="521">
        <f t="shared" si="1"/>
        <v>1088583</v>
      </c>
    </row>
    <row r="18" spans="1:8" ht="15.75">
      <c r="A18" s="115">
        <v>2.9</v>
      </c>
      <c r="B18" s="47" t="s">
        <v>107</v>
      </c>
      <c r="C18" s="520">
        <v>696855.04000000004</v>
      </c>
      <c r="D18" s="520">
        <v>2302925.2999999998</v>
      </c>
      <c r="E18" s="510">
        <f t="shared" si="0"/>
        <v>2999780.34</v>
      </c>
      <c r="F18" s="520">
        <v>463576.5</v>
      </c>
      <c r="G18" s="520">
        <v>3544624.4699999997</v>
      </c>
      <c r="H18" s="521">
        <f t="shared" si="1"/>
        <v>4008200.9699999997</v>
      </c>
    </row>
    <row r="19" spans="1:8" ht="15.75">
      <c r="A19" s="115">
        <v>3</v>
      </c>
      <c r="B19" s="46" t="s">
        <v>108</v>
      </c>
      <c r="C19" s="520">
        <v>13545</v>
      </c>
      <c r="D19" s="520">
        <v>215397</v>
      </c>
      <c r="E19" s="510">
        <f t="shared" si="0"/>
        <v>228942</v>
      </c>
      <c r="F19" s="520">
        <v>221592</v>
      </c>
      <c r="G19" s="520">
        <v>210483</v>
      </c>
      <c r="H19" s="521">
        <f t="shared" si="1"/>
        <v>432075</v>
      </c>
    </row>
    <row r="20" spans="1:8" ht="15.75">
      <c r="A20" s="115">
        <v>4</v>
      </c>
      <c r="B20" s="46" t="s">
        <v>109</v>
      </c>
      <c r="C20" s="520">
        <v>106375</v>
      </c>
      <c r="D20" s="520">
        <v>136526</v>
      </c>
      <c r="E20" s="510">
        <f t="shared" si="0"/>
        <v>242901</v>
      </c>
      <c r="F20" s="520">
        <v>103746</v>
      </c>
      <c r="G20" s="520">
        <v>0</v>
      </c>
      <c r="H20" s="521">
        <f t="shared" si="1"/>
        <v>103746</v>
      </c>
    </row>
    <row r="21" spans="1:8" ht="15.75">
      <c r="A21" s="115">
        <v>5</v>
      </c>
      <c r="B21" s="46" t="s">
        <v>110</v>
      </c>
      <c r="C21" s="520">
        <v>0</v>
      </c>
      <c r="D21" s="520">
        <v>1380</v>
      </c>
      <c r="E21" s="510">
        <f t="shared" si="0"/>
        <v>1380</v>
      </c>
      <c r="F21" s="520">
        <v>0</v>
      </c>
      <c r="G21" s="520">
        <v>611</v>
      </c>
      <c r="H21" s="521">
        <f>F21+G21</f>
        <v>611</v>
      </c>
    </row>
    <row r="22" spans="1:8" ht="15.75">
      <c r="A22" s="115">
        <v>6</v>
      </c>
      <c r="B22" s="48" t="s">
        <v>111</v>
      </c>
      <c r="C22" s="522">
        <f>C8+C9+C19+C20+C21</f>
        <v>8227136</v>
      </c>
      <c r="D22" s="522">
        <f>D8+D9+D19+D20+D21</f>
        <v>9459638</v>
      </c>
      <c r="E22" s="510">
        <f>C22+D22</f>
        <v>17686774</v>
      </c>
      <c r="F22" s="522">
        <f>F8+F9+F19+F20+F21</f>
        <v>7407373</v>
      </c>
      <c r="G22" s="522">
        <f>G8+G9+G19+G20+G21</f>
        <v>10154864</v>
      </c>
      <c r="H22" s="521">
        <f>F22+G22</f>
        <v>17562237</v>
      </c>
    </row>
    <row r="23" spans="1:8" ht="15.75">
      <c r="A23" s="115"/>
      <c r="B23" s="44" t="s">
        <v>90</v>
      </c>
      <c r="C23" s="520"/>
      <c r="D23" s="520"/>
      <c r="E23" s="509"/>
      <c r="F23" s="520"/>
      <c r="G23" s="520"/>
      <c r="H23" s="523"/>
    </row>
    <row r="24" spans="1:8" ht="15.75">
      <c r="A24" s="115">
        <v>7</v>
      </c>
      <c r="B24" s="46" t="s">
        <v>112</v>
      </c>
      <c r="C24" s="520">
        <v>283892</v>
      </c>
      <c r="D24" s="520">
        <v>24581</v>
      </c>
      <c r="E24" s="510">
        <f t="shared" si="0"/>
        <v>308473</v>
      </c>
      <c r="F24" s="520">
        <v>223753</v>
      </c>
      <c r="G24" s="520">
        <v>-336746</v>
      </c>
      <c r="H24" s="521">
        <f t="shared" si="1"/>
        <v>-112993</v>
      </c>
    </row>
    <row r="25" spans="1:8" ht="15.75">
      <c r="A25" s="115">
        <v>8</v>
      </c>
      <c r="B25" s="46" t="s">
        <v>113</v>
      </c>
      <c r="C25" s="520">
        <v>2247460</v>
      </c>
      <c r="D25" s="520">
        <v>3365197</v>
      </c>
      <c r="E25" s="510">
        <f t="shared" si="0"/>
        <v>5612657</v>
      </c>
      <c r="F25" s="520">
        <v>1894227</v>
      </c>
      <c r="G25" s="520">
        <v>4497664</v>
      </c>
      <c r="H25" s="521">
        <f t="shared" si="1"/>
        <v>6391891</v>
      </c>
    </row>
    <row r="26" spans="1:8" ht="15.75">
      <c r="A26" s="115">
        <v>9</v>
      </c>
      <c r="B26" s="46" t="s">
        <v>114</v>
      </c>
      <c r="C26" s="520">
        <v>39589</v>
      </c>
      <c r="D26" s="520">
        <v>121</v>
      </c>
      <c r="E26" s="510">
        <f t="shared" si="0"/>
        <v>39710</v>
      </c>
      <c r="F26" s="520">
        <v>62</v>
      </c>
      <c r="G26" s="520">
        <v>131</v>
      </c>
      <c r="H26" s="521">
        <f t="shared" si="1"/>
        <v>193</v>
      </c>
    </row>
    <row r="27" spans="1:8" ht="15.75">
      <c r="A27" s="115">
        <v>10</v>
      </c>
      <c r="B27" s="46" t="s">
        <v>115</v>
      </c>
      <c r="C27" s="520">
        <v>0</v>
      </c>
      <c r="D27" s="520">
        <v>0</v>
      </c>
      <c r="E27" s="510">
        <f t="shared" si="0"/>
        <v>0</v>
      </c>
      <c r="F27" s="520">
        <v>0</v>
      </c>
      <c r="G27" s="520">
        <v>0</v>
      </c>
      <c r="H27" s="521">
        <f t="shared" si="1"/>
        <v>0</v>
      </c>
    </row>
    <row r="28" spans="1:8" ht="15.75">
      <c r="A28" s="115">
        <v>11</v>
      </c>
      <c r="B28" s="46" t="s">
        <v>116</v>
      </c>
      <c r="C28" s="520">
        <v>0</v>
      </c>
      <c r="D28" s="520">
        <v>1646789</v>
      </c>
      <c r="E28" s="510">
        <f t="shared" si="0"/>
        <v>1646789</v>
      </c>
      <c r="F28" s="520">
        <v>0</v>
      </c>
      <c r="G28" s="520">
        <v>2948426</v>
      </c>
      <c r="H28" s="521">
        <f t="shared" si="1"/>
        <v>2948426</v>
      </c>
    </row>
    <row r="29" spans="1:8" ht="15.75">
      <c r="A29" s="115">
        <v>12</v>
      </c>
      <c r="B29" s="46" t="s">
        <v>117</v>
      </c>
      <c r="C29" s="520"/>
      <c r="D29" s="520"/>
      <c r="E29" s="510">
        <f t="shared" si="0"/>
        <v>0</v>
      </c>
      <c r="F29" s="520"/>
      <c r="G29" s="520"/>
      <c r="H29" s="521">
        <f t="shared" si="1"/>
        <v>0</v>
      </c>
    </row>
    <row r="30" spans="1:8" ht="15.75">
      <c r="A30" s="115">
        <v>13</v>
      </c>
      <c r="B30" s="49" t="s">
        <v>118</v>
      </c>
      <c r="C30" s="522">
        <f>SUM(C24:C29)</f>
        <v>2570941</v>
      </c>
      <c r="D30" s="522">
        <f>SUM(D24:D29)</f>
        <v>5036688</v>
      </c>
      <c r="E30" s="510">
        <f t="shared" si="0"/>
        <v>7607629</v>
      </c>
      <c r="F30" s="522">
        <f>SUM(F24:F29)</f>
        <v>2118042</v>
      </c>
      <c r="G30" s="522">
        <f>SUM(G24:G29)</f>
        <v>7109475</v>
      </c>
      <c r="H30" s="521">
        <f t="shared" si="1"/>
        <v>9227517</v>
      </c>
    </row>
    <row r="31" spans="1:8" ht="15.75">
      <c r="A31" s="115">
        <v>14</v>
      </c>
      <c r="B31" s="49" t="s">
        <v>119</v>
      </c>
      <c r="C31" s="522">
        <f>C22-C30</f>
        <v>5656195</v>
      </c>
      <c r="D31" s="522">
        <f>D22-D30</f>
        <v>4422950</v>
      </c>
      <c r="E31" s="510">
        <f t="shared" si="0"/>
        <v>10079145</v>
      </c>
      <c r="F31" s="522">
        <f>F22-F30</f>
        <v>5289331</v>
      </c>
      <c r="G31" s="522">
        <f>G22-G30</f>
        <v>3045389</v>
      </c>
      <c r="H31" s="521">
        <f t="shared" si="1"/>
        <v>8334720</v>
      </c>
    </row>
    <row r="32" spans="1:8">
      <c r="A32" s="115"/>
      <c r="B32" s="44"/>
      <c r="C32" s="524"/>
      <c r="D32" s="524"/>
      <c r="E32" s="524"/>
      <c r="F32" s="524"/>
      <c r="G32" s="524"/>
      <c r="H32" s="525"/>
    </row>
    <row r="33" spans="1:8" ht="15.75">
      <c r="A33" s="115"/>
      <c r="B33" s="44" t="s">
        <v>120</v>
      </c>
      <c r="C33" s="520"/>
      <c r="D33" s="520"/>
      <c r="E33" s="509"/>
      <c r="F33" s="520"/>
      <c r="G33" s="520"/>
      <c r="H33" s="523"/>
    </row>
    <row r="34" spans="1:8" ht="15.75">
      <c r="A34" s="115">
        <v>15</v>
      </c>
      <c r="B34" s="43" t="s">
        <v>91</v>
      </c>
      <c r="C34" s="522">
        <f>C35-C36</f>
        <v>-305089</v>
      </c>
      <c r="D34" s="522">
        <f>D35-D36</f>
        <v>-654239</v>
      </c>
      <c r="E34" s="510">
        <f t="shared" si="0"/>
        <v>-959328</v>
      </c>
      <c r="F34" s="522">
        <f>F35-F36</f>
        <v>-207166</v>
      </c>
      <c r="G34" s="522">
        <f>G35-G36</f>
        <v>-1061100</v>
      </c>
      <c r="H34" s="521">
        <f t="shared" si="1"/>
        <v>-1268266</v>
      </c>
    </row>
    <row r="35" spans="1:8" ht="15.75">
      <c r="A35" s="115">
        <v>15.1</v>
      </c>
      <c r="B35" s="47" t="s">
        <v>121</v>
      </c>
      <c r="C35" s="520">
        <v>614510</v>
      </c>
      <c r="D35" s="520">
        <v>4014408</v>
      </c>
      <c r="E35" s="510">
        <f t="shared" si="0"/>
        <v>4628918</v>
      </c>
      <c r="F35" s="520">
        <v>546842</v>
      </c>
      <c r="G35" s="520">
        <v>477610</v>
      </c>
      <c r="H35" s="521">
        <f t="shared" si="1"/>
        <v>1024452</v>
      </c>
    </row>
    <row r="36" spans="1:8" ht="15.75">
      <c r="A36" s="115">
        <v>15.2</v>
      </c>
      <c r="B36" s="47" t="s">
        <v>122</v>
      </c>
      <c r="C36" s="520">
        <v>919599</v>
      </c>
      <c r="D36" s="520">
        <v>4668647</v>
      </c>
      <c r="E36" s="510">
        <f t="shared" si="0"/>
        <v>5588246</v>
      </c>
      <c r="F36" s="520">
        <v>754008</v>
      </c>
      <c r="G36" s="520">
        <v>1538710</v>
      </c>
      <c r="H36" s="521">
        <f t="shared" si="1"/>
        <v>2292718</v>
      </c>
    </row>
    <row r="37" spans="1:8" ht="15.75">
      <c r="A37" s="115">
        <v>16</v>
      </c>
      <c r="B37" s="46" t="s">
        <v>123</v>
      </c>
      <c r="C37" s="520">
        <v>0</v>
      </c>
      <c r="D37" s="520">
        <v>0</v>
      </c>
      <c r="E37" s="510">
        <f t="shared" si="0"/>
        <v>0</v>
      </c>
      <c r="F37" s="520">
        <v>0</v>
      </c>
      <c r="G37" s="520">
        <v>0</v>
      </c>
      <c r="H37" s="521">
        <f t="shared" si="1"/>
        <v>0</v>
      </c>
    </row>
    <row r="38" spans="1:8" ht="15.75">
      <c r="A38" s="115">
        <v>17</v>
      </c>
      <c r="B38" s="46" t="s">
        <v>124</v>
      </c>
      <c r="C38" s="520">
        <v>686622</v>
      </c>
      <c r="D38" s="520">
        <v>0</v>
      </c>
      <c r="E38" s="510">
        <f t="shared" si="0"/>
        <v>686622</v>
      </c>
      <c r="F38" s="520">
        <v>734959</v>
      </c>
      <c r="G38" s="520">
        <v>0</v>
      </c>
      <c r="H38" s="521">
        <f t="shared" si="1"/>
        <v>734959</v>
      </c>
    </row>
    <row r="39" spans="1:8" ht="15.75">
      <c r="A39" s="115">
        <v>18</v>
      </c>
      <c r="B39" s="46" t="s">
        <v>125</v>
      </c>
      <c r="C39" s="520">
        <v>-23397</v>
      </c>
      <c r="D39" s="520">
        <v>1083389</v>
      </c>
      <c r="E39" s="510">
        <f t="shared" si="0"/>
        <v>1059992</v>
      </c>
      <c r="F39" s="520">
        <v>128427</v>
      </c>
      <c r="G39" s="520">
        <v>455698</v>
      </c>
      <c r="H39" s="521">
        <f t="shared" si="1"/>
        <v>584125</v>
      </c>
    </row>
    <row r="40" spans="1:8" ht="15.75">
      <c r="A40" s="115">
        <v>19</v>
      </c>
      <c r="B40" s="46" t="s">
        <v>126</v>
      </c>
      <c r="C40" s="520">
        <v>1627394</v>
      </c>
      <c r="D40" s="520"/>
      <c r="E40" s="510">
        <f t="shared" si="0"/>
        <v>1627394</v>
      </c>
      <c r="F40" s="520">
        <v>1005277</v>
      </c>
      <c r="G40" s="520"/>
      <c r="H40" s="521">
        <f t="shared" si="1"/>
        <v>1005277</v>
      </c>
    </row>
    <row r="41" spans="1:8" ht="15.75">
      <c r="A41" s="115">
        <v>20</v>
      </c>
      <c r="B41" s="46" t="s">
        <v>127</v>
      </c>
      <c r="C41" s="520">
        <v>-166087</v>
      </c>
      <c r="D41" s="520"/>
      <c r="E41" s="510">
        <f t="shared" si="0"/>
        <v>-166087</v>
      </c>
      <c r="F41" s="520">
        <v>709299</v>
      </c>
      <c r="G41" s="520"/>
      <c r="H41" s="521">
        <f t="shared" si="1"/>
        <v>709299</v>
      </c>
    </row>
    <row r="42" spans="1:8" ht="15.75">
      <c r="A42" s="115">
        <v>21</v>
      </c>
      <c r="B42" s="46" t="s">
        <v>128</v>
      </c>
      <c r="C42" s="520">
        <v>3728</v>
      </c>
      <c r="D42" s="520">
        <v>0</v>
      </c>
      <c r="E42" s="510">
        <f t="shared" si="0"/>
        <v>3728</v>
      </c>
      <c r="F42" s="520">
        <v>7141</v>
      </c>
      <c r="G42" s="520">
        <v>0</v>
      </c>
      <c r="H42" s="521">
        <f t="shared" si="1"/>
        <v>7141</v>
      </c>
    </row>
    <row r="43" spans="1:8" ht="15.75">
      <c r="A43" s="115">
        <v>22</v>
      </c>
      <c r="B43" s="46" t="s">
        <v>129</v>
      </c>
      <c r="C43" s="520">
        <v>344082</v>
      </c>
      <c r="D43" s="520">
        <v>65840</v>
      </c>
      <c r="E43" s="510">
        <f t="shared" si="0"/>
        <v>409922</v>
      </c>
      <c r="F43" s="520">
        <v>428612</v>
      </c>
      <c r="G43" s="520">
        <v>74581</v>
      </c>
      <c r="H43" s="521">
        <f t="shared" si="1"/>
        <v>503193</v>
      </c>
    </row>
    <row r="44" spans="1:8" ht="15.75">
      <c r="A44" s="115">
        <v>23</v>
      </c>
      <c r="B44" s="46" t="s">
        <v>130</v>
      </c>
      <c r="C44" s="520">
        <v>105502</v>
      </c>
      <c r="D44" s="520">
        <v>123</v>
      </c>
      <c r="E44" s="510">
        <f t="shared" si="0"/>
        <v>105625</v>
      </c>
      <c r="F44" s="520">
        <v>7173364</v>
      </c>
      <c r="G44" s="520">
        <v>17415</v>
      </c>
      <c r="H44" s="521">
        <f t="shared" si="1"/>
        <v>7190779</v>
      </c>
    </row>
    <row r="45" spans="1:8" ht="15.75">
      <c r="A45" s="115">
        <v>24</v>
      </c>
      <c r="B45" s="49" t="s">
        <v>131</v>
      </c>
      <c r="C45" s="522">
        <f>C34+C37+C38+C39+C40+C41+C42+C43+C44</f>
        <v>2272755</v>
      </c>
      <c r="D45" s="522">
        <f>D34+D37+D38+D39+D40+D41+D42+D43+D44</f>
        <v>495113</v>
      </c>
      <c r="E45" s="510">
        <f t="shared" si="0"/>
        <v>2767868</v>
      </c>
      <c r="F45" s="522">
        <f>F34+F37+F38+F39+F40+F41+F42+F43+F44</f>
        <v>9979913</v>
      </c>
      <c r="G45" s="522">
        <f>G34+G37+G38+G39+G40+G41+G42+G43+G44</f>
        <v>-513406</v>
      </c>
      <c r="H45" s="521">
        <f t="shared" si="1"/>
        <v>9466507</v>
      </c>
    </row>
    <row r="46" spans="1:8">
      <c r="A46" s="115"/>
      <c r="B46" s="44" t="s">
        <v>132</v>
      </c>
      <c r="C46" s="520"/>
      <c r="D46" s="520"/>
      <c r="E46" s="520"/>
      <c r="F46" s="520"/>
      <c r="G46" s="520"/>
      <c r="H46" s="526"/>
    </row>
    <row r="47" spans="1:8" ht="15.75">
      <c r="A47" s="115">
        <v>25</v>
      </c>
      <c r="B47" s="46" t="s">
        <v>133</v>
      </c>
      <c r="C47" s="520">
        <v>137223</v>
      </c>
      <c r="D47" s="520">
        <v>224</v>
      </c>
      <c r="E47" s="510">
        <f t="shared" si="0"/>
        <v>137447</v>
      </c>
      <c r="F47" s="520">
        <v>168660</v>
      </c>
      <c r="G47" s="520">
        <v>9778</v>
      </c>
      <c r="H47" s="521">
        <f t="shared" si="1"/>
        <v>178438</v>
      </c>
    </row>
    <row r="48" spans="1:8" ht="15.75">
      <c r="A48" s="115">
        <v>26</v>
      </c>
      <c r="B48" s="46" t="s">
        <v>134</v>
      </c>
      <c r="C48" s="520">
        <v>30836</v>
      </c>
      <c r="D48" s="520">
        <v>285</v>
      </c>
      <c r="E48" s="510">
        <f t="shared" si="0"/>
        <v>31121</v>
      </c>
      <c r="F48" s="520">
        <v>94432</v>
      </c>
      <c r="G48" s="520">
        <v>545</v>
      </c>
      <c r="H48" s="521">
        <f t="shared" si="1"/>
        <v>94977</v>
      </c>
    </row>
    <row r="49" spans="1:9" ht="15.75">
      <c r="A49" s="115">
        <v>27</v>
      </c>
      <c r="B49" s="46" t="s">
        <v>135</v>
      </c>
      <c r="C49" s="520">
        <v>4259107</v>
      </c>
      <c r="D49" s="520"/>
      <c r="E49" s="510">
        <f t="shared" si="0"/>
        <v>4259107</v>
      </c>
      <c r="F49" s="520">
        <v>3236493</v>
      </c>
      <c r="G49" s="520"/>
      <c r="H49" s="521">
        <f t="shared" si="1"/>
        <v>3236493</v>
      </c>
    </row>
    <row r="50" spans="1:9" ht="15.75">
      <c r="A50" s="115">
        <v>28</v>
      </c>
      <c r="B50" s="46" t="s">
        <v>271</v>
      </c>
      <c r="C50" s="520">
        <v>12616</v>
      </c>
      <c r="D50" s="520"/>
      <c r="E50" s="510">
        <f t="shared" si="0"/>
        <v>12616</v>
      </c>
      <c r="F50" s="520">
        <v>8005</v>
      </c>
      <c r="G50" s="520"/>
      <c r="H50" s="521">
        <f t="shared" si="1"/>
        <v>8005</v>
      </c>
    </row>
    <row r="51" spans="1:9" ht="15.75">
      <c r="A51" s="115">
        <v>29</v>
      </c>
      <c r="B51" s="46" t="s">
        <v>136</v>
      </c>
      <c r="C51" s="520">
        <v>1118085</v>
      </c>
      <c r="D51" s="520"/>
      <c r="E51" s="510">
        <f t="shared" si="0"/>
        <v>1118085</v>
      </c>
      <c r="F51" s="520">
        <v>1068327</v>
      </c>
      <c r="G51" s="520"/>
      <c r="H51" s="521">
        <f t="shared" si="1"/>
        <v>1068327</v>
      </c>
    </row>
    <row r="52" spans="1:9" ht="15.75">
      <c r="A52" s="115">
        <v>30</v>
      </c>
      <c r="B52" s="46" t="s">
        <v>137</v>
      </c>
      <c r="C52" s="520">
        <v>1258384</v>
      </c>
      <c r="D52" s="520">
        <v>115993</v>
      </c>
      <c r="E52" s="510">
        <f t="shared" si="0"/>
        <v>1374377</v>
      </c>
      <c r="F52" s="520">
        <v>1226329</v>
      </c>
      <c r="G52" s="520">
        <v>123001</v>
      </c>
      <c r="H52" s="521">
        <f t="shared" si="1"/>
        <v>1349330</v>
      </c>
    </row>
    <row r="53" spans="1:9" ht="15.75">
      <c r="A53" s="115">
        <v>31</v>
      </c>
      <c r="B53" s="49" t="s">
        <v>138</v>
      </c>
      <c r="C53" s="522">
        <f>C47+C48+C49+C50+C51+C52</f>
        <v>6816251</v>
      </c>
      <c r="D53" s="522">
        <f>D47+D48+D49+D50+D51+D52</f>
        <v>116502</v>
      </c>
      <c r="E53" s="510">
        <f t="shared" si="0"/>
        <v>6932753</v>
      </c>
      <c r="F53" s="522">
        <f>F47+F48+F49+F50+F51+F52</f>
        <v>5802246</v>
      </c>
      <c r="G53" s="522">
        <f>G47+G48+G49+G50+G51+G52</f>
        <v>133324</v>
      </c>
      <c r="H53" s="521">
        <f t="shared" si="1"/>
        <v>5935570</v>
      </c>
    </row>
    <row r="54" spans="1:9" ht="15.75">
      <c r="A54" s="115">
        <v>32</v>
      </c>
      <c r="B54" s="49" t="s">
        <v>139</v>
      </c>
      <c r="C54" s="522">
        <f>C45-C53</f>
        <v>-4543496</v>
      </c>
      <c r="D54" s="522">
        <f>D45-D53</f>
        <v>378611</v>
      </c>
      <c r="E54" s="510">
        <f t="shared" si="0"/>
        <v>-4164885</v>
      </c>
      <c r="F54" s="522">
        <f>F45-F53</f>
        <v>4177667</v>
      </c>
      <c r="G54" s="522">
        <f>G45-G53</f>
        <v>-646730</v>
      </c>
      <c r="H54" s="521">
        <f t="shared" si="1"/>
        <v>3530937</v>
      </c>
    </row>
    <row r="55" spans="1:9">
      <c r="A55" s="115"/>
      <c r="B55" s="44"/>
      <c r="C55" s="524"/>
      <c r="D55" s="524"/>
      <c r="E55" s="524"/>
      <c r="F55" s="524"/>
      <c r="G55" s="524"/>
      <c r="H55" s="525"/>
    </row>
    <row r="56" spans="1:9" ht="15.75">
      <c r="A56" s="115">
        <v>33</v>
      </c>
      <c r="B56" s="49" t="s">
        <v>140</v>
      </c>
      <c r="C56" s="522">
        <f>C31+C54</f>
        <v>1112699</v>
      </c>
      <c r="D56" s="522">
        <f>D31+D54</f>
        <v>4801561</v>
      </c>
      <c r="E56" s="510">
        <f t="shared" si="0"/>
        <v>5914260</v>
      </c>
      <c r="F56" s="522">
        <f>F31+F54</f>
        <v>9466998</v>
      </c>
      <c r="G56" s="522">
        <f>G31+G54</f>
        <v>2398659</v>
      </c>
      <c r="H56" s="521">
        <f t="shared" si="1"/>
        <v>11865657</v>
      </c>
    </row>
    <row r="57" spans="1:9">
      <c r="A57" s="115"/>
      <c r="B57" s="44"/>
      <c r="C57" s="524"/>
      <c r="D57" s="524"/>
      <c r="E57" s="524"/>
      <c r="F57" s="524"/>
      <c r="G57" s="524"/>
      <c r="H57" s="525"/>
    </row>
    <row r="58" spans="1:9" ht="15.75">
      <c r="A58" s="115">
        <v>34</v>
      </c>
      <c r="B58" s="46" t="s">
        <v>141</v>
      </c>
      <c r="C58" s="520">
        <v>2601049</v>
      </c>
      <c r="D58" s="520"/>
      <c r="E58" s="510">
        <f>C58</f>
        <v>2601049</v>
      </c>
      <c r="F58" s="520">
        <v>2719141</v>
      </c>
      <c r="G58" s="520"/>
      <c r="H58" s="521">
        <f>F58</f>
        <v>2719141</v>
      </c>
    </row>
    <row r="59" spans="1:9" s="190" customFormat="1" ht="15.75">
      <c r="A59" s="115">
        <v>35</v>
      </c>
      <c r="B59" s="43" t="s">
        <v>142</v>
      </c>
      <c r="C59" s="520">
        <v>-309760</v>
      </c>
      <c r="D59" s="527"/>
      <c r="E59" s="528">
        <f>C59</f>
        <v>-309760</v>
      </c>
      <c r="F59" s="529">
        <v>13520</v>
      </c>
      <c r="G59" s="529"/>
      <c r="H59" s="530">
        <f>F59</f>
        <v>13520</v>
      </c>
      <c r="I59" s="189"/>
    </row>
    <row r="60" spans="1:9" ht="15.75">
      <c r="A60" s="115">
        <v>36</v>
      </c>
      <c r="B60" s="46" t="s">
        <v>143</v>
      </c>
      <c r="C60" s="520">
        <v>319200</v>
      </c>
      <c r="D60" s="520"/>
      <c r="E60" s="510">
        <f>C60</f>
        <v>319200</v>
      </c>
      <c r="F60" s="520">
        <v>-978758</v>
      </c>
      <c r="G60" s="520"/>
      <c r="H60" s="521">
        <f>F60</f>
        <v>-978758</v>
      </c>
    </row>
    <row r="61" spans="1:9" ht="15.75">
      <c r="A61" s="115">
        <v>37</v>
      </c>
      <c r="B61" s="49" t="s">
        <v>144</v>
      </c>
      <c r="C61" s="522">
        <f>C58+C59+C60</f>
        <v>2610489</v>
      </c>
      <c r="D61" s="522">
        <f>D58+D59+D60</f>
        <v>0</v>
      </c>
      <c r="E61" s="510">
        <f t="shared" si="0"/>
        <v>2610489</v>
      </c>
      <c r="F61" s="522">
        <f>F58+F59+F60</f>
        <v>1753903</v>
      </c>
      <c r="G61" s="522">
        <f>G58+G59+G60</f>
        <v>0</v>
      </c>
      <c r="H61" s="521">
        <f t="shared" si="1"/>
        <v>1753903</v>
      </c>
    </row>
    <row r="62" spans="1:9">
      <c r="A62" s="115"/>
      <c r="B62" s="50"/>
      <c r="C62" s="520"/>
      <c r="D62" s="520"/>
      <c r="E62" s="520"/>
      <c r="F62" s="520"/>
      <c r="G62" s="520"/>
      <c r="H62" s="526"/>
    </row>
    <row r="63" spans="1:9" ht="15.75">
      <c r="A63" s="115">
        <v>38</v>
      </c>
      <c r="B63" s="51" t="s">
        <v>272</v>
      </c>
      <c r="C63" s="522">
        <f>C56-C61</f>
        <v>-1497790</v>
      </c>
      <c r="D63" s="522">
        <f>D56-D61</f>
        <v>4801561</v>
      </c>
      <c r="E63" s="510">
        <f t="shared" si="0"/>
        <v>3303771</v>
      </c>
      <c r="F63" s="522">
        <f>F56-F61</f>
        <v>7713095</v>
      </c>
      <c r="G63" s="522">
        <f>G56-G61</f>
        <v>2398659</v>
      </c>
      <c r="H63" s="521">
        <f t="shared" si="1"/>
        <v>10111754</v>
      </c>
    </row>
    <row r="64" spans="1:9" ht="15.75">
      <c r="A64" s="113">
        <v>39</v>
      </c>
      <c r="B64" s="46" t="s">
        <v>145</v>
      </c>
      <c r="C64" s="531">
        <v>750458</v>
      </c>
      <c r="D64" s="531"/>
      <c r="E64" s="510">
        <f t="shared" si="0"/>
        <v>750458</v>
      </c>
      <c r="F64" s="531">
        <v>1488695</v>
      </c>
      <c r="G64" s="531"/>
      <c r="H64" s="521">
        <f t="shared" si="1"/>
        <v>1488695</v>
      </c>
    </row>
    <row r="65" spans="1:8" ht="15.75">
      <c r="A65" s="115">
        <v>40</v>
      </c>
      <c r="B65" s="49" t="s">
        <v>146</v>
      </c>
      <c r="C65" s="522">
        <f>C63-C64</f>
        <v>-2248248</v>
      </c>
      <c r="D65" s="522">
        <f>D63-D64</f>
        <v>4801561</v>
      </c>
      <c r="E65" s="510">
        <f t="shared" si="0"/>
        <v>2553313</v>
      </c>
      <c r="F65" s="522">
        <f>F63-F64</f>
        <v>6224400</v>
      </c>
      <c r="G65" s="522">
        <f>G63-G64</f>
        <v>2398659</v>
      </c>
      <c r="H65" s="521">
        <f t="shared" si="1"/>
        <v>8623059</v>
      </c>
    </row>
    <row r="66" spans="1:8" ht="15.75">
      <c r="A66" s="113">
        <v>41</v>
      </c>
      <c r="B66" s="46" t="s">
        <v>147</v>
      </c>
      <c r="C66" s="531">
        <v>0</v>
      </c>
      <c r="D66" s="531"/>
      <c r="E66" s="510">
        <f t="shared" si="0"/>
        <v>0</v>
      </c>
      <c r="F66" s="531">
        <v>0</v>
      </c>
      <c r="G66" s="531"/>
      <c r="H66" s="521">
        <f t="shared" si="1"/>
        <v>0</v>
      </c>
    </row>
    <row r="67" spans="1:8" ht="16.5" thickBot="1">
      <c r="A67" s="117">
        <v>42</v>
      </c>
      <c r="B67" s="118" t="s">
        <v>148</v>
      </c>
      <c r="C67" s="218">
        <f>C65+C66</f>
        <v>-2248248</v>
      </c>
      <c r="D67" s="218">
        <f>D65+D66</f>
        <v>4801561</v>
      </c>
      <c r="E67" s="216">
        <f t="shared" si="0"/>
        <v>2553313</v>
      </c>
      <c r="F67" s="218">
        <f>F65+F66</f>
        <v>6224400</v>
      </c>
      <c r="G67" s="218">
        <f>G65+G66</f>
        <v>2398659</v>
      </c>
      <c r="H67" s="219">
        <f t="shared" si="1"/>
        <v>8623059</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heetViews>
  <sheetFormatPr defaultRowHeight="15"/>
  <cols>
    <col min="1" max="1" width="9.5703125" bestFit="1" customWidth="1"/>
    <col min="2" max="2" width="72.28515625" customWidth="1"/>
    <col min="3" max="8" width="12.7109375" customWidth="1"/>
  </cols>
  <sheetData>
    <row r="1" spans="1:8">
      <c r="A1" s="1" t="s">
        <v>188</v>
      </c>
      <c r="B1" t="str">
        <f>Info!C2</f>
        <v>სს "ბანკი ქართუ"</v>
      </c>
    </row>
    <row r="2" spans="1:8">
      <c r="A2" s="1" t="s">
        <v>189</v>
      </c>
      <c r="B2" s="390">
        <f>'1. key ratios'!B2</f>
        <v>44651</v>
      </c>
    </row>
    <row r="3" spans="1:8">
      <c r="A3" s="1"/>
    </row>
    <row r="4" spans="1:8" ht="16.5" thickBot="1">
      <c r="A4" s="1" t="s">
        <v>408</v>
      </c>
      <c r="B4" s="1"/>
      <c r="C4" s="199"/>
      <c r="D4" s="199"/>
      <c r="E4" s="199"/>
      <c r="F4" s="199"/>
      <c r="G4" s="199"/>
      <c r="H4" s="200" t="s">
        <v>93</v>
      </c>
    </row>
    <row r="5" spans="1:8" ht="15.75">
      <c r="A5" s="689" t="s">
        <v>26</v>
      </c>
      <c r="B5" s="691" t="s">
        <v>245</v>
      </c>
      <c r="C5" s="693" t="s">
        <v>194</v>
      </c>
      <c r="D5" s="693"/>
      <c r="E5" s="693"/>
      <c r="F5" s="693" t="s">
        <v>195</v>
      </c>
      <c r="G5" s="693"/>
      <c r="H5" s="694"/>
    </row>
    <row r="6" spans="1:8">
      <c r="A6" s="690"/>
      <c r="B6" s="692"/>
      <c r="C6" s="32" t="s">
        <v>27</v>
      </c>
      <c r="D6" s="32" t="s">
        <v>94</v>
      </c>
      <c r="E6" s="32" t="s">
        <v>68</v>
      </c>
      <c r="F6" s="32" t="s">
        <v>27</v>
      </c>
      <c r="G6" s="32" t="s">
        <v>94</v>
      </c>
      <c r="H6" s="33" t="s">
        <v>68</v>
      </c>
    </row>
    <row r="7" spans="1:8" ht="15.75">
      <c r="A7" s="107">
        <v>1</v>
      </c>
      <c r="B7" s="201" t="s">
        <v>483</v>
      </c>
      <c r="C7" s="214"/>
      <c r="D7" s="214"/>
      <c r="E7" s="220">
        <f>C7+D7</f>
        <v>0</v>
      </c>
      <c r="F7" s="214"/>
      <c r="G7" s="214"/>
      <c r="H7" s="215">
        <f t="shared" ref="H7:H53" si="0">F7+G7</f>
        <v>0</v>
      </c>
    </row>
    <row r="8" spans="1:8" ht="15.75">
      <c r="A8" s="107">
        <v>1.1000000000000001</v>
      </c>
      <c r="B8" s="202" t="s">
        <v>276</v>
      </c>
      <c r="C8" s="512">
        <v>20414501</v>
      </c>
      <c r="D8" s="512">
        <v>9477987</v>
      </c>
      <c r="E8" s="532">
        <f>C8+D8</f>
        <v>29892488</v>
      </c>
      <c r="F8" s="512">
        <v>30896126</v>
      </c>
      <c r="G8" s="512">
        <v>5221780</v>
      </c>
      <c r="H8" s="513">
        <f t="shared" si="0"/>
        <v>36117906</v>
      </c>
    </row>
    <row r="9" spans="1:8" ht="15.75">
      <c r="A9" s="107">
        <v>1.2</v>
      </c>
      <c r="B9" s="202" t="s">
        <v>277</v>
      </c>
      <c r="C9" s="512"/>
      <c r="D9" s="512">
        <v>0</v>
      </c>
      <c r="E9" s="532">
        <f t="shared" ref="E9:E52" si="1">C9+D9</f>
        <v>0</v>
      </c>
      <c r="F9" s="512"/>
      <c r="G9" s="512">
        <v>1467074</v>
      </c>
      <c r="H9" s="513">
        <f t="shared" si="0"/>
        <v>1467074</v>
      </c>
    </row>
    <row r="10" spans="1:8" ht="15.75">
      <c r="A10" s="107">
        <v>1.3</v>
      </c>
      <c r="B10" s="202" t="s">
        <v>278</v>
      </c>
      <c r="C10" s="512">
        <v>8025166</v>
      </c>
      <c r="D10" s="512">
        <v>13352163</v>
      </c>
      <c r="E10" s="532">
        <f t="shared" si="1"/>
        <v>21377329</v>
      </c>
      <c r="F10" s="512">
        <v>7681350</v>
      </c>
      <c r="G10" s="512">
        <v>16615444</v>
      </c>
      <c r="H10" s="513">
        <f t="shared" si="0"/>
        <v>24296794</v>
      </c>
    </row>
    <row r="11" spans="1:8" ht="15.75">
      <c r="A11" s="107">
        <v>1.4</v>
      </c>
      <c r="B11" s="202" t="s">
        <v>279</v>
      </c>
      <c r="C11" s="512">
        <v>7273</v>
      </c>
      <c r="D11" s="512">
        <v>0</v>
      </c>
      <c r="E11" s="532">
        <f t="shared" si="1"/>
        <v>7273</v>
      </c>
      <c r="F11" s="512">
        <v>7995</v>
      </c>
      <c r="G11" s="512">
        <v>0</v>
      </c>
      <c r="H11" s="513">
        <f t="shared" si="0"/>
        <v>7995</v>
      </c>
    </row>
    <row r="12" spans="1:8" ht="29.25" customHeight="1">
      <c r="A12" s="107">
        <v>2</v>
      </c>
      <c r="B12" s="201" t="s">
        <v>280</v>
      </c>
      <c r="C12" s="512"/>
      <c r="D12" s="512"/>
      <c r="E12" s="532">
        <f t="shared" si="1"/>
        <v>0</v>
      </c>
      <c r="F12" s="512"/>
      <c r="G12" s="512"/>
      <c r="H12" s="513">
        <f t="shared" si="0"/>
        <v>0</v>
      </c>
    </row>
    <row r="13" spans="1:8" ht="25.5">
      <c r="A13" s="107">
        <v>3</v>
      </c>
      <c r="B13" s="201" t="s">
        <v>281</v>
      </c>
      <c r="C13" s="512"/>
      <c r="D13" s="512"/>
      <c r="E13" s="532">
        <f t="shared" si="1"/>
        <v>0</v>
      </c>
      <c r="F13" s="512"/>
      <c r="G13" s="512"/>
      <c r="H13" s="513">
        <f t="shared" si="0"/>
        <v>0</v>
      </c>
    </row>
    <row r="14" spans="1:8" ht="15.75">
      <c r="A14" s="107">
        <v>3.1</v>
      </c>
      <c r="B14" s="202" t="s">
        <v>282</v>
      </c>
      <c r="C14" s="512"/>
      <c r="D14" s="512"/>
      <c r="E14" s="532">
        <f t="shared" si="1"/>
        <v>0</v>
      </c>
      <c r="F14" s="512"/>
      <c r="G14" s="512"/>
      <c r="H14" s="513">
        <f t="shared" si="0"/>
        <v>0</v>
      </c>
    </row>
    <row r="15" spans="1:8" ht="15.75">
      <c r="A15" s="107">
        <v>3.2</v>
      </c>
      <c r="B15" s="202" t="s">
        <v>283</v>
      </c>
      <c r="C15" s="512"/>
      <c r="D15" s="512"/>
      <c r="E15" s="532">
        <f t="shared" si="1"/>
        <v>0</v>
      </c>
      <c r="F15" s="512"/>
      <c r="G15" s="512"/>
      <c r="H15" s="513">
        <f t="shared" si="0"/>
        <v>0</v>
      </c>
    </row>
    <row r="16" spans="1:8" ht="15.75">
      <c r="A16" s="107">
        <v>4</v>
      </c>
      <c r="B16" s="201" t="s">
        <v>284</v>
      </c>
      <c r="C16" s="512"/>
      <c r="D16" s="512"/>
      <c r="E16" s="532">
        <f t="shared" si="1"/>
        <v>0</v>
      </c>
      <c r="F16" s="512"/>
      <c r="G16" s="512"/>
      <c r="H16" s="513">
        <f t="shared" si="0"/>
        <v>0</v>
      </c>
    </row>
    <row r="17" spans="1:8" ht="15.75">
      <c r="A17" s="107">
        <v>4.0999999999999996</v>
      </c>
      <c r="B17" s="202" t="s">
        <v>285</v>
      </c>
      <c r="C17" s="512">
        <v>8470932.0845959932</v>
      </c>
      <c r="D17" s="512">
        <v>2775265.7892880002</v>
      </c>
      <c r="E17" s="532">
        <f t="shared" si="1"/>
        <v>11246197.873883992</v>
      </c>
      <c r="F17" s="512">
        <v>7865369.2293330152</v>
      </c>
      <c r="G17" s="512">
        <v>5725557.7552341493</v>
      </c>
      <c r="H17" s="513">
        <f t="shared" si="0"/>
        <v>13590926.984567165</v>
      </c>
    </row>
    <row r="18" spans="1:8" ht="15.75">
      <c r="A18" s="107">
        <v>4.2</v>
      </c>
      <c r="B18" s="202" t="s">
        <v>286</v>
      </c>
      <c r="C18" s="512">
        <v>127159531.29120211</v>
      </c>
      <c r="D18" s="512">
        <v>377958374.86550486</v>
      </c>
      <c r="E18" s="532">
        <f t="shared" si="1"/>
        <v>505117906.15670699</v>
      </c>
      <c r="F18" s="512">
        <v>145400390.29654005</v>
      </c>
      <c r="G18" s="512">
        <v>431145564.01770735</v>
      </c>
      <c r="H18" s="513">
        <f t="shared" si="0"/>
        <v>576545954.31424737</v>
      </c>
    </row>
    <row r="19" spans="1:8" ht="25.5">
      <c r="A19" s="107">
        <v>5</v>
      </c>
      <c r="B19" s="201" t="s">
        <v>287</v>
      </c>
      <c r="C19" s="512"/>
      <c r="D19" s="512"/>
      <c r="E19" s="532">
        <f t="shared" si="1"/>
        <v>0</v>
      </c>
      <c r="F19" s="512"/>
      <c r="G19" s="512"/>
      <c r="H19" s="513">
        <f t="shared" si="0"/>
        <v>0</v>
      </c>
    </row>
    <row r="20" spans="1:8" ht="15.75">
      <c r="A20" s="107">
        <v>5.0999999999999996</v>
      </c>
      <c r="B20" s="202" t="s">
        <v>288</v>
      </c>
      <c r="C20" s="512">
        <v>2619671.56</v>
      </c>
      <c r="D20" s="512">
        <v>47274068.130849019</v>
      </c>
      <c r="E20" s="532">
        <f t="shared" si="1"/>
        <v>49893739.690849021</v>
      </c>
      <c r="F20" s="512">
        <v>461055.56</v>
      </c>
      <c r="G20" s="512">
        <v>41676292.337833993</v>
      </c>
      <c r="H20" s="513">
        <f t="shared" si="0"/>
        <v>42137347.897833996</v>
      </c>
    </row>
    <row r="21" spans="1:8" ht="15.75">
      <c r="A21" s="107">
        <v>5.2</v>
      </c>
      <c r="B21" s="202" t="s">
        <v>289</v>
      </c>
      <c r="C21" s="512">
        <v>0</v>
      </c>
      <c r="D21" s="512">
        <v>0</v>
      </c>
      <c r="E21" s="532">
        <f t="shared" si="1"/>
        <v>0</v>
      </c>
      <c r="F21" s="512">
        <v>0</v>
      </c>
      <c r="G21" s="512">
        <v>0</v>
      </c>
      <c r="H21" s="513">
        <f t="shared" si="0"/>
        <v>0</v>
      </c>
    </row>
    <row r="22" spans="1:8" ht="15.75">
      <c r="A22" s="107">
        <v>5.3</v>
      </c>
      <c r="B22" s="202" t="s">
        <v>290</v>
      </c>
      <c r="C22" s="512">
        <v>18861768.100000001</v>
      </c>
      <c r="D22" s="512">
        <v>1668972184.7271018</v>
      </c>
      <c r="E22" s="532">
        <f t="shared" si="1"/>
        <v>1687833952.8271017</v>
      </c>
      <c r="F22" s="512">
        <v>28433941.199999999</v>
      </c>
      <c r="G22" s="512">
        <v>2039601756.7415724</v>
      </c>
      <c r="H22" s="513">
        <f t="shared" si="0"/>
        <v>2068035697.9415724</v>
      </c>
    </row>
    <row r="23" spans="1:8" ht="15.75">
      <c r="A23" s="107" t="s">
        <v>291</v>
      </c>
      <c r="B23" s="203" t="s">
        <v>292</v>
      </c>
      <c r="C23" s="512">
        <v>310130</v>
      </c>
      <c r="D23" s="512">
        <v>188202746.81540498</v>
      </c>
      <c r="E23" s="532">
        <f t="shared" si="1"/>
        <v>188512876.81540498</v>
      </c>
      <c r="F23" s="512">
        <v>341180</v>
      </c>
      <c r="G23" s="512">
        <v>179221769.40426758</v>
      </c>
      <c r="H23" s="513">
        <f t="shared" si="0"/>
        <v>179562949.40426758</v>
      </c>
    </row>
    <row r="24" spans="1:8" ht="15.75">
      <c r="A24" s="107" t="s">
        <v>293</v>
      </c>
      <c r="B24" s="203" t="s">
        <v>294</v>
      </c>
      <c r="C24" s="512">
        <v>735008.10000000009</v>
      </c>
      <c r="D24" s="512">
        <v>826056259.08494008</v>
      </c>
      <c r="E24" s="532">
        <f t="shared" si="1"/>
        <v>826791267.1849401</v>
      </c>
      <c r="F24" s="512">
        <v>10948466.199999999</v>
      </c>
      <c r="G24" s="512">
        <v>1166886674.84477</v>
      </c>
      <c r="H24" s="513">
        <f t="shared" si="0"/>
        <v>1177835141.04477</v>
      </c>
    </row>
    <row r="25" spans="1:8" ht="15.75">
      <c r="A25" s="107" t="s">
        <v>295</v>
      </c>
      <c r="B25" s="204" t="s">
        <v>296</v>
      </c>
      <c r="C25" s="512">
        <v>0</v>
      </c>
      <c r="D25" s="512">
        <v>158295205.57515031</v>
      </c>
      <c r="E25" s="532">
        <f t="shared" si="1"/>
        <v>158295205.57515031</v>
      </c>
      <c r="F25" s="512">
        <v>0</v>
      </c>
      <c r="G25" s="512">
        <v>150236055.08384922</v>
      </c>
      <c r="H25" s="513">
        <f t="shared" si="0"/>
        <v>150236055.08384922</v>
      </c>
    </row>
    <row r="26" spans="1:8" ht="15.75">
      <c r="A26" s="107" t="s">
        <v>297</v>
      </c>
      <c r="B26" s="203" t="s">
        <v>298</v>
      </c>
      <c r="C26" s="512">
        <v>17816630</v>
      </c>
      <c r="D26" s="512">
        <v>396722021.7547273</v>
      </c>
      <c r="E26" s="532">
        <f t="shared" si="1"/>
        <v>414538651.7547273</v>
      </c>
      <c r="F26" s="512">
        <v>17144295</v>
      </c>
      <c r="G26" s="512">
        <v>461342048.51520956</v>
      </c>
      <c r="H26" s="513">
        <f t="shared" si="0"/>
        <v>478486343.51520956</v>
      </c>
    </row>
    <row r="27" spans="1:8" ht="15.75">
      <c r="A27" s="107" t="s">
        <v>299</v>
      </c>
      <c r="B27" s="203" t="s">
        <v>300</v>
      </c>
      <c r="C27" s="512">
        <v>0</v>
      </c>
      <c r="D27" s="512">
        <v>99695951.496879101</v>
      </c>
      <c r="E27" s="532">
        <f t="shared" si="1"/>
        <v>99695951.496879101</v>
      </c>
      <c r="F27" s="512">
        <v>0</v>
      </c>
      <c r="G27" s="512">
        <v>81915208.893476009</v>
      </c>
      <c r="H27" s="513">
        <f t="shared" si="0"/>
        <v>81915208.893476009</v>
      </c>
    </row>
    <row r="28" spans="1:8" ht="15.75">
      <c r="A28" s="107">
        <v>5.4</v>
      </c>
      <c r="B28" s="202" t="s">
        <v>301</v>
      </c>
      <c r="C28" s="512">
        <v>204220021.26449209</v>
      </c>
      <c r="D28" s="512">
        <v>306100556.12621266</v>
      </c>
      <c r="E28" s="532">
        <f t="shared" si="1"/>
        <v>510320577.39070475</v>
      </c>
      <c r="F28" s="512">
        <v>192968097.91953889</v>
      </c>
      <c r="G28" s="512">
        <v>477939980.82189709</v>
      </c>
      <c r="H28" s="513">
        <f t="shared" si="0"/>
        <v>670908078.741436</v>
      </c>
    </row>
    <row r="29" spans="1:8" ht="15.75">
      <c r="A29" s="107">
        <v>5.5</v>
      </c>
      <c r="B29" s="202" t="s">
        <v>302</v>
      </c>
      <c r="C29" s="512">
        <v>22753825.740000002</v>
      </c>
      <c r="D29" s="512">
        <v>181430387.32819998</v>
      </c>
      <c r="E29" s="532">
        <f t="shared" si="1"/>
        <v>204184213.06819999</v>
      </c>
      <c r="F29" s="512">
        <v>10726543.02</v>
      </c>
      <c r="G29" s="512">
        <v>221485687.89199999</v>
      </c>
      <c r="H29" s="513">
        <f t="shared" si="0"/>
        <v>232212230.912</v>
      </c>
    </row>
    <row r="30" spans="1:8" ht="15.75">
      <c r="A30" s="107">
        <v>5.6</v>
      </c>
      <c r="B30" s="202" t="s">
        <v>303</v>
      </c>
      <c r="C30" s="512">
        <v>0</v>
      </c>
      <c r="D30" s="512">
        <v>4807015</v>
      </c>
      <c r="E30" s="532">
        <f t="shared" si="1"/>
        <v>4807015</v>
      </c>
      <c r="F30" s="512">
        <v>0</v>
      </c>
      <c r="G30" s="512">
        <v>5288290</v>
      </c>
      <c r="H30" s="513">
        <f t="shared" si="0"/>
        <v>5288290</v>
      </c>
    </row>
    <row r="31" spans="1:8" ht="15.75">
      <c r="A31" s="107">
        <v>5.7</v>
      </c>
      <c r="B31" s="202" t="s">
        <v>304</v>
      </c>
      <c r="C31" s="512">
        <v>2887869</v>
      </c>
      <c r="D31" s="512">
        <v>30169446.420000017</v>
      </c>
      <c r="E31" s="532">
        <f t="shared" si="1"/>
        <v>33057315.420000017</v>
      </c>
      <c r="F31" s="512">
        <v>13915151.710000001</v>
      </c>
      <c r="G31" s="512">
        <v>33408345.620000005</v>
      </c>
      <c r="H31" s="513">
        <f t="shared" si="0"/>
        <v>47323497.330000006</v>
      </c>
    </row>
    <row r="32" spans="1:8" ht="15.75">
      <c r="A32" s="107">
        <v>6</v>
      </c>
      <c r="B32" s="201" t="s">
        <v>305</v>
      </c>
      <c r="C32" s="512"/>
      <c r="D32" s="512"/>
      <c r="E32" s="532">
        <f t="shared" si="1"/>
        <v>0</v>
      </c>
      <c r="F32" s="512"/>
      <c r="G32" s="512"/>
      <c r="H32" s="513">
        <f t="shared" si="0"/>
        <v>0</v>
      </c>
    </row>
    <row r="33" spans="1:8" ht="25.5">
      <c r="A33" s="107">
        <v>6.1</v>
      </c>
      <c r="B33" s="202" t="s">
        <v>484</v>
      </c>
      <c r="C33" s="512"/>
      <c r="D33" s="512">
        <v>23316968.98</v>
      </c>
      <c r="E33" s="532">
        <f t="shared" si="1"/>
        <v>23316968.98</v>
      </c>
      <c r="F33" s="512"/>
      <c r="G33" s="512">
        <v>20320953.739999998</v>
      </c>
      <c r="H33" s="513">
        <f t="shared" si="0"/>
        <v>20320953.739999998</v>
      </c>
    </row>
    <row r="34" spans="1:8" ht="25.5">
      <c r="A34" s="107">
        <v>6.2</v>
      </c>
      <c r="B34" s="202" t="s">
        <v>306</v>
      </c>
      <c r="C34" s="512">
        <v>6515400</v>
      </c>
      <c r="D34" s="512">
        <v>17248000</v>
      </c>
      <c r="E34" s="532">
        <f t="shared" si="1"/>
        <v>23763400</v>
      </c>
      <c r="F34" s="512">
        <v>0</v>
      </c>
      <c r="G34" s="512">
        <v>20022000</v>
      </c>
      <c r="H34" s="513">
        <f t="shared" si="0"/>
        <v>20022000</v>
      </c>
    </row>
    <row r="35" spans="1:8" ht="25.5">
      <c r="A35" s="107">
        <v>6.3</v>
      </c>
      <c r="B35" s="202" t="s">
        <v>307</v>
      </c>
      <c r="C35" s="512"/>
      <c r="D35" s="512"/>
      <c r="E35" s="532">
        <f t="shared" si="1"/>
        <v>0</v>
      </c>
      <c r="F35" s="512"/>
      <c r="G35" s="512"/>
      <c r="H35" s="513">
        <f t="shared" si="0"/>
        <v>0</v>
      </c>
    </row>
    <row r="36" spans="1:8" ht="15.75">
      <c r="A36" s="107">
        <v>6.4</v>
      </c>
      <c r="B36" s="202" t="s">
        <v>308</v>
      </c>
      <c r="C36" s="512"/>
      <c r="D36" s="512"/>
      <c r="E36" s="532">
        <f t="shared" si="1"/>
        <v>0</v>
      </c>
      <c r="F36" s="512"/>
      <c r="G36" s="512"/>
      <c r="H36" s="513">
        <f t="shared" si="0"/>
        <v>0</v>
      </c>
    </row>
    <row r="37" spans="1:8" ht="15.75">
      <c r="A37" s="107">
        <v>6.5</v>
      </c>
      <c r="B37" s="202" t="s">
        <v>309</v>
      </c>
      <c r="C37" s="512"/>
      <c r="D37" s="512"/>
      <c r="E37" s="532">
        <f t="shared" si="1"/>
        <v>0</v>
      </c>
      <c r="F37" s="512"/>
      <c r="G37" s="512"/>
      <c r="H37" s="513">
        <f t="shared" si="0"/>
        <v>0</v>
      </c>
    </row>
    <row r="38" spans="1:8" ht="25.5">
      <c r="A38" s="107">
        <v>6.6</v>
      </c>
      <c r="B38" s="202" t="s">
        <v>310</v>
      </c>
      <c r="C38" s="512"/>
      <c r="D38" s="512"/>
      <c r="E38" s="532">
        <f t="shared" si="1"/>
        <v>0</v>
      </c>
      <c r="F38" s="512"/>
      <c r="G38" s="512"/>
      <c r="H38" s="513">
        <f t="shared" si="0"/>
        <v>0</v>
      </c>
    </row>
    <row r="39" spans="1:8" ht="25.5">
      <c r="A39" s="107">
        <v>6.7</v>
      </c>
      <c r="B39" s="202" t="s">
        <v>311</v>
      </c>
      <c r="C39" s="512"/>
      <c r="D39" s="512"/>
      <c r="E39" s="532">
        <f t="shared" si="1"/>
        <v>0</v>
      </c>
      <c r="F39" s="512"/>
      <c r="G39" s="512"/>
      <c r="H39" s="513">
        <f t="shared" si="0"/>
        <v>0</v>
      </c>
    </row>
    <row r="40" spans="1:8" ht="15.75">
      <c r="A40" s="107">
        <v>7</v>
      </c>
      <c r="B40" s="201" t="s">
        <v>312</v>
      </c>
      <c r="C40" s="512"/>
      <c r="D40" s="512"/>
      <c r="E40" s="532">
        <f t="shared" si="1"/>
        <v>0</v>
      </c>
      <c r="F40" s="512"/>
      <c r="G40" s="512"/>
      <c r="H40" s="513">
        <f t="shared" si="0"/>
        <v>0</v>
      </c>
    </row>
    <row r="41" spans="1:8" ht="25.5">
      <c r="A41" s="107">
        <v>7.1</v>
      </c>
      <c r="B41" s="202" t="s">
        <v>313</v>
      </c>
      <c r="C41" s="512">
        <v>0</v>
      </c>
      <c r="D41" s="512">
        <v>452902.49</v>
      </c>
      <c r="E41" s="532">
        <f t="shared" si="1"/>
        <v>452902.49</v>
      </c>
      <c r="F41" s="512">
        <v>19922.95</v>
      </c>
      <c r="G41" s="512">
        <v>33518.82</v>
      </c>
      <c r="H41" s="513">
        <f t="shared" si="0"/>
        <v>53441.770000000004</v>
      </c>
    </row>
    <row r="42" spans="1:8" ht="25.5">
      <c r="A42" s="107">
        <v>7.2</v>
      </c>
      <c r="B42" s="202" t="s">
        <v>314</v>
      </c>
      <c r="C42" s="512">
        <v>1956330.5800000138</v>
      </c>
      <c r="D42" s="512">
        <v>4711119.2500000102</v>
      </c>
      <c r="E42" s="532">
        <f t="shared" si="1"/>
        <v>6667449.8300000243</v>
      </c>
      <c r="F42" s="512">
        <v>2940127.1300000027</v>
      </c>
      <c r="G42" s="512">
        <v>5671256.1099999472</v>
      </c>
      <c r="H42" s="513">
        <f t="shared" si="0"/>
        <v>8611383.2399999499</v>
      </c>
    </row>
    <row r="43" spans="1:8" ht="25.5">
      <c r="A43" s="107">
        <v>7.3</v>
      </c>
      <c r="B43" s="202" t="s">
        <v>315</v>
      </c>
      <c r="C43" s="512">
        <v>5038998.5199999996</v>
      </c>
      <c r="D43" s="512">
        <v>9452767.3499999996</v>
      </c>
      <c r="E43" s="532">
        <f t="shared" si="1"/>
        <v>14491765.869999999</v>
      </c>
      <c r="F43" s="512">
        <v>4725377.4099999992</v>
      </c>
      <c r="G43" s="512">
        <v>8531590.9299999997</v>
      </c>
      <c r="H43" s="513">
        <f t="shared" si="0"/>
        <v>13256968.34</v>
      </c>
    </row>
    <row r="44" spans="1:8" ht="25.5">
      <c r="A44" s="107">
        <v>7.4</v>
      </c>
      <c r="B44" s="202" t="s">
        <v>316</v>
      </c>
      <c r="C44" s="512">
        <v>61133865.789997593</v>
      </c>
      <c r="D44" s="512">
        <v>137039261.3000026</v>
      </c>
      <c r="E44" s="532">
        <f t="shared" si="1"/>
        <v>198173127.09000021</v>
      </c>
      <c r="F44" s="512">
        <v>60113339.909997091</v>
      </c>
      <c r="G44" s="512">
        <v>132975641.10000193</v>
      </c>
      <c r="H44" s="513">
        <f t="shared" si="0"/>
        <v>193088981.00999904</v>
      </c>
    </row>
    <row r="45" spans="1:8" ht="15.75">
      <c r="A45" s="107">
        <v>8</v>
      </c>
      <c r="B45" s="201" t="s">
        <v>317</v>
      </c>
      <c r="C45" s="512">
        <v>1724406.8601920004</v>
      </c>
      <c r="D45" s="512">
        <v>0</v>
      </c>
      <c r="E45" s="532">
        <f>SUM(E46:E52)</f>
        <v>1724406.8601920004</v>
      </c>
      <c r="F45" s="512">
        <v>2193040.5605119998</v>
      </c>
      <c r="G45" s="512">
        <v>0</v>
      </c>
      <c r="H45" s="513">
        <f t="shared" si="0"/>
        <v>2193040.5605119998</v>
      </c>
    </row>
    <row r="46" spans="1:8" ht="15.75">
      <c r="A46" s="107">
        <v>8.1</v>
      </c>
      <c r="B46" s="202" t="s">
        <v>318</v>
      </c>
      <c r="C46" s="512">
        <v>96551.430192</v>
      </c>
      <c r="D46" s="512">
        <v>0</v>
      </c>
      <c r="E46" s="532">
        <f t="shared" si="1"/>
        <v>96551.430192</v>
      </c>
      <c r="F46" s="512">
        <v>109176.72451200002</v>
      </c>
      <c r="G46" s="512">
        <v>0</v>
      </c>
      <c r="H46" s="513">
        <f t="shared" si="0"/>
        <v>109176.72451200002</v>
      </c>
    </row>
    <row r="47" spans="1:8" ht="15.75">
      <c r="A47" s="107">
        <v>8.1999999999999993</v>
      </c>
      <c r="B47" s="202" t="s">
        <v>319</v>
      </c>
      <c r="C47" s="512">
        <v>1536110.9820000005</v>
      </c>
      <c r="D47" s="512">
        <v>0</v>
      </c>
      <c r="E47" s="532">
        <f t="shared" si="1"/>
        <v>1536110.9820000005</v>
      </c>
      <c r="F47" s="512">
        <v>1998487.138</v>
      </c>
      <c r="G47" s="512">
        <v>0</v>
      </c>
      <c r="H47" s="513">
        <f t="shared" si="0"/>
        <v>1998487.138</v>
      </c>
    </row>
    <row r="48" spans="1:8" ht="15.75">
      <c r="A48" s="107">
        <v>8.3000000000000007</v>
      </c>
      <c r="B48" s="202" t="s">
        <v>320</v>
      </c>
      <c r="C48" s="512">
        <v>56007.292000000001</v>
      </c>
      <c r="D48" s="512">
        <v>0</v>
      </c>
      <c r="E48" s="532">
        <f t="shared" si="1"/>
        <v>56007.292000000001</v>
      </c>
      <c r="F48" s="512">
        <v>57488.258000000002</v>
      </c>
      <c r="G48" s="512">
        <v>0</v>
      </c>
      <c r="H48" s="513">
        <f t="shared" si="0"/>
        <v>57488.258000000002</v>
      </c>
    </row>
    <row r="49" spans="1:8" ht="15.75">
      <c r="A49" s="107">
        <v>8.4</v>
      </c>
      <c r="B49" s="202" t="s">
        <v>321</v>
      </c>
      <c r="C49" s="512">
        <v>35737.156000000003</v>
      </c>
      <c r="D49" s="512">
        <v>0</v>
      </c>
      <c r="E49" s="532">
        <f t="shared" si="1"/>
        <v>35737.156000000003</v>
      </c>
      <c r="F49" s="512">
        <v>23388.44</v>
      </c>
      <c r="G49" s="512">
        <v>0</v>
      </c>
      <c r="H49" s="513">
        <f t="shared" si="0"/>
        <v>23388.44</v>
      </c>
    </row>
    <row r="50" spans="1:8" ht="15.75">
      <c r="A50" s="107">
        <v>8.5</v>
      </c>
      <c r="B50" s="202" t="s">
        <v>322</v>
      </c>
      <c r="C50" s="512">
        <v>0</v>
      </c>
      <c r="D50" s="512">
        <v>0</v>
      </c>
      <c r="E50" s="532">
        <f t="shared" si="1"/>
        <v>0</v>
      </c>
      <c r="F50" s="512">
        <v>3600</v>
      </c>
      <c r="G50" s="512">
        <v>0</v>
      </c>
      <c r="H50" s="513">
        <f t="shared" si="0"/>
        <v>3600</v>
      </c>
    </row>
    <row r="51" spans="1:8" ht="15.75">
      <c r="A51" s="107">
        <v>8.6</v>
      </c>
      <c r="B51" s="202" t="s">
        <v>323</v>
      </c>
      <c r="C51" s="512">
        <v>0</v>
      </c>
      <c r="D51" s="512">
        <v>0</v>
      </c>
      <c r="E51" s="532">
        <f t="shared" si="1"/>
        <v>0</v>
      </c>
      <c r="F51" s="512">
        <v>900</v>
      </c>
      <c r="G51" s="512">
        <v>0</v>
      </c>
      <c r="H51" s="513">
        <f t="shared" si="0"/>
        <v>900</v>
      </c>
    </row>
    <row r="52" spans="1:8" ht="15.75">
      <c r="A52" s="107">
        <v>8.6999999999999993</v>
      </c>
      <c r="B52" s="202" t="s">
        <v>324</v>
      </c>
      <c r="C52" s="512">
        <v>0</v>
      </c>
      <c r="D52" s="512">
        <v>0</v>
      </c>
      <c r="E52" s="532">
        <f t="shared" si="1"/>
        <v>0</v>
      </c>
      <c r="F52" s="512">
        <v>0</v>
      </c>
      <c r="G52" s="512">
        <v>0</v>
      </c>
      <c r="H52" s="513">
        <f t="shared" si="0"/>
        <v>0</v>
      </c>
    </row>
    <row r="53" spans="1:8" ht="16.5" thickBot="1">
      <c r="A53" s="205">
        <v>9</v>
      </c>
      <c r="B53" s="206" t="s">
        <v>325</v>
      </c>
      <c r="C53" s="221"/>
      <c r="D53" s="221"/>
      <c r="E53" s="222">
        <f t="shared" ref="E53" si="2">C53+D53</f>
        <v>0</v>
      </c>
      <c r="F53" s="221"/>
      <c r="G53" s="221"/>
      <c r="H53" s="21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pane="topRight"/>
      <selection pane="bottomLeft"/>
      <selection pane="bottomRight"/>
    </sheetView>
  </sheetViews>
  <sheetFormatPr defaultColWidth="9.28515625" defaultRowHeight="12.75"/>
  <cols>
    <col min="1" max="1" width="9.5703125" style="1" bestFit="1" customWidth="1"/>
    <col min="2" max="2" width="93.5703125" style="1" customWidth="1"/>
    <col min="3" max="4" width="14" style="1" customWidth="1"/>
    <col min="5" max="7" width="14" style="9" customWidth="1"/>
    <col min="8" max="11" width="9.7109375" style="9" customWidth="1"/>
    <col min="12" max="16384" width="9.28515625" style="9"/>
  </cols>
  <sheetData>
    <row r="1" spans="1:7" ht="15">
      <c r="A1" s="14" t="s">
        <v>188</v>
      </c>
      <c r="B1" s="13" t="str">
        <f>Info!C2</f>
        <v>სს "ბანკი ქართუ"</v>
      </c>
      <c r="C1" s="13"/>
    </row>
    <row r="2" spans="1:7" ht="15">
      <c r="A2" s="14" t="s">
        <v>189</v>
      </c>
      <c r="B2" s="378">
        <f>'1. key ratios'!B2</f>
        <v>44651</v>
      </c>
      <c r="C2" s="13"/>
    </row>
    <row r="3" spans="1:7" ht="15">
      <c r="A3" s="14"/>
      <c r="B3" s="13"/>
      <c r="C3" s="13"/>
    </row>
    <row r="4" spans="1:7" ht="15" customHeight="1" thickBot="1">
      <c r="A4" s="196" t="s">
        <v>409</v>
      </c>
      <c r="B4" s="197" t="s">
        <v>187</v>
      </c>
      <c r="C4" s="198" t="s">
        <v>93</v>
      </c>
    </row>
    <row r="5" spans="1:7" ht="15" customHeight="1">
      <c r="A5" s="194" t="s">
        <v>26</v>
      </c>
      <c r="B5" s="195"/>
      <c r="C5" s="379" t="str">
        <f>INT((MONTH($B$2))/3)&amp;"Q"&amp;"-"&amp;YEAR($B$2)</f>
        <v>1Q-2022</v>
      </c>
      <c r="D5" s="379" t="str">
        <f>IF(INT(MONTH($B$2))=3, "4"&amp;"Q"&amp;"-"&amp;YEAR($B$2)-1, IF(INT(MONTH($B$2))=6, "1"&amp;"Q"&amp;"-"&amp;YEAR($B$2), IF(INT(MONTH($B$2))=9, "2"&amp;"Q"&amp;"-"&amp;YEAR($B$2),IF(INT(MONTH($B$2))=12, "3"&amp;"Q"&amp;"-"&amp;YEAR($B$2), 0))))</f>
        <v>4Q-2021</v>
      </c>
      <c r="E5" s="379" t="str">
        <f>IF(INT(MONTH($B$2))=3, "3"&amp;"Q"&amp;"-"&amp;YEAR($B$2)-1, IF(INT(MONTH($B$2))=6, "4"&amp;"Q"&amp;"-"&amp;YEAR($B$2)-1, IF(INT(MONTH($B$2))=9, "1"&amp;"Q"&amp;"-"&amp;YEAR($B$2),IF(INT(MONTH($B$2))=12, "2"&amp;"Q"&amp;"-"&amp;YEAR($B$2), 0))))</f>
        <v>3Q-2021</v>
      </c>
      <c r="F5" s="379" t="str">
        <f>IF(INT(MONTH($B$2))=3, "2"&amp;"Q"&amp;"-"&amp;YEAR($B$2)-1, IF(INT(MONTH($B$2))=6, "3"&amp;"Q"&amp;"-"&amp;YEAR($B$2)-1, IF(INT(MONTH($B$2))=9, "4"&amp;"Q"&amp;"-"&amp;YEAR($B$2)-1,IF(INT(MONTH($B$2))=12, "1"&amp;"Q"&amp;"-"&amp;YEAR($B$2), 0))))</f>
        <v>2Q-2021</v>
      </c>
      <c r="G5" s="379" t="str">
        <f>IF(INT(MONTH($B$2))=3, "1"&amp;"Q"&amp;"-"&amp;YEAR($B$2)-1, IF(INT(MONTH($B$2))=6, "2"&amp;"Q"&amp;"-"&amp;YEAR($B$2)-1, IF(INT(MONTH($B$2))=9, "3"&amp;"Q"&amp;"-"&amp;YEAR($B$2)-1,IF(INT(MONTH($B$2))=12, "4"&amp;"Q"&amp;"-"&amp;YEAR($B$2)-1, 0))))</f>
        <v>1Q-2021</v>
      </c>
    </row>
    <row r="6" spans="1:7" ht="15" customHeight="1">
      <c r="A6" s="317">
        <v>1</v>
      </c>
      <c r="B6" s="363" t="s">
        <v>192</v>
      </c>
      <c r="C6" s="318">
        <f>C7+C9+C10</f>
        <v>1214652459.9997916</v>
      </c>
      <c r="D6" s="365">
        <f>D7+D9+D10</f>
        <v>1161153557.2589002</v>
      </c>
      <c r="E6" s="365">
        <f t="shared" ref="E6:G6" si="0">E7+E9+E10</f>
        <v>1174630332.3047283</v>
      </c>
      <c r="F6" s="318">
        <f t="shared" si="0"/>
        <v>1233193198.9992094</v>
      </c>
      <c r="G6" s="366">
        <f t="shared" si="0"/>
        <v>1341919280.7882493</v>
      </c>
    </row>
    <row r="7" spans="1:7" ht="15" customHeight="1">
      <c r="A7" s="317">
        <v>1.1000000000000001</v>
      </c>
      <c r="B7" s="319" t="s">
        <v>605</v>
      </c>
      <c r="C7" s="320">
        <v>1189270401.6807432</v>
      </c>
      <c r="D7" s="367">
        <v>1128092368.3730202</v>
      </c>
      <c r="E7" s="367">
        <v>1131607065.0510361</v>
      </c>
      <c r="F7" s="320">
        <v>1203787592.3812177</v>
      </c>
      <c r="G7" s="368">
        <v>1310108647.8626573</v>
      </c>
    </row>
    <row r="8" spans="1:7" ht="25.5">
      <c r="A8" s="317" t="s">
        <v>252</v>
      </c>
      <c r="B8" s="321" t="s">
        <v>403</v>
      </c>
      <c r="C8" s="320">
        <v>39590050</v>
      </c>
      <c r="D8" s="367">
        <v>40402657.5</v>
      </c>
      <c r="E8" s="367">
        <v>40152727.5</v>
      </c>
      <c r="F8" s="320">
        <v>39042007.5</v>
      </c>
      <c r="G8" s="368">
        <v>39752650</v>
      </c>
    </row>
    <row r="9" spans="1:7" ht="15" customHeight="1">
      <c r="A9" s="317">
        <v>1.2</v>
      </c>
      <c r="B9" s="319" t="s">
        <v>22</v>
      </c>
      <c r="C9" s="320">
        <v>24906790.31904849</v>
      </c>
      <c r="D9" s="367">
        <v>32460740.885879934</v>
      </c>
      <c r="E9" s="367">
        <v>42189467.253692165</v>
      </c>
      <c r="F9" s="320">
        <v>28803878.617991645</v>
      </c>
      <c r="G9" s="368">
        <v>31410192.925591871</v>
      </c>
    </row>
    <row r="10" spans="1:7" ht="15" customHeight="1">
      <c r="A10" s="317">
        <v>1.3</v>
      </c>
      <c r="B10" s="364" t="s">
        <v>77</v>
      </c>
      <c r="C10" s="320">
        <v>475268</v>
      </c>
      <c r="D10" s="367">
        <v>600448</v>
      </c>
      <c r="E10" s="367">
        <v>833800</v>
      </c>
      <c r="F10" s="320">
        <v>601728</v>
      </c>
      <c r="G10" s="368">
        <v>400440</v>
      </c>
    </row>
    <row r="11" spans="1:7" ht="15" customHeight="1">
      <c r="A11" s="317">
        <v>2</v>
      </c>
      <c r="B11" s="363" t="s">
        <v>193</v>
      </c>
      <c r="C11" s="320">
        <v>41213261.31616801</v>
      </c>
      <c r="D11" s="367">
        <v>32703895.311471444</v>
      </c>
      <c r="E11" s="367">
        <v>43545013.770006515</v>
      </c>
      <c r="F11" s="320">
        <v>30807802.803780936</v>
      </c>
      <c r="G11" s="368">
        <v>15959405.689869506</v>
      </c>
    </row>
    <row r="12" spans="1:7" ht="15" customHeight="1">
      <c r="A12" s="317">
        <v>3</v>
      </c>
      <c r="B12" s="363" t="s">
        <v>191</v>
      </c>
      <c r="C12" s="320">
        <v>105286124.37499999</v>
      </c>
      <c r="D12" s="367">
        <v>105286124.37499999</v>
      </c>
      <c r="E12" s="367">
        <v>100202502.49999999</v>
      </c>
      <c r="F12" s="320">
        <v>100202502.49999999</v>
      </c>
      <c r="G12" s="368">
        <v>100202502.49999999</v>
      </c>
    </row>
    <row r="13" spans="1:7" ht="15" customHeight="1" thickBot="1">
      <c r="A13" s="120">
        <v>4</v>
      </c>
      <c r="B13" s="371" t="s">
        <v>253</v>
      </c>
      <c r="C13" s="223">
        <f>C6+C11+C12</f>
        <v>1361151845.6909597</v>
      </c>
      <c r="D13" s="369">
        <f>D6+D11+D12</f>
        <v>1299143576.9453716</v>
      </c>
      <c r="E13" s="369">
        <f t="shared" ref="E13:G13" si="1">E6+E11+E12</f>
        <v>1318377848.5747347</v>
      </c>
      <c r="F13" s="223">
        <f t="shared" si="1"/>
        <v>1364203504.3029904</v>
      </c>
      <c r="G13" s="370">
        <f t="shared" si="1"/>
        <v>1458081188.9781187</v>
      </c>
    </row>
    <row r="14" spans="1:7">
      <c r="B14" s="18"/>
    </row>
    <row r="15" spans="1:7" ht="25.5">
      <c r="B15" s="18" t="s">
        <v>606</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4"/>
  <sheetViews>
    <sheetView showGridLines="0" zoomScaleNormal="100" workbookViewId="0">
      <pane xSplit="1" ySplit="4" topLeftCell="B5" activePane="bottomRight" state="frozen"/>
      <selection pane="topRight"/>
      <selection pane="bottomLeft"/>
      <selection pane="bottomRight"/>
    </sheetView>
  </sheetViews>
  <sheetFormatPr defaultRowHeight="15"/>
  <cols>
    <col min="1" max="1" width="9.5703125" style="1" bestFit="1" customWidth="1"/>
    <col min="2" max="2" width="58.7109375" style="1" customWidth="1"/>
    <col min="3" max="3" width="34.28515625" style="1" customWidth="1"/>
  </cols>
  <sheetData>
    <row r="1" spans="1:8">
      <c r="A1" s="1" t="s">
        <v>188</v>
      </c>
      <c r="B1" s="1" t="str">
        <f>Info!C2</f>
        <v>სს "ბანკი ქართუ"</v>
      </c>
    </row>
    <row r="2" spans="1:8">
      <c r="A2" s="1" t="s">
        <v>189</v>
      </c>
      <c r="B2" s="390">
        <f>'1. key ratios'!B2</f>
        <v>44651</v>
      </c>
    </row>
    <row r="4" spans="1:8" ht="25.5" customHeight="1" thickBot="1">
      <c r="A4" s="207" t="s">
        <v>410</v>
      </c>
      <c r="B4" s="53" t="s">
        <v>149</v>
      </c>
      <c r="C4" s="10"/>
    </row>
    <row r="5" spans="1:8" ht="15.75">
      <c r="A5" s="8"/>
      <c r="B5" s="359" t="s">
        <v>150</v>
      </c>
      <c r="C5" s="376" t="s">
        <v>620</v>
      </c>
    </row>
    <row r="6" spans="1:8">
      <c r="A6" s="11">
        <v>1</v>
      </c>
      <c r="B6" s="533" t="s">
        <v>961</v>
      </c>
      <c r="C6" s="372" t="s">
        <v>962</v>
      </c>
    </row>
    <row r="7" spans="1:8">
      <c r="A7" s="11">
        <v>2</v>
      </c>
      <c r="B7" s="533" t="s">
        <v>963</v>
      </c>
      <c r="C7" s="372" t="s">
        <v>964</v>
      </c>
    </row>
    <row r="8" spans="1:8">
      <c r="A8" s="11">
        <v>3</v>
      </c>
      <c r="B8" s="533" t="s">
        <v>965</v>
      </c>
      <c r="C8" s="372" t="s">
        <v>966</v>
      </c>
    </row>
    <row r="9" spans="1:8">
      <c r="A9" s="11">
        <v>4</v>
      </c>
      <c r="B9" s="533" t="s">
        <v>967</v>
      </c>
      <c r="C9" s="372" t="s">
        <v>966</v>
      </c>
    </row>
    <row r="10" spans="1:8">
      <c r="A10" s="11">
        <v>5</v>
      </c>
      <c r="B10" s="533" t="s">
        <v>968</v>
      </c>
      <c r="C10" s="372" t="s">
        <v>969</v>
      </c>
    </row>
    <row r="11" spans="1:8">
      <c r="A11" s="11">
        <v>6</v>
      </c>
      <c r="B11" s="54"/>
      <c r="C11" s="372"/>
    </row>
    <row r="12" spans="1:8">
      <c r="A12" s="11">
        <v>7</v>
      </c>
      <c r="B12" s="54"/>
      <c r="C12" s="372"/>
      <c r="H12" s="2"/>
    </row>
    <row r="13" spans="1:8">
      <c r="A13" s="11">
        <v>8</v>
      </c>
      <c r="B13" s="54"/>
      <c r="C13" s="372"/>
    </row>
    <row r="14" spans="1:8">
      <c r="A14" s="11">
        <v>9</v>
      </c>
      <c r="B14" s="54"/>
      <c r="C14" s="372"/>
    </row>
    <row r="15" spans="1:8">
      <c r="A15" s="11">
        <v>10</v>
      </c>
      <c r="B15" s="54"/>
      <c r="C15" s="372"/>
    </row>
    <row r="16" spans="1:8">
      <c r="A16" s="11"/>
      <c r="B16" s="695"/>
      <c r="C16" s="696"/>
    </row>
    <row r="17" spans="1:3" ht="60">
      <c r="A17" s="11"/>
      <c r="B17" s="360" t="s">
        <v>151</v>
      </c>
      <c r="C17" s="377" t="s">
        <v>621</v>
      </c>
    </row>
    <row r="18" spans="1:3" ht="15.75">
      <c r="A18" s="11">
        <v>1</v>
      </c>
      <c r="B18" s="534" t="s">
        <v>970</v>
      </c>
      <c r="C18" s="374" t="s">
        <v>971</v>
      </c>
    </row>
    <row r="19" spans="1:3" ht="15.75">
      <c r="A19" s="11">
        <v>2</v>
      </c>
      <c r="B19" s="534" t="s">
        <v>972</v>
      </c>
      <c r="C19" s="374" t="s">
        <v>973</v>
      </c>
    </row>
    <row r="20" spans="1:3" ht="15.75">
      <c r="A20" s="11">
        <v>3</v>
      </c>
      <c r="B20" s="534" t="s">
        <v>974</v>
      </c>
      <c r="C20" s="374" t="s">
        <v>975</v>
      </c>
    </row>
    <row r="21" spans="1:3" ht="15.75">
      <c r="A21" s="11">
        <v>4</v>
      </c>
      <c r="B21" s="534" t="s">
        <v>976</v>
      </c>
      <c r="C21" s="374" t="s">
        <v>977</v>
      </c>
    </row>
    <row r="22" spans="1:3" ht="15.75">
      <c r="A22" s="11">
        <v>5</v>
      </c>
      <c r="B22" s="534" t="s">
        <v>978</v>
      </c>
      <c r="C22" s="374" t="s">
        <v>979</v>
      </c>
    </row>
    <row r="23" spans="1:3" ht="15.75">
      <c r="A23" s="11">
        <v>6</v>
      </c>
      <c r="B23" s="22"/>
      <c r="C23" s="374"/>
    </row>
    <row r="24" spans="1:3" ht="15.75">
      <c r="A24" s="11">
        <v>7</v>
      </c>
      <c r="B24" s="22"/>
      <c r="C24" s="374"/>
    </row>
    <row r="25" spans="1:3" ht="15.75">
      <c r="A25" s="11">
        <v>8</v>
      </c>
      <c r="B25" s="22"/>
      <c r="C25" s="374"/>
    </row>
    <row r="26" spans="1:3" ht="15.75">
      <c r="A26" s="11">
        <v>9</v>
      </c>
      <c r="B26" s="22"/>
      <c r="C26" s="374"/>
    </row>
    <row r="27" spans="1:3" ht="15.75" customHeight="1">
      <c r="A27" s="11">
        <v>10</v>
      </c>
      <c r="B27" s="22"/>
      <c r="C27" s="375"/>
    </row>
    <row r="28" spans="1:3" ht="15.75" customHeight="1">
      <c r="A28" s="11"/>
      <c r="B28" s="22"/>
      <c r="C28" s="23"/>
    </row>
    <row r="29" spans="1:3" ht="30" customHeight="1">
      <c r="A29" s="11"/>
      <c r="B29" s="697" t="s">
        <v>152</v>
      </c>
      <c r="C29" s="698"/>
    </row>
    <row r="30" spans="1:3">
      <c r="A30" s="11">
        <v>1</v>
      </c>
      <c r="B30" s="535" t="s">
        <v>980</v>
      </c>
      <c r="C30" s="536">
        <v>1</v>
      </c>
    </row>
    <row r="31" spans="1:3" ht="15.75" customHeight="1">
      <c r="A31" s="11"/>
      <c r="B31" s="54"/>
      <c r="C31" s="55"/>
    </row>
    <row r="32" spans="1:3" ht="29.25" customHeight="1">
      <c r="A32" s="11"/>
      <c r="B32" s="697" t="s">
        <v>273</v>
      </c>
      <c r="C32" s="698"/>
    </row>
    <row r="33" spans="1:3">
      <c r="A33" s="11">
        <v>1</v>
      </c>
      <c r="B33" s="533" t="s">
        <v>981</v>
      </c>
      <c r="C33" s="537">
        <v>1</v>
      </c>
    </row>
    <row r="34" spans="1:3" ht="16.5" thickBot="1">
      <c r="A34" s="12"/>
      <c r="B34" s="56"/>
      <c r="C34" s="373"/>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pane="topRight"/>
      <selection pane="bottomLeft"/>
      <selection pane="bottomRight" activeCell="A12" sqref="A12"/>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"ბანკი ქართუ"</v>
      </c>
    </row>
    <row r="2" spans="1:5" s="14" customFormat="1" ht="15.75" customHeight="1">
      <c r="A2" s="14" t="s">
        <v>189</v>
      </c>
      <c r="B2" s="390">
        <f>'1. key ratios'!B2</f>
        <v>44651</v>
      </c>
    </row>
    <row r="3" spans="1:5" s="14" customFormat="1" ht="15.75" customHeight="1"/>
    <row r="4" spans="1:5" s="14" customFormat="1" ht="15.75" customHeight="1" thickBot="1">
      <c r="A4" s="208" t="s">
        <v>411</v>
      </c>
      <c r="B4" s="209" t="s">
        <v>263</v>
      </c>
      <c r="C4" s="173"/>
      <c r="D4" s="173"/>
      <c r="E4" s="174" t="s">
        <v>93</v>
      </c>
    </row>
    <row r="5" spans="1:5" s="108" customFormat="1" ht="17.649999999999999" customHeight="1">
      <c r="A5" s="288"/>
      <c r="B5" s="289"/>
      <c r="C5" s="172" t="s">
        <v>0</v>
      </c>
      <c r="D5" s="172" t="s">
        <v>1</v>
      </c>
      <c r="E5" s="290" t="s">
        <v>2</v>
      </c>
    </row>
    <row r="6" spans="1:5" ht="14.65" customHeight="1">
      <c r="A6" s="291"/>
      <c r="B6" s="699" t="s">
        <v>231</v>
      </c>
      <c r="C6" s="699" t="s">
        <v>230</v>
      </c>
      <c r="D6" s="700" t="s">
        <v>229</v>
      </c>
      <c r="E6" s="701"/>
    </row>
    <row r="7" spans="1:5" ht="99.6" customHeight="1">
      <c r="A7" s="291"/>
      <c r="B7" s="699"/>
      <c r="C7" s="699"/>
      <c r="D7" s="286" t="s">
        <v>228</v>
      </c>
      <c r="E7" s="287" t="s">
        <v>522</v>
      </c>
    </row>
    <row r="8" spans="1:5">
      <c r="A8" s="292">
        <v>1</v>
      </c>
      <c r="B8" s="293" t="s">
        <v>154</v>
      </c>
      <c r="C8" s="294">
        <f>'2. RC'!E7</f>
        <v>14851742</v>
      </c>
      <c r="D8" s="294"/>
      <c r="E8" s="295">
        <f>C8-D8</f>
        <v>14851742</v>
      </c>
    </row>
    <row r="9" spans="1:5">
      <c r="A9" s="292">
        <v>2</v>
      </c>
      <c r="B9" s="293" t="s">
        <v>155</v>
      </c>
      <c r="C9" s="294">
        <f>'2. RC'!E8</f>
        <v>211334277</v>
      </c>
      <c r="D9" s="294"/>
      <c r="E9" s="295">
        <f t="shared" ref="E9:E20" si="0">C9-D9</f>
        <v>211334277</v>
      </c>
    </row>
    <row r="10" spans="1:5">
      <c r="A10" s="292">
        <v>3</v>
      </c>
      <c r="B10" s="293" t="s">
        <v>227</v>
      </c>
      <c r="C10" s="294">
        <f>'2. RC'!E9</f>
        <v>194640372</v>
      </c>
      <c r="D10" s="294"/>
      <c r="E10" s="295">
        <f t="shared" si="0"/>
        <v>194640372</v>
      </c>
    </row>
    <row r="11" spans="1:5">
      <c r="A11" s="292">
        <v>4</v>
      </c>
      <c r="B11" s="293" t="s">
        <v>185</v>
      </c>
      <c r="C11" s="294">
        <f>'2. RC'!E10</f>
        <v>0</v>
      </c>
      <c r="D11" s="294"/>
      <c r="E11" s="295">
        <f t="shared" si="0"/>
        <v>0</v>
      </c>
    </row>
    <row r="12" spans="1:5">
      <c r="A12" s="292">
        <v>5</v>
      </c>
      <c r="B12" s="293" t="s">
        <v>157</v>
      </c>
      <c r="C12" s="294">
        <f>'2. RC'!E11</f>
        <v>32345550</v>
      </c>
      <c r="D12" s="294">
        <f>'2. RC'!E39</f>
        <v>-261450</v>
      </c>
      <c r="E12" s="295">
        <f t="shared" si="0"/>
        <v>32607000</v>
      </c>
    </row>
    <row r="13" spans="1:5">
      <c r="A13" s="292">
        <v>6.1</v>
      </c>
      <c r="B13" s="293" t="s">
        <v>158</v>
      </c>
      <c r="C13" s="296">
        <f>'2. RC'!E12</f>
        <v>965150942</v>
      </c>
      <c r="D13" s="294"/>
      <c r="E13" s="295">
        <f>C13-D13</f>
        <v>965150942</v>
      </c>
    </row>
    <row r="14" spans="1:5">
      <c r="A14" s="292">
        <v>6.2</v>
      </c>
      <c r="B14" s="297" t="s">
        <v>159</v>
      </c>
      <c r="C14" s="538">
        <f>'2. RC'!E13</f>
        <v>-162019834</v>
      </c>
      <c r="D14" s="539"/>
      <c r="E14" s="540">
        <f>C14</f>
        <v>-162019834</v>
      </c>
    </row>
    <row r="15" spans="1:5">
      <c r="A15" s="292">
        <v>6</v>
      </c>
      <c r="B15" s="293" t="s">
        <v>226</v>
      </c>
      <c r="C15" s="294">
        <f>'2. RC'!E14</f>
        <v>803131108</v>
      </c>
      <c r="D15" s="294"/>
      <c r="E15" s="295">
        <f>SUM(E13:E14)</f>
        <v>803131108</v>
      </c>
    </row>
    <row r="16" spans="1:5">
      <c r="A16" s="292">
        <v>7</v>
      </c>
      <c r="B16" s="293" t="s">
        <v>161</v>
      </c>
      <c r="C16" s="294">
        <f>'2. RC'!E15</f>
        <v>24782525</v>
      </c>
      <c r="D16" s="294"/>
      <c r="E16" s="295">
        <f t="shared" si="0"/>
        <v>24782525</v>
      </c>
    </row>
    <row r="17" spans="1:7">
      <c r="A17" s="292">
        <v>8</v>
      </c>
      <c r="B17" s="293" t="s">
        <v>162</v>
      </c>
      <c r="C17" s="294">
        <f>'2. RC'!E16</f>
        <v>15975500</v>
      </c>
      <c r="D17" s="294"/>
      <c r="E17" s="295">
        <f t="shared" si="0"/>
        <v>15975500</v>
      </c>
      <c r="F17" s="3"/>
      <c r="G17" s="3"/>
    </row>
    <row r="18" spans="1:7">
      <c r="A18" s="292">
        <v>9</v>
      </c>
      <c r="B18" s="293" t="s">
        <v>163</v>
      </c>
      <c r="C18" s="294">
        <f>'2. RC'!E17</f>
        <v>7793239</v>
      </c>
      <c r="D18" s="294"/>
      <c r="E18" s="295">
        <f t="shared" si="0"/>
        <v>7793239</v>
      </c>
      <c r="G18" s="3"/>
    </row>
    <row r="19" spans="1:7" ht="25.5">
      <c r="A19" s="292">
        <v>10</v>
      </c>
      <c r="B19" s="293" t="s">
        <v>164</v>
      </c>
      <c r="C19" s="294">
        <f>'2. RC'!E18</f>
        <v>19652980</v>
      </c>
      <c r="D19" s="294">
        <f>'9. Capital'!C15</f>
        <v>3704164</v>
      </c>
      <c r="E19" s="295">
        <f t="shared" si="0"/>
        <v>15948816</v>
      </c>
      <c r="G19" s="3"/>
    </row>
    <row r="20" spans="1:7">
      <c r="A20" s="292">
        <v>11</v>
      </c>
      <c r="B20" s="293" t="s">
        <v>165</v>
      </c>
      <c r="C20" s="294">
        <f>'2. RC'!E19</f>
        <v>45962989</v>
      </c>
      <c r="D20" s="294">
        <f>'9. Capital'!C20</f>
        <v>0</v>
      </c>
      <c r="E20" s="295">
        <f t="shared" si="0"/>
        <v>45962989</v>
      </c>
    </row>
    <row r="21" spans="1:7" ht="39" thickBot="1">
      <c r="A21" s="298"/>
      <c r="B21" s="299" t="s">
        <v>485</v>
      </c>
      <c r="C21" s="257">
        <f>SUM(C8:C12, C15:C20)</f>
        <v>1370470282</v>
      </c>
      <c r="D21" s="257">
        <f>SUM(D8:D12, D15:D20)</f>
        <v>3442714</v>
      </c>
      <c r="E21" s="300">
        <f>SUM(E8:E12, E15:E20)</f>
        <v>1367027568</v>
      </c>
    </row>
    <row r="22" spans="1:7">
      <c r="A22"/>
      <c r="B22"/>
      <c r="C22"/>
      <c r="D22"/>
      <c r="E22"/>
    </row>
    <row r="23" spans="1:7">
      <c r="A23"/>
      <c r="B23"/>
      <c r="C23"/>
      <c r="D23"/>
      <c r="E23"/>
    </row>
    <row r="25" spans="1:7" s="1" customFormat="1">
      <c r="B25" s="58"/>
      <c r="F25"/>
      <c r="G25"/>
    </row>
    <row r="26" spans="1:7" s="1" customFormat="1">
      <c r="B26" s="59"/>
      <c r="F26"/>
      <c r="G26"/>
    </row>
    <row r="27" spans="1:7" s="1" customFormat="1">
      <c r="B27" s="58"/>
      <c r="F27"/>
      <c r="G27"/>
    </row>
    <row r="28" spans="1:7" s="1" customFormat="1">
      <c r="B28" s="58"/>
      <c r="F28"/>
      <c r="G28"/>
    </row>
    <row r="29" spans="1:7" s="1" customFormat="1">
      <c r="B29" s="58"/>
      <c r="F29"/>
      <c r="G29"/>
    </row>
    <row r="30" spans="1:7" s="1" customFormat="1">
      <c r="B30" s="58"/>
      <c r="F30"/>
      <c r="G30"/>
    </row>
    <row r="31" spans="1:7" s="1" customFormat="1">
      <c r="B31" s="58"/>
      <c r="F31"/>
      <c r="G31"/>
    </row>
    <row r="32" spans="1:7" s="1" customFormat="1">
      <c r="B32" s="59"/>
      <c r="F32"/>
      <c r="G32"/>
    </row>
    <row r="33" spans="2:7" s="1" customFormat="1">
      <c r="B33" s="59"/>
      <c r="F33"/>
      <c r="G33"/>
    </row>
    <row r="34" spans="2:7" s="1" customFormat="1">
      <c r="B34" s="59"/>
      <c r="F34"/>
      <c r="G34"/>
    </row>
    <row r="35" spans="2:7" s="1" customFormat="1">
      <c r="B35" s="59"/>
      <c r="F35"/>
      <c r="G35"/>
    </row>
    <row r="36" spans="2:7" s="1" customFormat="1">
      <c r="B36" s="59"/>
      <c r="F36"/>
      <c r="G36"/>
    </row>
    <row r="37" spans="2:7" s="1"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pane="topRight"/>
      <selection pane="bottomLeft"/>
      <selection pane="bottomRight"/>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"ბანკი ქართუ"</v>
      </c>
    </row>
    <row r="2" spans="1:6" s="14" customFormat="1" ht="15.75" customHeight="1">
      <c r="A2" s="14" t="s">
        <v>189</v>
      </c>
      <c r="B2" s="390">
        <f>'1. key ratios'!B2</f>
        <v>44651</v>
      </c>
      <c r="C2"/>
      <c r="D2"/>
      <c r="E2"/>
      <c r="F2"/>
    </row>
    <row r="3" spans="1:6" s="14" customFormat="1" ht="15.75" customHeight="1">
      <c r="C3"/>
      <c r="D3"/>
      <c r="E3"/>
      <c r="F3"/>
    </row>
    <row r="4" spans="1:6" s="14" customFormat="1" ht="26.25" thickBot="1">
      <c r="A4" s="14" t="s">
        <v>412</v>
      </c>
      <c r="B4" s="180" t="s">
        <v>266</v>
      </c>
      <c r="C4" s="174" t="s">
        <v>93</v>
      </c>
      <c r="D4"/>
      <c r="E4"/>
      <c r="F4"/>
    </row>
    <row r="5" spans="1:6" ht="26.25">
      <c r="A5" s="175">
        <v>1</v>
      </c>
      <c r="B5" s="176" t="s">
        <v>434</v>
      </c>
      <c r="C5" s="224">
        <f>'7. LI1'!E21</f>
        <v>1367027568</v>
      </c>
    </row>
    <row r="6" spans="1:6">
      <c r="A6" s="107">
        <v>2.1</v>
      </c>
      <c r="B6" s="182" t="s">
        <v>267</v>
      </c>
      <c r="C6" s="541">
        <f>'13. CRME'!D22</f>
        <v>50001320.288686126</v>
      </c>
    </row>
    <row r="7" spans="1:6" s="2" customFormat="1" ht="25.5" outlineLevel="1">
      <c r="A7" s="181">
        <v>2.2000000000000002</v>
      </c>
      <c r="B7" s="177" t="s">
        <v>268</v>
      </c>
      <c r="C7" s="542">
        <f>'15. CCR'!C21</f>
        <v>23763400</v>
      </c>
    </row>
    <row r="8" spans="1:6" s="2" customFormat="1" ht="26.25">
      <c r="A8" s="181">
        <v>3</v>
      </c>
      <c r="B8" s="178" t="s">
        <v>435</v>
      </c>
      <c r="C8" s="227">
        <f>SUM(C5:C7)</f>
        <v>1440792288.288686</v>
      </c>
    </row>
    <row r="9" spans="1:6">
      <c r="A9" s="107">
        <v>4</v>
      </c>
      <c r="B9" s="185" t="s">
        <v>264</v>
      </c>
      <c r="C9" s="225">
        <v>11699915</v>
      </c>
    </row>
    <row r="10" spans="1:6" s="2" customFormat="1" ht="25.5" outlineLevel="1">
      <c r="A10" s="181">
        <v>5.0999999999999996</v>
      </c>
      <c r="B10" s="177" t="s">
        <v>274</v>
      </c>
      <c r="C10" s="226">
        <v>-22938267.751727562</v>
      </c>
    </row>
    <row r="11" spans="1:6" s="2" customFormat="1" ht="25.5" outlineLevel="1">
      <c r="A11" s="181">
        <v>5.2</v>
      </c>
      <c r="B11" s="177" t="s">
        <v>275</v>
      </c>
      <c r="C11" s="226">
        <v>-23288132</v>
      </c>
    </row>
    <row r="12" spans="1:6" s="2" customFormat="1">
      <c r="A12" s="181">
        <v>6</v>
      </c>
      <c r="B12" s="183" t="s">
        <v>607</v>
      </c>
      <c r="C12" s="226">
        <v>0</v>
      </c>
    </row>
    <row r="13" spans="1:6" s="2" customFormat="1" ht="15.75" thickBot="1">
      <c r="A13" s="184">
        <v>7</v>
      </c>
      <c r="B13" s="179" t="s">
        <v>265</v>
      </c>
      <c r="C13" s="228">
        <f>SUM(C8:C12)</f>
        <v>1406265803.5369585</v>
      </c>
    </row>
    <row r="15" spans="1:6" ht="26.25">
      <c r="B15" s="18" t="s">
        <v>608</v>
      </c>
    </row>
    <row r="17" spans="2:9" s="1" customFormat="1">
      <c r="B17" s="60"/>
      <c r="C17"/>
      <c r="D17"/>
      <c r="E17"/>
      <c r="F17"/>
      <c r="G17"/>
      <c r="H17"/>
      <c r="I17"/>
    </row>
    <row r="18" spans="2:9" s="1" customFormat="1">
      <c r="B18" s="57"/>
      <c r="C18"/>
      <c r="D18"/>
      <c r="E18"/>
      <c r="F18"/>
      <c r="G18"/>
      <c r="H18"/>
      <c r="I18"/>
    </row>
    <row r="19" spans="2:9" s="1" customFormat="1">
      <c r="B19" s="57"/>
      <c r="C19"/>
      <c r="D19"/>
      <c r="E19"/>
      <c r="F19"/>
      <c r="G19"/>
      <c r="H19"/>
      <c r="I19"/>
    </row>
    <row r="20" spans="2:9" s="1" customFormat="1">
      <c r="B20" s="59"/>
      <c r="C20"/>
      <c r="D20"/>
      <c r="E20"/>
      <c r="F20"/>
      <c r="G20"/>
      <c r="H20"/>
      <c r="I20"/>
    </row>
    <row r="21" spans="2:9" s="1" customFormat="1">
      <c r="B21" s="58"/>
      <c r="C21"/>
      <c r="D21"/>
      <c r="E21"/>
      <c r="F21"/>
      <c r="G21"/>
      <c r="H21"/>
      <c r="I21"/>
    </row>
    <row r="22" spans="2:9" s="1" customFormat="1">
      <c r="B22" s="59"/>
      <c r="C22"/>
      <c r="D22"/>
      <c r="E22"/>
      <c r="F22"/>
      <c r="G22"/>
      <c r="H22"/>
      <c r="I22"/>
    </row>
    <row r="23" spans="2:9" s="1" customFormat="1">
      <c r="B23" s="58"/>
      <c r="C23"/>
      <c r="D23"/>
      <c r="E23"/>
      <c r="F23"/>
      <c r="G23"/>
      <c r="H23"/>
      <c r="I23"/>
    </row>
    <row r="24" spans="2:9" s="1" customFormat="1">
      <c r="B24" s="58"/>
      <c r="C24"/>
      <c r="D24"/>
      <c r="E24"/>
      <c r="F24"/>
      <c r="G24"/>
      <c r="H24"/>
      <c r="I24"/>
    </row>
    <row r="25" spans="2:9" s="1" customFormat="1">
      <c r="B25" s="58"/>
      <c r="C25"/>
      <c r="D25"/>
      <c r="E25"/>
      <c r="F25"/>
      <c r="G25"/>
      <c r="H25"/>
      <c r="I25"/>
    </row>
    <row r="26" spans="2:9" s="1" customFormat="1">
      <c r="B26" s="58"/>
      <c r="C26"/>
      <c r="D26"/>
      <c r="E26"/>
      <c r="F26"/>
      <c r="G26"/>
      <c r="H26"/>
      <c r="I26"/>
    </row>
    <row r="27" spans="2:9" s="1" customFormat="1">
      <c r="B27" s="58"/>
      <c r="C27"/>
      <c r="D27"/>
      <c r="E27"/>
      <c r="F27"/>
      <c r="G27"/>
      <c r="H27"/>
      <c r="I27"/>
    </row>
    <row r="28" spans="2:9" s="1" customFormat="1">
      <c r="B28" s="59"/>
      <c r="C28"/>
      <c r="D28"/>
      <c r="E28"/>
      <c r="F28"/>
      <c r="G28"/>
      <c r="H28"/>
      <c r="I28"/>
    </row>
    <row r="29" spans="2:9" s="1" customFormat="1">
      <c r="B29" s="59"/>
      <c r="C29"/>
      <c r="D29"/>
      <c r="E29"/>
      <c r="F29"/>
      <c r="G29"/>
      <c r="H29"/>
      <c r="I29"/>
    </row>
    <row r="30" spans="2:9" s="1" customFormat="1">
      <c r="B30" s="59"/>
      <c r="C30"/>
      <c r="D30"/>
      <c r="E30"/>
      <c r="F30"/>
      <c r="G30"/>
      <c r="H30"/>
      <c r="I30"/>
    </row>
    <row r="31" spans="2:9" s="1" customFormat="1">
      <c r="B31" s="59"/>
      <c r="C31"/>
      <c r="D31"/>
      <c r="E31"/>
      <c r="F31"/>
      <c r="G31"/>
      <c r="H31"/>
      <c r="I31"/>
    </row>
    <row r="32" spans="2:9" s="1" customFormat="1">
      <c r="B32" s="59"/>
      <c r="C32"/>
      <c r="D32"/>
      <c r="E32"/>
      <c r="F32"/>
      <c r="G32"/>
      <c r="H32"/>
      <c r="I32"/>
    </row>
    <row r="33" spans="2:9" s="1" customFormat="1">
      <c r="B33" s="5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saTTXTZVPXH1ILaC5j80aIai9WUlRc+DvFjf6fBOZOQ=</DigestValue>
    </Reference>
    <Reference Type="http://www.w3.org/2000/09/xmldsig#Object" URI="#idOfficeObject">
      <DigestMethod Algorithm="http://www.w3.org/2001/04/xmlenc#sha256"/>
      <DigestValue>Jsv5B5ucx5C70MDuwUaO6L8amtuDPyPCIpK8vNoPbzI=</DigestValue>
    </Reference>
    <Reference Type="http://uri.etsi.org/01903#SignedProperties" URI="#idSignedProperties">
      <Transforms>
        <Transform Algorithm="http://www.w3.org/TR/2001/REC-xml-c14n-20010315"/>
      </Transforms>
      <DigestMethod Algorithm="http://www.w3.org/2001/04/xmlenc#sha256"/>
      <DigestValue>3XI5pWMJWSxv3yNXKesviyCjeee5hZYTPKKQDTxthlY=</DigestValue>
    </Reference>
  </SignedInfo>
  <SignatureValue>ZEfILf53mgccvTaC3Aw8/NW3axKnyZtzKTc5nfsm9Oskh0CoIHsTSyATgbaO6a+GjgdAvJiyRIxD
qSWXcIV1UlxMF1M/tWpMXgq04N3ZCsGh6bV+EAL5tk5/MC3Kpp65BacEgb7AYHdhFy+RJGYIAWA9
3g1DgWL0qimavSrTi5Ms5KRwYSQ0s7733iSIDOCn4N9YBQO+/QS8w1zMG1NGUTZPydgD4jzmOEF6
SXfqAAQnoK4NJ2x0+bZwotFYRFaLfglBcbCGrdDe7zpRBFmvxmbo/6LycAtte71MXHJGlymz944F
vIeRfuOg9doYqfNg5j3himb95SBPFIdniWhYDQ==</SignatureValue>
  <KeyInfo>
    <X509Data>
      <X509Certificate>MIIGPTCCBSWgAwIBAgIKaCmghgADAAH9FjANBgkqhkiG9w0BAQsFADBKMRIwEAYKCZImiZPyLGQBGRYCZ2UxEzARBgoJkiaJk/IsZAEZFgNuYmcxHzAdBgNVBAMTFk5CRyBDbGFzcyAyIElOVCBTdWIgQ0EwHhcNMjExMjA2MTEzMjU3WhcNMjMxMjA2MTEzMjU3WjA7MRcwFQYDVQQKEw5KU0MgQ0FSVFUgQkFOSzEgMB4GA1UEAxMXQkNSIC0gRGF2aWQgR2FsdWFzaHZpbGkwggEiMA0GCSqGSIb3DQEBAQUAA4IBDwAwggEKAoIBAQCaHLIbBsMRD0XQ2H4Cljphv43bFBGQRcIolOmAMJJVHBLQajGmXbigf4JaRzo9PCOpVZ6MpBTi7VvGF24bweXkBRjxDn9EywMyz837aRsPyJRy8nIj3lckwzY4MvDc7GDTvVcXQOLEGdQ5xbw7jm4huehlclHfTaLo/VvgywWRNLXo04/STgwg27dgTlJmpcOTxZIBYkT7vjwK36I/Mb0j8JDSc4hwa0OKGlp/NB5C8TiXMaW6lnd5z7cyCB201EDLnZs9Df3NWPbnF4eI6jpJE8AqBdC8aY/5FFI80mX9MfR4uM8PT91lhAmjYzScZvsrklz2rNv6v/Z/+IIIpqrlAgMBAAGjggMyMIIDLjA8BgkrBgEEAYI3FQcELzAtBiUrBgEEAYI3FQjmsmCDjfVEhoGZCYO4oUqDvoRxBIPEkTOEg4hdAgFkAgEjMB0GA1UdJQQWMBQGCCsGAQUFBwMCBggrBgEFBQcDBDALBgNVHQ8EBAMCB4AwJwYJKwYBBAGCNxUKBBowGDAKBggrBgEFBQcDAjAKBggrBgEFBQcDBDAdBgNVHQ4EFgQU0JO/WXyJDE7XNtpTiXftYb7pvyM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xNwIXC44DESbbP2usl9qwD+HD2mZyAILICWO+3iJagjUx075F4aRS69Kz0d+9ex+2vX4zhmz+yrCJm1pDABOY3IKRKm0pyLQkll3+9a1Drge2wgNQp8AHBmv3ZOWVRYT6lJ6Tx2ZFvtf5FB0S4zETQpY8eZr5GUYgyyXKtki4flT/1WMqzHeO4adyoGnadhq/KVzj+WSsGz8lYdeUtvUyRvDDX1zzT65MUnbzO+BsNnTpW8g+MLnpRxFGMYHzn21jXJneMEm0FgDMTR4RRchnXJMEnltihx9vywmZ+b2QLWGCFBSiP7r9sExDTj6SEgQ+bEsa1pJnNyl7uo+atXA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/VsRkW2SH46e8UW9Sf6NhbfeTCW0e9VsuCRjRy4GiPs=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qFXjS8oRRZSvtwYpShCDf82uMeSdF/QFP3h40ls7qDg=</DigestValue>
      </Reference>
      <Reference URI="/xl/styles.xml?ContentType=application/vnd.openxmlformats-officedocument.spreadsheetml.styles+xml">
        <DigestMethod Algorithm="http://www.w3.org/2001/04/xmlenc#sha256"/>
        <DigestValue>RN+jMIhoaH6XuC9uTmocofA9lwU3c8v5JP8ux3dsG+A=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TcB/9/a3KfWPha6cDhJNuobtD2ZAnKAcfh8tmToP33A=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5FGyB3fpkf842aze+dp0+sGxuFBippISlJeigEWw4hc=</DigestValue>
      </Reference>
      <Reference URI="/xl/worksheets/sheet11.xml?ContentType=application/vnd.openxmlformats-officedocument.spreadsheetml.worksheet+xml">
        <DigestMethod Algorithm="http://www.w3.org/2001/04/xmlenc#sha256"/>
        <DigestValue>cDBg0VN/p3YkVUtD4s/tWwvvYmyc4XfCCUWznEe5SdE=</DigestValue>
      </Reference>
      <Reference URI="/xl/worksheets/sheet12.xml?ContentType=application/vnd.openxmlformats-officedocument.spreadsheetml.worksheet+xml">
        <DigestMethod Algorithm="http://www.w3.org/2001/04/xmlenc#sha256"/>
        <DigestValue>2Un29PM2ho0Zb/n4W3V0+d19JNnujlmXF4XLlShft5A=</DigestValue>
      </Reference>
      <Reference URI="/xl/worksheets/sheet13.xml?ContentType=application/vnd.openxmlformats-officedocument.spreadsheetml.worksheet+xml">
        <DigestMethod Algorithm="http://www.w3.org/2001/04/xmlenc#sha256"/>
        <DigestValue>XHx8TGgXO2rfNAx3DGm19OeV9c1qW4X0fD7clcpmeLM=</DigestValue>
      </Reference>
      <Reference URI="/xl/worksheets/sheet14.xml?ContentType=application/vnd.openxmlformats-officedocument.spreadsheetml.worksheet+xml">
        <DigestMethod Algorithm="http://www.w3.org/2001/04/xmlenc#sha256"/>
        <DigestValue>V/dNPWQqBP8gua7iHl8RkMTyI/jLvxHzISTBTC+MOuI=</DigestValue>
      </Reference>
      <Reference URI="/xl/worksheets/sheet15.xml?ContentType=application/vnd.openxmlformats-officedocument.spreadsheetml.worksheet+xml">
        <DigestMethod Algorithm="http://www.w3.org/2001/04/xmlenc#sha256"/>
        <DigestValue>0kWX+EL2cxXj5z+kenLlhDsGRU2/4Uhj9Hy0bF7ReN0=</DigestValue>
      </Reference>
      <Reference URI="/xl/worksheets/sheet16.xml?ContentType=application/vnd.openxmlformats-officedocument.spreadsheetml.worksheet+xml">
        <DigestMethod Algorithm="http://www.w3.org/2001/04/xmlenc#sha256"/>
        <DigestValue>dAT527MmUjpRZDMQ64EhRrT5huKNybiz7sHk0FVqRvs=</DigestValue>
      </Reference>
      <Reference URI="/xl/worksheets/sheet17.xml?ContentType=application/vnd.openxmlformats-officedocument.spreadsheetml.worksheet+xml">
        <DigestMethod Algorithm="http://www.w3.org/2001/04/xmlenc#sha256"/>
        <DigestValue>qPzOvgoDhze2YWiNDqaZOvZDRyvmYOoVuzk9qBpaIeY=</DigestValue>
      </Reference>
      <Reference URI="/xl/worksheets/sheet18.xml?ContentType=application/vnd.openxmlformats-officedocument.spreadsheetml.worksheet+xml">
        <DigestMethod Algorithm="http://www.w3.org/2001/04/xmlenc#sha256"/>
        <DigestValue>TulBdZy3N6RTpxVyEAQT957DM/5w0LFUnm1FXxJSxVU=</DigestValue>
      </Reference>
      <Reference URI="/xl/worksheets/sheet19.xml?ContentType=application/vnd.openxmlformats-officedocument.spreadsheetml.worksheet+xml">
        <DigestMethod Algorithm="http://www.w3.org/2001/04/xmlenc#sha256"/>
        <DigestValue>dmXvACcGoJ8iNRwgFsaXC4I1y1qms/pVEVN2twdgBQs=</DigestValue>
      </Reference>
      <Reference URI="/xl/worksheets/sheet2.xml?ContentType=application/vnd.openxmlformats-officedocument.spreadsheetml.worksheet+xml">
        <DigestMethod Algorithm="http://www.w3.org/2001/04/xmlenc#sha256"/>
        <DigestValue>7/k9w172ONCFvkxYVJJcw83oxKZyjjR3cdJJERe0Hag=</DigestValue>
      </Reference>
      <Reference URI="/xl/worksheets/sheet20.xml?ContentType=application/vnd.openxmlformats-officedocument.spreadsheetml.worksheet+xml">
        <DigestMethod Algorithm="http://www.w3.org/2001/04/xmlenc#sha256"/>
        <DigestValue>G1YonBLHXKX8RR28gDXuiesIAPnaUQsdPcd/UnW4MQA=</DigestValue>
      </Reference>
      <Reference URI="/xl/worksheets/sheet21.xml?ContentType=application/vnd.openxmlformats-officedocument.spreadsheetml.worksheet+xml">
        <DigestMethod Algorithm="http://www.w3.org/2001/04/xmlenc#sha256"/>
        <DigestValue>/hBiBU2DL39UhMr3TG2XJyOZ6ndBwWiKza6lrk1+kA8=</DigestValue>
      </Reference>
      <Reference URI="/xl/worksheets/sheet22.xml?ContentType=application/vnd.openxmlformats-officedocument.spreadsheetml.worksheet+xml">
        <DigestMethod Algorithm="http://www.w3.org/2001/04/xmlenc#sha256"/>
        <DigestValue>P77uXhW9+TgziyUjJwiVzL0BU6TQf4jnfFYPtP1NgJM=</DigestValue>
      </Reference>
      <Reference URI="/xl/worksheets/sheet23.xml?ContentType=application/vnd.openxmlformats-officedocument.spreadsheetml.worksheet+xml">
        <DigestMethod Algorithm="http://www.w3.org/2001/04/xmlenc#sha256"/>
        <DigestValue>0J/MgyQtAQF5DGdaG5OffBbdijx2VhedPBMfpksuEhs=</DigestValue>
      </Reference>
      <Reference URI="/xl/worksheets/sheet24.xml?ContentType=application/vnd.openxmlformats-officedocument.spreadsheetml.worksheet+xml">
        <DigestMethod Algorithm="http://www.w3.org/2001/04/xmlenc#sha256"/>
        <DigestValue>vJvMdP5dySOy5jgyccZsM655/Ea3gs2ABg2VmQToOAs=</DigestValue>
      </Reference>
      <Reference URI="/xl/worksheets/sheet25.xml?ContentType=application/vnd.openxmlformats-officedocument.spreadsheetml.worksheet+xml">
        <DigestMethod Algorithm="http://www.w3.org/2001/04/xmlenc#sha256"/>
        <DigestValue>kkyN0Q9otLZ0y91UqANxV4yqIoHA4ojPiVb9OZJTQUo=</DigestValue>
      </Reference>
      <Reference URI="/xl/worksheets/sheet26.xml?ContentType=application/vnd.openxmlformats-officedocument.spreadsheetml.worksheet+xml">
        <DigestMethod Algorithm="http://www.w3.org/2001/04/xmlenc#sha256"/>
        <DigestValue>R3u2z/9K1CZJnhSIwKbTGyzbj8X0zEWD0WCxMtP1c0o=</DigestValue>
      </Reference>
      <Reference URI="/xl/worksheets/sheet27.xml?ContentType=application/vnd.openxmlformats-officedocument.spreadsheetml.worksheet+xml">
        <DigestMethod Algorithm="http://www.w3.org/2001/04/xmlenc#sha256"/>
        <DigestValue>gQT43pnUG7uRZ46k2C6Gzmcmds+Rzzsdpokrv0N13gI=</DigestValue>
      </Reference>
      <Reference URI="/xl/worksheets/sheet28.xml?ContentType=application/vnd.openxmlformats-officedocument.spreadsheetml.worksheet+xml">
        <DigestMethod Algorithm="http://www.w3.org/2001/04/xmlenc#sha256"/>
        <DigestValue>GcV+SO03SIoDt8kawG6m76CJNADv4HrbYCdB8CmlMsA=</DigestValue>
      </Reference>
      <Reference URI="/xl/worksheets/sheet29.xml?ContentType=application/vnd.openxmlformats-officedocument.spreadsheetml.worksheet+xml">
        <DigestMethod Algorithm="http://www.w3.org/2001/04/xmlenc#sha256"/>
        <DigestValue>NRx5MomQKGwZaPP89mdXx1jQKMAw8Afhwmq50MZHbwg=</DigestValue>
      </Reference>
      <Reference URI="/xl/worksheets/sheet3.xml?ContentType=application/vnd.openxmlformats-officedocument.spreadsheetml.worksheet+xml">
        <DigestMethod Algorithm="http://www.w3.org/2001/04/xmlenc#sha256"/>
        <DigestValue>tYwAt2Z2In5VeXGijXaM2CqEzMu43elE3xkfahNoaIo=</DigestValue>
      </Reference>
      <Reference URI="/xl/worksheets/sheet30.xml?ContentType=application/vnd.openxmlformats-officedocument.spreadsheetml.worksheet+xml">
        <DigestMethod Algorithm="http://www.w3.org/2001/04/xmlenc#sha256"/>
        <DigestValue>z8Sa0pWSQz/U8LBNUJWXyuoi0nIba4IICTPrL0t0QYM=</DigestValue>
      </Reference>
      <Reference URI="/xl/worksheets/sheet4.xml?ContentType=application/vnd.openxmlformats-officedocument.spreadsheetml.worksheet+xml">
        <DigestMethod Algorithm="http://www.w3.org/2001/04/xmlenc#sha256"/>
        <DigestValue>MO1IJJgSExOMjxP8HY6L3gSvcK2XXWeYeJK9cDh3P9Q=</DigestValue>
      </Reference>
      <Reference URI="/xl/worksheets/sheet5.xml?ContentType=application/vnd.openxmlformats-officedocument.spreadsheetml.worksheet+xml">
        <DigestMethod Algorithm="http://www.w3.org/2001/04/xmlenc#sha256"/>
        <DigestValue>1ygCPN8hDQxm7YrqJ/pjF8afi4AzajgrOc5zkLlmITg=</DigestValue>
      </Reference>
      <Reference URI="/xl/worksheets/sheet6.xml?ContentType=application/vnd.openxmlformats-officedocument.spreadsheetml.worksheet+xml">
        <DigestMethod Algorithm="http://www.w3.org/2001/04/xmlenc#sha256"/>
        <DigestValue>hLigInKwyScqL2YjsxUXPaKkBEtWqYOr2kZz//RB86M=</DigestValue>
      </Reference>
      <Reference URI="/xl/worksheets/sheet7.xml?ContentType=application/vnd.openxmlformats-officedocument.spreadsheetml.worksheet+xml">
        <DigestMethod Algorithm="http://www.w3.org/2001/04/xmlenc#sha256"/>
        <DigestValue>AUuxiji1tha4LHvkBR98IRiAgBXhe2ULIdilSrJvkcg=</DigestValue>
      </Reference>
      <Reference URI="/xl/worksheets/sheet8.xml?ContentType=application/vnd.openxmlformats-officedocument.spreadsheetml.worksheet+xml">
        <DigestMethod Algorithm="http://www.w3.org/2001/04/xmlenc#sha256"/>
        <DigestValue>0TAoSpGeSDlBfBRBnt+jtUedR1ql/yPe+sBT5/w7XSg=</DigestValue>
      </Reference>
      <Reference URI="/xl/worksheets/sheet9.xml?ContentType=application/vnd.openxmlformats-officedocument.spreadsheetml.worksheet+xml">
        <DigestMethod Algorithm="http://www.w3.org/2001/04/xmlenc#sha256"/>
        <DigestValue>/mFgYkknONGzyjQpQKPT6Ul3rYu2azSoJNZyStzpCr0=</DigestValue>
      </Reference>
    </Manifest>
    <SignatureProperties>
      <SignatureProperty Id="idSignatureTime" Target="#idPackageSignature">
        <mdssi:SignatureTime xmlns:mdssi="http://schemas.openxmlformats.org/package/2006/digital-signature">
          <mdssi:Format>YYYY-MM-DDThh:mm:ssTZD</mdssi:Format>
          <mdssi:Value>2023-02-27T07:55:29Z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11</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InfoV2 xmlns="http://schemas.microsoft.com/office/2006/digsig">
          <Address1/>
          <Address2/>
        </SignatureInfoV2>
      </SignatureProperty>
    </SignatureProperties>
  </Object>
  <Object>
    <xd:QualifyingProperties xmlns:xd="http://uri.etsi.org/01903/v1.3.2#" Target="#idPackageSignature">
      <xd:SignedProperties Id="idSignedProperties">
        <xd:SignedSignatureProperties>
          <xd:SigningTime>2023-02-27T07:55:29Z</xd:SigningTime>
          <xd:SigningCertificate>
            <xd:Cert>
              <xd:CertDigest>
                <DigestMethod Algorithm="http://www.w3.org/2001/04/xmlenc#sha256"/>
                <DigestValue>VH/JYsD5bnPzffHLABRw0/ITbUZe3iuletVUI+JTYcs=</DigestValue>
              </xd:CertDigest>
              <xd:IssuerSerial>
                <X509IssuerName>CN=NBG Class 2 INT Sub CA, DC=nbg, DC=ge</X509IssuerName>
                <X509SerialNumber>491893997658171026570518</X509SerialNumber>
              </xd:IssuerSerial>
            </xd:Cert>
          </xd:SigningCertificate>
          <xd:SignaturePolicyIdentifier>
            <xd:SignaturePolicyImplied/>
          </xd:SignaturePolicyIdentifier>
          <xd:SignatureProductionPlace>
            <xd:City/>
            <xd:StateOrProvince/>
            <xd:PostalCode/>
            <xd:CountryName/>
          </xd:SignatureProductionPlace>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NgpjF28mTqI+FIeeEKcio20u2DJYTGFY82hJ9bLVd80=</DigestValue>
    </Reference>
    <Reference Type="http://www.w3.org/2000/09/xmldsig#Object" URI="#idOfficeObject">
      <DigestMethod Algorithm="http://www.w3.org/2001/04/xmlenc#sha256"/>
      <DigestValue>DpyCv00FSu78gINpakrdJWwYplJvnMza+N3ld925l0c=</DigestValue>
    </Reference>
    <Reference Type="http://uri.etsi.org/01903#SignedProperties" URI="#idSignedProperties">
      <Transforms>
        <Transform Algorithm="http://www.w3.org/TR/2001/REC-xml-c14n-20010315"/>
      </Transforms>
      <DigestMethod Algorithm="http://www.w3.org/2001/04/xmlenc#sha256"/>
      <DigestValue>ndS0LUKY6tO1QgUZrznc6gGBq86Shy/LKuopGOTP7bI=</DigestValue>
    </Reference>
  </SignedInfo>
  <SignatureValue>L/yga5naUaSzjXk8FxzEXUnL6zL4VqppMo/ccRDzwQdPtla6kFt94CuVPqdri6+uJ+u4GnSxV9Ho
UllzOsleFuZ3unyvYoKyd7jgc4DFBKdv2Q+N6DLCyVR+D1ZpYjQ4VSI20Hg7jtz+mGghLWvK18/n
kxuPZ5QoMB0jbFQGG7SkqIbZRHl6MDpdbr13rbnk0EVkBijewY4HmF9BPCQ/sNwRxNVKn9F6232G
DN0Wo/pG32eSL19HazawhS9j02S9XDJBCiPBcXjB+wcl85dxpDP1BEd2+iICMpVQdH4+qbDBy8rk
18U3f9mlgNjCaanBfK0PcVzQZG1lQcIlx8MpQA==</SignatureValue>
  <KeyInfo>
    <X509Data>
      <X509Certificate>MIIGPTCCBSWgAwIBAgIKL370dgADAAIAdDANBgkqhkiG9w0BAQsFADBKMRIwEAYKCZImiZPyLGQBGRYCZ2UxEzARBgoJkiaJk/IsZAEZFgNuYmcxHzAdBgNVBAMTFk5CRyBDbGFzcyAyIElOVCBTdWIgQ0EwHhcNMjExMjIwMDgwMDAyWhcNMjMxMjIwMDgwMDAyWjA7MRcwFQYDVQQKEw5KU0MgQ0FSVFUgQkFOSzEgMB4GA1UEAxMXQkNSIC0gVmxhZGltZXIgQXNhdGlhbmkwggEiMA0GCSqGSIb3DQEBAQUAA4IBDwAwggEKAoIBAQDJhCTropithQ4KHM4wovH7qjCZ6E9jfZloOV8EysFqAmUoepknEqTp9U4jjJZar47rIaYlyQXFSi92Kgjpcur5UYZFWaTp6wuFqBE628VATBkwtPOXpOYxGkUd5uO/zEfdpd7PqJ9CzD3JA46ok+mUva0Q8+ySvkR7J93KSwNf1nLB/ReNf2BHR0WwbE7IuWG4/kH1r5k1/XMXB3Br7dXGUNGNwNvGcKc5hV+xr2XALP4/0yrFC3Q0nj8Bl5bEPO6EXlXaxRZIZ0C126cW2qsurGO1dvPwYk9j+TcIwl6FUwLPq8itq5b89Rs3UHCIoownoSgiUcf76vI1qlyeSGlRAgMBAAGjggMyMIIDLjA8BgkrBgEEAYI3FQcELzAtBiUrBgEEAYI3FQjmsmCDjfVEhoGZCYO4oUqDvoRxBIPEkTOEg4hdAgFkAgEjMB0GA1UdJQQWMBQGCCsGAQUFBwMCBggrBgEFBQcDBDALBgNVHQ8EBAMCB4AwJwYJKwYBBAGCNxUKBBowGDAKBggrBgEFBQcDAjAKBggrBgEFBQcDBDAdBgNVHQ4EFgQUGJnV0Dnx43jQNMCJsQmoegmtE48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SHLrch23KXRoYPt47TLpVnp7UOxEcObFH1PGNKVXs8Fzfz3Z83XzLGvRF8pfAR1FCHtPyCONa3RqnIsgLSuu9aXf2tVmUyvgBXtb5FsJHiYgKGK1eINeFtixEcBhTGarcEdyJ9sS7NiTdq76FX4S+bwXyMwGPs57e0KSm6hI2l2lnaF3l2wYTiyFZQj711sSpoC5PDF/nhqKZNbGngIuu7fGldyORinKDtTfZBWTP8o3fU6TNHkKziapeCmrrHXNb6DuOZVo5upT8+cRDH+r+FlnNIR5UD0g88uEwkV6Tay7T+u0kKi52uIzCnG0+unEWHHewuNbHQhcpxxOINo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/VsRkW2SH46e8UW9Sf6NhbfeTCW0e9VsuCRjRy4GiPs=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G42Y/KTb8n4qEw0HFuHrrT1sulLcvd9jJA6X2IORt/o=</DigestValue>
      </Reference>
      <Reference URI="/xl/printerSettings/printerSettings10.bin?ContentType=application/vnd.openxmlformats-officedocument.spreadsheetml.printerSettings">
        <DigestMethod Algorithm="http://www.w3.org/2001/04/xmlenc#sha256"/>
        <DigestValue>i1H/KDFjJcYFnRoG/vQAPO15syS6bTWL9W8sSlcyte0=</DigestValue>
      </Reference>
      <Reference URI="/xl/printerSettings/printerSettings11.bin?ContentType=application/vnd.openxmlformats-officedocument.spreadsheetml.printerSettings">
        <DigestMethod Algorithm="http://www.w3.org/2001/04/xmlenc#sha256"/>
        <DigestValue>i1H/KDFjJcYFnRoG/vQAPO15syS6bTWL9W8sSlcyte0=</DigestValue>
      </Reference>
      <Reference URI="/xl/printerSettings/printerSettings12.bin?ContentType=application/vnd.openxmlformats-officedocument.spreadsheetml.printerSettings">
        <DigestMethod Algorithm="http://www.w3.org/2001/04/xmlenc#sha256"/>
        <DigestValue>G42Y/KTb8n4qEw0HFuHrrT1sulLcvd9jJA6X2IORt/o=</DigestValue>
      </Reference>
      <Reference URI="/xl/printerSettings/printerSettings13.bin?ContentType=application/vnd.openxmlformats-officedocument.spreadsheetml.printerSettings">
        <DigestMethod Algorithm="http://www.w3.org/2001/04/xmlenc#sha256"/>
        <DigestValue>G42Y/KTb8n4qEw0HFuHrrT1sulLcvd9jJA6X2IORt/o=</DigestValue>
      </Reference>
      <Reference URI="/xl/printerSettings/printerSettings14.bin?ContentType=application/vnd.openxmlformats-officedocument.spreadsheetml.printerSettings">
        <DigestMethod Algorithm="http://www.w3.org/2001/04/xmlenc#sha256"/>
        <DigestValue>i1H/KDFjJcYFnRoG/vQAPO15syS6bTWL9W8sSlcyte0=</DigestValue>
      </Reference>
      <Reference URI="/xl/printerSettings/printerSettings15.bin?ContentType=application/vnd.openxmlformats-officedocument.spreadsheetml.printerSettings">
        <DigestMethod Algorithm="http://www.w3.org/2001/04/xmlenc#sha256"/>
        <DigestValue>i1H/KDFjJcYFnRoG/vQAPO15syS6bTWL9W8sSlcyte0=</DigestValue>
      </Reference>
      <Reference URI="/xl/printerSettings/printerSettings16.bin?ContentType=application/vnd.openxmlformats-officedocument.spreadsheetml.printerSettings">
        <DigestMethod Algorithm="http://www.w3.org/2001/04/xmlenc#sha256"/>
        <DigestValue>i1H/KDFjJcYFnRoG/vQAPO15syS6bTWL9W8sSlcyte0=</DigestValue>
      </Reference>
      <Reference URI="/xl/printerSettings/printerSettings17.bin?ContentType=application/vnd.openxmlformats-officedocument.spreadsheetml.printerSettings">
        <DigestMethod Algorithm="http://www.w3.org/2001/04/xmlenc#sha256"/>
        <DigestValue>DVcii2lRQRXDOsDZyi3uTIrnfLbsWXvgQ2dsJ3bE5xQ=</DigestValue>
      </Reference>
      <Reference URI="/xl/printerSettings/printerSettings18.bin?ContentType=application/vnd.openxmlformats-officedocument.spreadsheetml.printerSettings">
        <DigestMethod Algorithm="http://www.w3.org/2001/04/xmlenc#sha256"/>
        <DigestValue>JXWIrlKFv8dBdHgbBsxByPOLyWdHbFirDhO9WCuSqUU=</DigestValue>
      </Reference>
      <Reference URI="/xl/printerSettings/printerSettings19.bin?ContentType=application/vnd.openxmlformats-officedocument.spreadsheetml.printerSettings">
        <DigestMethod Algorithm="http://www.w3.org/2001/04/xmlenc#sha256"/>
        <DigestValue>JXWIrlKFv8dBdHgbBsxByPOLyWdHbFirDhO9WCuSqUU=</DigestValue>
      </Reference>
      <Reference URI="/xl/printerSettings/printerSettings2.bin?ContentType=application/vnd.openxmlformats-officedocument.spreadsheetml.printerSettings">
        <DigestMethod Algorithm="http://www.w3.org/2001/04/xmlenc#sha256"/>
        <DigestValue>G42Y/KTb8n4qEw0HFuHrrT1sulLcvd9jJA6X2IORt/o=</DigestValue>
      </Reference>
      <Reference URI="/xl/printerSettings/printerSettings20.bin?ContentType=application/vnd.openxmlformats-officedocument.spreadsheetml.printerSettings">
        <DigestMethod Algorithm="http://www.w3.org/2001/04/xmlenc#sha256"/>
        <DigestValue>i1H/KDFjJcYFnRoG/vQAPO15syS6bTWL9W8sSlcyte0=</DigestValue>
      </Reference>
      <Reference URI="/xl/printerSettings/printerSettings21.bin?ContentType=application/vnd.openxmlformats-officedocument.spreadsheetml.printerSettings">
        <DigestMethod Algorithm="http://www.w3.org/2001/04/xmlenc#sha256"/>
        <DigestValue>JXWIrlKFv8dBdHgbBsxByPOLyWdHbFirDhO9WCuSqUU=</DigestValue>
      </Reference>
      <Reference URI="/xl/printerSettings/printerSettings22.bin?ContentType=application/vnd.openxmlformats-officedocument.spreadsheetml.printerSettings">
        <DigestMethod Algorithm="http://www.w3.org/2001/04/xmlenc#sha256"/>
        <DigestValue>JXWIrlKFv8dBdHgbBsxByPOLyWdHbFirDhO9WCuSqUU=</DigestValue>
      </Reference>
      <Reference URI="/xl/printerSettings/printerSettings23.bin?ContentType=application/vnd.openxmlformats-officedocument.spreadsheetml.printerSettings">
        <DigestMethod Algorithm="http://www.w3.org/2001/04/xmlenc#sha256"/>
        <DigestValue>JXWIrlKFv8dBdHgbBsxByPOLyWdHbFirDhO9WCuSqUU=</DigestValue>
      </Reference>
      <Reference URI="/xl/printerSettings/printerSettings24.bin?ContentType=application/vnd.openxmlformats-officedocument.spreadsheetml.printerSettings">
        <DigestMethod Algorithm="http://www.w3.org/2001/04/xmlenc#sha256"/>
        <DigestValue>JXWIrlKFv8dBdHgbBsxByPOLyWdHbFirDhO9WCuSqUU=</DigestValue>
      </Reference>
      <Reference URI="/xl/printerSettings/printerSettings25.bin?ContentType=application/vnd.openxmlformats-officedocument.spreadsheetml.printerSettings">
        <DigestMethod Algorithm="http://www.w3.org/2001/04/xmlenc#sha256"/>
        <DigestValue>i1H/KDFjJcYFnRoG/vQAPO15syS6bTWL9W8sSlcyte0=</DigestValue>
      </Reference>
      <Reference URI="/xl/printerSettings/printerSettings26.bin?ContentType=application/vnd.openxmlformats-officedocument.spreadsheetml.printerSettings">
        <DigestMethod Algorithm="http://www.w3.org/2001/04/xmlenc#sha256"/>
        <DigestValue>yq741iUxKc3WyW8Gs0tEU0HDfob9x8G3uOoh5dY9ILc=</DigestValue>
      </Reference>
      <Reference URI="/xl/printerSettings/printerSettings3.bin?ContentType=application/vnd.openxmlformats-officedocument.spreadsheetml.printerSettings">
        <DigestMethod Algorithm="http://www.w3.org/2001/04/xmlenc#sha256"/>
        <DigestValue>i1H/KDFjJcYFnRoG/vQAPO15syS6bTWL9W8sSlcyte0=</DigestValue>
      </Reference>
      <Reference URI="/xl/printerSettings/printerSettings4.bin?ContentType=application/vnd.openxmlformats-officedocument.spreadsheetml.printerSettings">
        <DigestMethod Algorithm="http://www.w3.org/2001/04/xmlenc#sha256"/>
        <DigestValue>G42Y/KTb8n4qEw0HFuHrrT1sulLcvd9jJA6X2IORt/o=</DigestValue>
      </Reference>
      <Reference URI="/xl/printerSettings/printerSettings5.bin?ContentType=application/vnd.openxmlformats-officedocument.spreadsheetml.printerSettings">
        <DigestMethod Algorithm="http://www.w3.org/2001/04/xmlenc#sha256"/>
        <DigestValue>G42Y/KTb8n4qEw0HFuHrrT1sulLcvd9jJA6X2IORt/o=</DigestValue>
      </Reference>
      <Reference URI="/xl/printerSettings/printerSettings6.bin?ContentType=application/vnd.openxmlformats-officedocument.spreadsheetml.printerSettings">
        <DigestMethod Algorithm="http://www.w3.org/2001/04/xmlenc#sha256"/>
        <DigestValue>G42Y/KTb8n4qEw0HFuHrrT1sulLcvd9jJA6X2IORt/o=</DigestValue>
      </Reference>
      <Reference URI="/xl/printerSettings/printerSettings7.bin?ContentType=application/vnd.openxmlformats-officedocument.spreadsheetml.printerSettings">
        <DigestMethod Algorithm="http://www.w3.org/2001/04/xmlenc#sha256"/>
        <DigestValue>JXWIrlKFv8dBdHgbBsxByPOLyWdHbFirDhO9WCuSqUU=</DigestValue>
      </Reference>
      <Reference URI="/xl/printerSettings/printerSettings8.bin?ContentType=application/vnd.openxmlformats-officedocument.spreadsheetml.printerSettings">
        <DigestMethod Algorithm="http://www.w3.org/2001/04/xmlenc#sha256"/>
        <DigestValue>i1H/KDFjJcYFnRoG/vQAPO15syS6bTWL9W8sSlcyte0=</DigestValue>
      </Reference>
      <Reference URI="/xl/printerSettings/printerSettings9.bin?ContentType=application/vnd.openxmlformats-officedocument.spreadsheetml.printerSettings">
        <DigestMethod Algorithm="http://www.w3.org/2001/04/xmlenc#sha256"/>
        <DigestValue>i1H/KDFjJcYFnRoG/vQAPO15syS6bTWL9W8sSlcyte0=</DigestValue>
      </Reference>
      <Reference URI="/xl/sharedStrings.xml?ContentType=application/vnd.openxmlformats-officedocument.spreadsheetml.sharedStrings+xml">
        <DigestMethod Algorithm="http://www.w3.org/2001/04/xmlenc#sha256"/>
        <DigestValue>qFXjS8oRRZSvtwYpShCDf82uMeSdF/QFP3h40ls7qDg=</DigestValue>
      </Reference>
      <Reference URI="/xl/styles.xml?ContentType=application/vnd.openxmlformats-officedocument.spreadsheetml.styles+xml">
        <DigestMethod Algorithm="http://www.w3.org/2001/04/xmlenc#sha256"/>
        <DigestValue>RN+jMIhoaH6XuC9uTmocofA9lwU3c8v5JP8ux3dsG+A=</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TcB/9/a3KfWPha6cDhJNuobtD2ZAnKAcfh8tmToP33A=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VHTtTZUBHuojBixDTn//yRTZIZW+tE5AU/6H2tRCxa8=</DigestValue>
      </Reference>
      <Reference URI="/xl/worksheets/sheet10.xml?ContentType=application/vnd.openxmlformats-officedocument.spreadsheetml.worksheet+xml">
        <DigestMethod Algorithm="http://www.w3.org/2001/04/xmlenc#sha256"/>
        <DigestValue>5FGyB3fpkf842aze+dp0+sGxuFBippISlJeigEWw4hc=</DigestValue>
      </Reference>
      <Reference URI="/xl/worksheets/sheet11.xml?ContentType=application/vnd.openxmlformats-officedocument.spreadsheetml.worksheet+xml">
        <DigestMethod Algorithm="http://www.w3.org/2001/04/xmlenc#sha256"/>
        <DigestValue>cDBg0VN/p3YkVUtD4s/tWwvvYmyc4XfCCUWznEe5SdE=</DigestValue>
      </Reference>
      <Reference URI="/xl/worksheets/sheet12.xml?ContentType=application/vnd.openxmlformats-officedocument.spreadsheetml.worksheet+xml">
        <DigestMethod Algorithm="http://www.w3.org/2001/04/xmlenc#sha256"/>
        <DigestValue>2Un29PM2ho0Zb/n4W3V0+d19JNnujlmXF4XLlShft5A=</DigestValue>
      </Reference>
      <Reference URI="/xl/worksheets/sheet13.xml?ContentType=application/vnd.openxmlformats-officedocument.spreadsheetml.worksheet+xml">
        <DigestMethod Algorithm="http://www.w3.org/2001/04/xmlenc#sha256"/>
        <DigestValue>XHx8TGgXO2rfNAx3DGm19OeV9c1qW4X0fD7clcpmeLM=</DigestValue>
      </Reference>
      <Reference URI="/xl/worksheets/sheet14.xml?ContentType=application/vnd.openxmlformats-officedocument.spreadsheetml.worksheet+xml">
        <DigestMethod Algorithm="http://www.w3.org/2001/04/xmlenc#sha256"/>
        <DigestValue>V/dNPWQqBP8gua7iHl8RkMTyI/jLvxHzISTBTC+MOuI=</DigestValue>
      </Reference>
      <Reference URI="/xl/worksheets/sheet15.xml?ContentType=application/vnd.openxmlformats-officedocument.spreadsheetml.worksheet+xml">
        <DigestMethod Algorithm="http://www.w3.org/2001/04/xmlenc#sha256"/>
        <DigestValue>0kWX+EL2cxXj5z+kenLlhDsGRU2/4Uhj9Hy0bF7ReN0=</DigestValue>
      </Reference>
      <Reference URI="/xl/worksheets/sheet16.xml?ContentType=application/vnd.openxmlformats-officedocument.spreadsheetml.worksheet+xml">
        <DigestMethod Algorithm="http://www.w3.org/2001/04/xmlenc#sha256"/>
        <DigestValue>dAT527MmUjpRZDMQ64EhRrT5huKNybiz7sHk0FVqRvs=</DigestValue>
      </Reference>
      <Reference URI="/xl/worksheets/sheet17.xml?ContentType=application/vnd.openxmlformats-officedocument.spreadsheetml.worksheet+xml">
        <DigestMethod Algorithm="http://www.w3.org/2001/04/xmlenc#sha256"/>
        <DigestValue>qPzOvgoDhze2YWiNDqaZOvZDRyvmYOoVuzk9qBpaIeY=</DigestValue>
      </Reference>
      <Reference URI="/xl/worksheets/sheet18.xml?ContentType=application/vnd.openxmlformats-officedocument.spreadsheetml.worksheet+xml">
        <DigestMethod Algorithm="http://www.w3.org/2001/04/xmlenc#sha256"/>
        <DigestValue>TulBdZy3N6RTpxVyEAQT957DM/5w0LFUnm1FXxJSxVU=</DigestValue>
      </Reference>
      <Reference URI="/xl/worksheets/sheet19.xml?ContentType=application/vnd.openxmlformats-officedocument.spreadsheetml.worksheet+xml">
        <DigestMethod Algorithm="http://www.w3.org/2001/04/xmlenc#sha256"/>
        <DigestValue>dmXvACcGoJ8iNRwgFsaXC4I1y1qms/pVEVN2twdgBQs=</DigestValue>
      </Reference>
      <Reference URI="/xl/worksheets/sheet2.xml?ContentType=application/vnd.openxmlformats-officedocument.spreadsheetml.worksheet+xml">
        <DigestMethod Algorithm="http://www.w3.org/2001/04/xmlenc#sha256"/>
        <DigestValue>7/k9w172ONCFvkxYVJJcw83oxKZyjjR3cdJJERe0Hag=</DigestValue>
      </Reference>
      <Reference URI="/xl/worksheets/sheet20.xml?ContentType=application/vnd.openxmlformats-officedocument.spreadsheetml.worksheet+xml">
        <DigestMethod Algorithm="http://www.w3.org/2001/04/xmlenc#sha256"/>
        <DigestValue>G1YonBLHXKX8RR28gDXuiesIAPnaUQsdPcd/UnW4MQA=</DigestValue>
      </Reference>
      <Reference URI="/xl/worksheets/sheet21.xml?ContentType=application/vnd.openxmlformats-officedocument.spreadsheetml.worksheet+xml">
        <DigestMethod Algorithm="http://www.w3.org/2001/04/xmlenc#sha256"/>
        <DigestValue>/hBiBU2DL39UhMr3TG2XJyOZ6ndBwWiKza6lrk1+kA8=</DigestValue>
      </Reference>
      <Reference URI="/xl/worksheets/sheet22.xml?ContentType=application/vnd.openxmlformats-officedocument.spreadsheetml.worksheet+xml">
        <DigestMethod Algorithm="http://www.w3.org/2001/04/xmlenc#sha256"/>
        <DigestValue>P77uXhW9+TgziyUjJwiVzL0BU6TQf4jnfFYPtP1NgJM=</DigestValue>
      </Reference>
      <Reference URI="/xl/worksheets/sheet23.xml?ContentType=application/vnd.openxmlformats-officedocument.spreadsheetml.worksheet+xml">
        <DigestMethod Algorithm="http://www.w3.org/2001/04/xmlenc#sha256"/>
        <DigestValue>0J/MgyQtAQF5DGdaG5OffBbdijx2VhedPBMfpksuEhs=</DigestValue>
      </Reference>
      <Reference URI="/xl/worksheets/sheet24.xml?ContentType=application/vnd.openxmlformats-officedocument.spreadsheetml.worksheet+xml">
        <DigestMethod Algorithm="http://www.w3.org/2001/04/xmlenc#sha256"/>
        <DigestValue>vJvMdP5dySOy5jgyccZsM655/Ea3gs2ABg2VmQToOAs=</DigestValue>
      </Reference>
      <Reference URI="/xl/worksheets/sheet25.xml?ContentType=application/vnd.openxmlformats-officedocument.spreadsheetml.worksheet+xml">
        <DigestMethod Algorithm="http://www.w3.org/2001/04/xmlenc#sha256"/>
        <DigestValue>kkyN0Q9otLZ0y91UqANxV4yqIoHA4ojPiVb9OZJTQUo=</DigestValue>
      </Reference>
      <Reference URI="/xl/worksheets/sheet26.xml?ContentType=application/vnd.openxmlformats-officedocument.spreadsheetml.worksheet+xml">
        <DigestMethod Algorithm="http://www.w3.org/2001/04/xmlenc#sha256"/>
        <DigestValue>R3u2z/9K1CZJnhSIwKbTGyzbj8X0zEWD0WCxMtP1c0o=</DigestValue>
      </Reference>
      <Reference URI="/xl/worksheets/sheet27.xml?ContentType=application/vnd.openxmlformats-officedocument.spreadsheetml.worksheet+xml">
        <DigestMethod Algorithm="http://www.w3.org/2001/04/xmlenc#sha256"/>
        <DigestValue>gQT43pnUG7uRZ46k2C6Gzmcmds+Rzzsdpokrv0N13gI=</DigestValue>
      </Reference>
      <Reference URI="/xl/worksheets/sheet28.xml?ContentType=application/vnd.openxmlformats-officedocument.spreadsheetml.worksheet+xml">
        <DigestMethod Algorithm="http://www.w3.org/2001/04/xmlenc#sha256"/>
        <DigestValue>GcV+SO03SIoDt8kawG6m76CJNADv4HrbYCdB8CmlMsA=</DigestValue>
      </Reference>
      <Reference URI="/xl/worksheets/sheet29.xml?ContentType=application/vnd.openxmlformats-officedocument.spreadsheetml.worksheet+xml">
        <DigestMethod Algorithm="http://www.w3.org/2001/04/xmlenc#sha256"/>
        <DigestValue>NRx5MomQKGwZaPP89mdXx1jQKMAw8Afhwmq50MZHbwg=</DigestValue>
      </Reference>
      <Reference URI="/xl/worksheets/sheet3.xml?ContentType=application/vnd.openxmlformats-officedocument.spreadsheetml.worksheet+xml">
        <DigestMethod Algorithm="http://www.w3.org/2001/04/xmlenc#sha256"/>
        <DigestValue>tYwAt2Z2In5VeXGijXaM2CqEzMu43elE3xkfahNoaIo=</DigestValue>
      </Reference>
      <Reference URI="/xl/worksheets/sheet30.xml?ContentType=application/vnd.openxmlformats-officedocument.spreadsheetml.worksheet+xml">
        <DigestMethod Algorithm="http://www.w3.org/2001/04/xmlenc#sha256"/>
        <DigestValue>z8Sa0pWSQz/U8LBNUJWXyuoi0nIba4IICTPrL0t0QYM=</DigestValue>
      </Reference>
      <Reference URI="/xl/worksheets/sheet4.xml?ContentType=application/vnd.openxmlformats-officedocument.spreadsheetml.worksheet+xml">
        <DigestMethod Algorithm="http://www.w3.org/2001/04/xmlenc#sha256"/>
        <DigestValue>MO1IJJgSExOMjxP8HY6L3gSvcK2XXWeYeJK9cDh3P9Q=</DigestValue>
      </Reference>
      <Reference URI="/xl/worksheets/sheet5.xml?ContentType=application/vnd.openxmlformats-officedocument.spreadsheetml.worksheet+xml">
        <DigestMethod Algorithm="http://www.w3.org/2001/04/xmlenc#sha256"/>
        <DigestValue>1ygCPN8hDQxm7YrqJ/pjF8afi4AzajgrOc5zkLlmITg=</DigestValue>
      </Reference>
      <Reference URI="/xl/worksheets/sheet6.xml?ContentType=application/vnd.openxmlformats-officedocument.spreadsheetml.worksheet+xml">
        <DigestMethod Algorithm="http://www.w3.org/2001/04/xmlenc#sha256"/>
        <DigestValue>hLigInKwyScqL2YjsxUXPaKkBEtWqYOr2kZz//RB86M=</DigestValue>
      </Reference>
      <Reference URI="/xl/worksheets/sheet7.xml?ContentType=application/vnd.openxmlformats-officedocument.spreadsheetml.worksheet+xml">
        <DigestMethod Algorithm="http://www.w3.org/2001/04/xmlenc#sha256"/>
        <DigestValue>AUuxiji1tha4LHvkBR98IRiAgBXhe2ULIdilSrJvkcg=</DigestValue>
      </Reference>
      <Reference URI="/xl/worksheets/sheet8.xml?ContentType=application/vnd.openxmlformats-officedocument.spreadsheetml.worksheet+xml">
        <DigestMethod Algorithm="http://www.w3.org/2001/04/xmlenc#sha256"/>
        <DigestValue>0TAoSpGeSDlBfBRBnt+jtUedR1ql/yPe+sBT5/w7XSg=</DigestValue>
      </Reference>
      <Reference URI="/xl/worksheets/sheet9.xml?ContentType=application/vnd.openxmlformats-officedocument.spreadsheetml.worksheet+xml">
        <DigestMethod Algorithm="http://www.w3.org/2001/04/xmlenc#sha256"/>
        <DigestValue>/mFgYkknONGzyjQpQKPT6Ul3rYu2azSoJNZyStzpCr0=</DigestValue>
      </Reference>
    </Manifest>
    <SignatureProperties>
      <SignatureProperty Id="idSignatureTime" Target="#idPackageSignature">
        <mdssi:SignatureTime xmlns:mdssi="http://schemas.openxmlformats.org/package/2006/digital-signature">
          <mdssi:Format>YYYY-MM-DDThh:mm:ssTZD</mdssi:Format>
          <mdssi:Value>2023-02-27T08:08:12Z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2023-02-27T08:08:12Z</xd:SigningTime>
          <xd:SigningCertificate>
            <xd:Cert>
              <xd:CertDigest>
                <DigestMethod Algorithm="http://www.w3.org/2001/04/xmlenc#sha256"/>
                <DigestValue>PHkyuqe+ZihdROanfUIIK1Z83EufQCxWqchaXuObQBQ=</DigestValue>
              </xd:CertDigest>
              <xd:IssuerSerial>
                <X509IssuerName>CN=NBG Class 2 INT Sub CA, DC=nbg, DC=ge</X509IssuerName>
                <X509SerialNumber>224293129715166119854196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2023-02-24T14:13:54Z</dcterms:modified>
</cp:coreProperties>
</file>