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4D74518D-70C3-4739-B4B8-3B9D17AC0BAE}" xr6:coauthVersionLast="47" xr6:coauthVersionMax="47" xr10:uidLastSave="{00000000-0000-0000-0000-000000000000}"/>
  <bookViews>
    <workbookView xWindow="-12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62" l="1"/>
  <c r="H18" i="62"/>
  <c r="H17" i="62"/>
  <c r="H16" i="62"/>
  <c r="H15" i="62"/>
  <c r="H8" i="81" l="1"/>
  <c r="H9" i="81"/>
  <c r="H10" i="81"/>
  <c r="H11" i="81"/>
  <c r="H12" i="81"/>
  <c r="H13" i="81"/>
  <c r="H14" i="81"/>
  <c r="H15" i="81"/>
  <c r="H16" i="81"/>
  <c r="H17" i="81"/>
  <c r="H18" i="81"/>
  <c r="H19" i="81"/>
  <c r="H20" i="81"/>
  <c r="H21" i="81"/>
  <c r="D19" i="72" l="1"/>
  <c r="D20" i="72"/>
  <c r="C12" i="84" l="1"/>
  <c r="F53" i="53"/>
  <c r="G53" i="53"/>
  <c r="B2" i="91" l="1"/>
  <c r="N33" i="88" l="1"/>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D12" i="84"/>
  <c r="D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C35" i="79"/>
  <c r="G22" i="81"/>
  <c r="F22" i="81"/>
  <c r="E22" i="81"/>
  <c r="D22" i="81"/>
  <c r="C22" i="8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C30" i="79"/>
  <c r="C26" i="79"/>
  <c r="C8" i="79"/>
  <c r="K23" i="36"/>
  <c r="J23" i="36"/>
  <c r="I23" i="36"/>
  <c r="H23" i="36"/>
  <c r="G23" i="36"/>
  <c r="F23" i="36"/>
  <c r="K21" i="36"/>
  <c r="J21" i="36"/>
  <c r="I21" i="36"/>
  <c r="H21" i="36"/>
  <c r="G21" i="36"/>
  <c r="F21" i="36"/>
  <c r="E21" i="36"/>
  <c r="D21" i="36"/>
  <c r="C21" i="36"/>
  <c r="K16" i="36"/>
  <c r="J16" i="36"/>
  <c r="I16" i="36"/>
  <c r="H16" i="36"/>
  <c r="G16" i="36"/>
  <c r="F16" i="36"/>
  <c r="E16" i="36"/>
  <c r="D16" i="36"/>
  <c r="C16" i="36"/>
  <c r="G22" i="74"/>
  <c r="F22" i="74"/>
  <c r="E22" i="74"/>
  <c r="D22" i="74"/>
  <c r="C6" i="73" s="1"/>
  <c r="C22" i="74"/>
  <c r="H21" i="74"/>
  <c r="H20" i="74"/>
  <c r="H19" i="74"/>
  <c r="H18" i="74"/>
  <c r="H17" i="74"/>
  <c r="H16" i="74"/>
  <c r="H15" i="74"/>
  <c r="H14" i="74"/>
  <c r="H13" i="74"/>
  <c r="H12" i="74"/>
  <c r="H11" i="74"/>
  <c r="H10" i="74"/>
  <c r="H9" i="74"/>
  <c r="H8"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C29" i="69"/>
  <c r="C27" i="69"/>
  <c r="C20" i="69"/>
  <c r="C47" i="28"/>
  <c r="C43" i="28"/>
  <c r="C35" i="28"/>
  <c r="C31" i="28"/>
  <c r="C30" i="28" s="1"/>
  <c r="C12" i="28"/>
  <c r="C6" i="28"/>
  <c r="G6" i="71"/>
  <c r="G13" i="71" s="1"/>
  <c r="F6" i="71"/>
  <c r="F13" i="71" s="1"/>
  <c r="E6" i="71"/>
  <c r="E13" i="71" s="1"/>
  <c r="D6" i="71"/>
  <c r="D13" i="71" s="1"/>
  <c r="C6" i="71"/>
  <c r="C13" i="71" s="1"/>
  <c r="B2" i="7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66" i="53"/>
  <c r="E66" i="53"/>
  <c r="H64" i="53"/>
  <c r="E64" i="53"/>
  <c r="G61" i="53"/>
  <c r="F61" i="53"/>
  <c r="D61" i="53"/>
  <c r="C61" i="53"/>
  <c r="H60" i="53"/>
  <c r="E60" i="53"/>
  <c r="H59" i="53"/>
  <c r="E59" i="53"/>
  <c r="H58" i="53"/>
  <c r="E58" i="53"/>
  <c r="H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F54" i="53" s="1"/>
  <c r="D34" i="53"/>
  <c r="D45" i="53" s="1"/>
  <c r="C34" i="53"/>
  <c r="C45"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F9" i="53"/>
  <c r="F22" i="53" s="1"/>
  <c r="D9" i="53"/>
  <c r="D22" i="53" s="1"/>
  <c r="C9" i="53"/>
  <c r="C22" i="53" s="1"/>
  <c r="H8" i="53"/>
  <c r="E8" i="53"/>
  <c r="H40" i="62"/>
  <c r="E40" i="62"/>
  <c r="H39" i="62"/>
  <c r="E39" i="62"/>
  <c r="H38" i="62"/>
  <c r="E38" i="62"/>
  <c r="C53" i="69" s="1"/>
  <c r="H37" i="62"/>
  <c r="E37" i="62"/>
  <c r="C50" i="69" s="1"/>
  <c r="H36" i="62"/>
  <c r="E36" i="62"/>
  <c r="C49" i="69" s="1"/>
  <c r="H35" i="62"/>
  <c r="E35" i="62"/>
  <c r="C48" i="69" s="1"/>
  <c r="H34" i="62"/>
  <c r="E34" i="62"/>
  <c r="C47" i="69" s="1"/>
  <c r="H33" i="62"/>
  <c r="E33" i="62"/>
  <c r="C46" i="69" s="1"/>
  <c r="G31" i="62"/>
  <c r="G41" i="62" s="1"/>
  <c r="F31" i="62"/>
  <c r="F41" i="62" s="1"/>
  <c r="D31" i="62"/>
  <c r="C31" i="62"/>
  <c r="C41" i="62" s="1"/>
  <c r="H30" i="62"/>
  <c r="E30" i="62"/>
  <c r="C43" i="69" s="1"/>
  <c r="C44" i="69" s="1"/>
  <c r="H29" i="62"/>
  <c r="E29" i="62"/>
  <c r="C41" i="69" s="1"/>
  <c r="H28" i="62"/>
  <c r="E28" i="62"/>
  <c r="C40" i="69" s="1"/>
  <c r="H27" i="62"/>
  <c r="E27" i="62"/>
  <c r="C39" i="69" s="1"/>
  <c r="H26" i="62"/>
  <c r="E26" i="62"/>
  <c r="C38" i="69" s="1"/>
  <c r="H25" i="62"/>
  <c r="E25" i="62"/>
  <c r="C37" i="69" s="1"/>
  <c r="H24" i="62"/>
  <c r="E24" i="62"/>
  <c r="C36" i="69" s="1"/>
  <c r="H23" i="62"/>
  <c r="E23" i="62"/>
  <c r="C35" i="69" s="1"/>
  <c r="H22" i="62"/>
  <c r="E22" i="62"/>
  <c r="C34" i="69" s="1"/>
  <c r="E19" i="62"/>
  <c r="C20" i="72" s="1"/>
  <c r="E20" i="72" s="1"/>
  <c r="E18" i="62"/>
  <c r="E17" i="62"/>
  <c r="C18" i="72" s="1"/>
  <c r="E18" i="72" s="1"/>
  <c r="E16" i="62"/>
  <c r="E15" i="62"/>
  <c r="C16" i="72" s="1"/>
  <c r="E16" i="72" s="1"/>
  <c r="G14" i="62"/>
  <c r="F14" i="62"/>
  <c r="F20" i="62" s="1"/>
  <c r="D14" i="62"/>
  <c r="D20" i="62" s="1"/>
  <c r="C14" i="62"/>
  <c r="C20" i="62" s="1"/>
  <c r="H13" i="62"/>
  <c r="E13" i="62"/>
  <c r="C14" i="72" s="1"/>
  <c r="E14" i="72" s="1"/>
  <c r="H12" i="62"/>
  <c r="E12" i="62"/>
  <c r="H11" i="62"/>
  <c r="E11" i="62"/>
  <c r="C12" i="72" s="1"/>
  <c r="H10" i="62"/>
  <c r="E10" i="62"/>
  <c r="C11" i="72" s="1"/>
  <c r="E11" i="72" s="1"/>
  <c r="H9" i="62"/>
  <c r="E9" i="62"/>
  <c r="C10" i="72" s="1"/>
  <c r="E10" i="72" s="1"/>
  <c r="H8" i="62"/>
  <c r="E8" i="62"/>
  <c r="C9" i="72" s="1"/>
  <c r="E9" i="72" s="1"/>
  <c r="H7" i="62"/>
  <c r="E7" i="62"/>
  <c r="C8" i="72" s="1"/>
  <c r="E8" i="72" s="1"/>
  <c r="G5" i="6"/>
  <c r="F5" i="6"/>
  <c r="E5" i="6"/>
  <c r="D5" i="6"/>
  <c r="C5" i="6"/>
  <c r="C13" i="69" l="1"/>
  <c r="C13" i="72"/>
  <c r="E13" i="72" s="1"/>
  <c r="E15" i="72" s="1"/>
  <c r="C19" i="69"/>
  <c r="C17" i="72"/>
  <c r="E17" i="72" s="1"/>
  <c r="C52" i="28"/>
  <c r="C54" i="69"/>
  <c r="C55" i="69" s="1"/>
  <c r="D12" i="72"/>
  <c r="E12" i="72" s="1"/>
  <c r="C26" i="69"/>
  <c r="C19" i="72"/>
  <c r="E19" i="72" s="1"/>
  <c r="E61" i="53"/>
  <c r="D54" i="53"/>
  <c r="G21" i="80"/>
  <c r="H22" i="81"/>
  <c r="H14" i="62"/>
  <c r="G20" i="62"/>
  <c r="H20" i="62" s="1"/>
  <c r="D19" i="84"/>
  <c r="F24" i="36"/>
  <c r="F25" i="36" s="1"/>
  <c r="C41" i="28"/>
  <c r="E30" i="53"/>
  <c r="I21" i="82"/>
  <c r="I24" i="36"/>
  <c r="I25" i="36" s="1"/>
  <c r="S22" i="35"/>
  <c r="E45" i="75"/>
  <c r="G31" i="53"/>
  <c r="G56" i="53" s="1"/>
  <c r="G63" i="53" s="1"/>
  <c r="G65" i="53" s="1"/>
  <c r="G67" i="53" s="1"/>
  <c r="C28" i="69"/>
  <c r="C32" i="69" s="1"/>
  <c r="C6" i="69"/>
  <c r="C45" i="69"/>
  <c r="E45" i="53"/>
  <c r="C7" i="69"/>
  <c r="C18" i="69"/>
  <c r="V21" i="64"/>
  <c r="I34" i="83"/>
  <c r="E31" i="62"/>
  <c r="E34" i="53"/>
  <c r="C8" i="69"/>
  <c r="G24" i="36"/>
  <c r="G25" i="36" s="1"/>
  <c r="J24" i="36"/>
  <c r="J25" i="36" s="1"/>
  <c r="G37" i="80"/>
  <c r="H31" i="62"/>
  <c r="D31" i="53"/>
  <c r="C28" i="28"/>
  <c r="C9" i="69"/>
  <c r="H22" i="74"/>
  <c r="H24" i="36"/>
  <c r="H25" i="36" s="1"/>
  <c r="K24" i="36"/>
  <c r="K25" i="36" s="1"/>
  <c r="H41" i="62"/>
  <c r="E9" i="53"/>
  <c r="H30" i="53"/>
  <c r="E53" i="53"/>
  <c r="H61" i="53"/>
  <c r="C10" i="69"/>
  <c r="C12" i="69" s="1"/>
  <c r="C19" i="84"/>
  <c r="E20" i="62"/>
  <c r="C17" i="69"/>
  <c r="F31" i="53"/>
  <c r="F56" i="53" s="1"/>
  <c r="H22" i="53"/>
  <c r="C31" i="53"/>
  <c r="E22" i="53"/>
  <c r="H45" i="53"/>
  <c r="H54" i="53"/>
  <c r="H34" i="53"/>
  <c r="H9" i="53"/>
  <c r="C54" i="53"/>
  <c r="E54" i="53" s="1"/>
  <c r="D41" i="62"/>
  <c r="E41" i="62" s="1"/>
  <c r="E14" i="62"/>
  <c r="D21" i="72" l="1"/>
  <c r="C15" i="72"/>
  <c r="C21" i="72" s="1"/>
  <c r="D56" i="53"/>
  <c r="D63" i="53" s="1"/>
  <c r="D65" i="53" s="1"/>
  <c r="D67" i="53" s="1"/>
  <c r="G39" i="80"/>
  <c r="C33" i="69"/>
  <c r="E21" i="72"/>
  <c r="C5" i="73" s="1"/>
  <c r="C56" i="53"/>
  <c r="E31" i="53"/>
  <c r="H31" i="53"/>
  <c r="H56" i="53" l="1"/>
  <c r="F63" i="53"/>
  <c r="E56" i="53"/>
  <c r="C63" i="53"/>
  <c r="C65" i="53" l="1"/>
  <c r="E63" i="53"/>
  <c r="F65" i="53"/>
  <c r="H63" i="53"/>
  <c r="B2" i="80"/>
  <c r="B1" i="80"/>
  <c r="C67" i="53" l="1"/>
  <c r="E67" i="53" s="1"/>
  <c r="E65" i="53"/>
  <c r="H65" i="53"/>
  <c r="F67" i="53"/>
  <c r="H67" i="53" s="1"/>
  <c r="B2" i="79"/>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G21" i="37" s="1"/>
  <c r="F7" i="37"/>
  <c r="F21" i="37" s="1"/>
  <c r="C7" i="37"/>
  <c r="L21" i="37" l="1"/>
  <c r="H21" i="37"/>
  <c r="I21" i="37"/>
  <c r="J21" i="37"/>
  <c r="M21" i="37"/>
  <c r="N14" i="37"/>
  <c r="E14" i="37"/>
  <c r="E7" i="37"/>
  <c r="C21" i="37"/>
  <c r="C7" i="73" s="1"/>
  <c r="C8" i="73" s="1"/>
  <c r="C13" i="73" s="1"/>
  <c r="N8" i="37"/>
  <c r="E21" i="37" l="1"/>
  <c r="C12" i="79" s="1"/>
  <c r="C18" i="79" s="1"/>
  <c r="C36" i="79" s="1"/>
  <c r="C38" i="79" s="1"/>
  <c r="N7" i="37"/>
  <c r="N21" i="37" s="1"/>
  <c r="K7" i="37"/>
  <c r="K21" i="37" s="1"/>
  <c r="H53" i="75" l="1"/>
  <c r="E53" i="75"/>
  <c r="H7" i="75"/>
  <c r="E7" i="75"/>
</calcChain>
</file>

<file path=xl/sharedStrings.xml><?xml version="1.0" encoding="utf-8"?>
<sst xmlns="http://schemas.openxmlformats.org/spreadsheetml/2006/main" count="1590" uniqueCount="1053">
  <si>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</si>
  <si>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</si>
  <si>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</si>
  <si>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</si>
  <si>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</si>
  <si>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</si>
  <si>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</si>
  <si>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</si>
  <si>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</si>
  <si>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</si>
  <si>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</si>
  <si>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</si>
  <si>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</si>
  <si>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</si>
  <si>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</si>
  <si>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</si>
  <si>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</si>
  <si>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</si>
  <si>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</si>
  <si>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</si>
  <si>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</si>
  <si>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</si>
  <si>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</si>
  <si>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</si>
  <si>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</si>
  <si>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</si>
  <si>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</si>
  <si>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</si>
  <si>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</si>
  <si>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</si>
  <si>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</si>
  <si>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</si>
  <si>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</si>
  <si>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</si>
  <si>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</si>
  <si>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</si>
  <si>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</si>
  <si>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</si>
  <si>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</si>
  <si>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</si>
  <si>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</si>
  <si>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</si>
  <si>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</si>
  <si>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</si>
  <si>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</si>
  <si>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</si>
  <si>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</si>
  <si>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</si>
  <si>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</si>
  <si>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</si>
  <si>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</si>
  <si>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</si>
  <si>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</si>
  <si>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</si>
  <si>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</si>
  <si>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</si>
  <si>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</si>
  <si>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</si>
  <si>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</si>
  <si>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</si>
  <si>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</si>
  <si>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</si>
  <si>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</si>
  <si>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</si>
  <si>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</si>
  <si>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</si>
  <si>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</si>
  <si>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</si>
  <si>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</si>
  <si>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</si>
  <si>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</si>
  <si>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</si>
  <si>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</si>
  <si>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</si>
  <si>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</si>
  <si>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</si>
  <si>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</si>
  <si>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</si>
  <si>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</si>
  <si>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</si>
  <si>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</si>
  <si>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</si>
  <si>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</si>
  <si>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</si>
  <si>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</si>
  <si>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</si>
  <si>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</si>
  <si>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</si>
  <si>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</si>
  <si>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</si>
  <si>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</si>
  <si>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</si>
  <si>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</si>
  <si>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</si>
  <si>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</si>
  <si>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</si>
  <si>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</si>
  <si>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</si>
  <si>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</si>
  <si>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</si>
  <si>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</si>
  <si>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</si>
  <si>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</si>
  <si>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</si>
  <si>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</si>
  <si>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</si>
  <si>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</si>
  <si>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</si>
  <si>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</si>
  <si>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</si>
  <si>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</si>
  <si>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</si>
  <si>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</si>
  <si>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</si>
  <si>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</si>
  <si>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</si>
  <si>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</si>
  <si>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</si>
  <si>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</si>
  <si>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</si>
  <si>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</si>
  <si>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</si>
  <si>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</si>
  <si>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</si>
  <si>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</si>
  <si>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</si>
  <si>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</si>
  <si>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</si>
  <si>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</si>
  <si>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</si>
  <si>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</si>
  <si>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</si>
  <si>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</si>
  <si>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</si>
  <si>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</si>
  <si>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</si>
  <si>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</si>
  <si>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</si>
  <si>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</si>
  <si>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</si>
  <si>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</si>
  <si>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</si>
  <si>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</si>
  <si>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</si>
  <si>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</si>
  <si>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</si>
  <si>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</si>
  <si>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</si>
  <si>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</si>
  <si>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</si>
  <si>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</si>
  <si>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</si>
  <si>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</si>
  <si>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</si>
  <si>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</si>
  <si>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</si>
  <si>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</si>
  <si>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</si>
  <si>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</si>
  <si>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</si>
  <si>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</si>
  <si>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</si>
  <si>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</si>
  <si>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</si>
  <si>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</si>
  <si>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</si>
  <si>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</si>
  <si>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</si>
  <si>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</si>
  <si>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</si>
  <si>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</si>
  <si>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</si>
  <si>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</si>
  <si>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</si>
  <si>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</si>
  <si>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</si>
  <si>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</si>
  <si>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</si>
  <si>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</si>
  <si>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</si>
  <si>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</si>
  <si>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</si>
  <si>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</si>
  <si>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</si>
  <si>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</si>
  <si>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</si>
  <si>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</si>
  <si>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</si>
  <si>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</si>
  <si>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</si>
  <si>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</si>
  <si>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</si>
  <si>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</si>
  <si>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</si>
  <si>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</si>
  <si>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</si>
  <si>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</si>
  <si>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</si>
  <si>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</si>
  <si>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</si>
  <si>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</si>
  <si>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</si>
  <si>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</si>
  <si>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</si>
  <si>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</si>
  <si>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</si>
  <si>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</si>
  <si>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</si>
  <si>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</si>
  <si>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</si>
  <si>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</si>
  <si>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</si>
  <si>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</si>
  <si>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</si>
  <si>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</si>
  <si>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</si>
  <si>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</si>
  <si>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</si>
  <si>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</si>
  <si>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</si>
  <si>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</si>
  <si>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</si>
  <si>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</si>
  <si>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</si>
  <si>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</si>
  <si>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</si>
  <si>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</si>
  <si>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</si>
  <si>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</si>
  <si>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</si>
  <si>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</si>
  <si>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</si>
  <si>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</si>
  <si>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</si>
  <si>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</si>
  <si>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</si>
  <si>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</si>
  <si>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</si>
  <si>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</si>
  <si>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</si>
  <si>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</si>
  <si>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</si>
  <si>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</si>
  <si>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</si>
  <si>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</si>
  <si>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</si>
  <si>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</si>
  <si>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</si>
  <si>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</si>
  <si>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</si>
  <si>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</si>
  <si>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</si>
  <si>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</si>
  <si>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</si>
  <si>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</si>
  <si>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</si>
  <si>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</si>
  <si>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</si>
  <si>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</si>
  <si>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</si>
  <si>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</si>
  <si>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</si>
  <si>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</si>
  <si>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</si>
  <si>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</si>
  <si>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</si>
  <si>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</si>
  <si>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</si>
  <si>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</si>
  <si>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</si>
  <si>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</si>
  <si>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</si>
  <si>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</si>
  <si>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</si>
  <si>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</si>
  <si>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</si>
  <si>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</si>
  <si>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</si>
  <si>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</si>
  <si>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</si>
  <si>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</si>
  <si>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</si>
  <si>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</si>
  <si>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</si>
  <si>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</si>
  <si>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</si>
  <si>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</si>
  <si>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</si>
  <si>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</si>
  <si>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</si>
  <si>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</si>
  <si>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</si>
  <si>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</si>
  <si>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</si>
  <si>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</si>
  <si>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</si>
  <si>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</si>
  <si>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</si>
  <si>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</si>
  <si>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</si>
  <si>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</si>
  <si>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</si>
  <si>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</si>
  <si>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</si>
  <si>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</si>
  <si>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</si>
  <si>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</si>
  <si>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</si>
  <si>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</si>
  <si>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</si>
  <si>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</si>
  <si>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</si>
  <si>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</si>
  <si>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</si>
  <si>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</si>
  <si>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</si>
  <si>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</si>
  <si>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</si>
  <si>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</si>
  <si>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</si>
  <si>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</si>
  <si>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</si>
  <si>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</si>
  <si>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</si>
  <si>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</si>
  <si>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</si>
  <si>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</si>
  <si>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</si>
  <si>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</si>
  <si>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</si>
  <si>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</si>
  <si>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</si>
  <si>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</si>
  <si>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</si>
  <si>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</si>
  <si>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</si>
  <si>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</si>
  <si>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</si>
  <si>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</si>
  <si>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</si>
  <si>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</si>
  <si>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</si>
  <si>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</si>
  <si>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</si>
  <si>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</si>
  <si>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</si>
  <si>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</si>
  <si>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</si>
  <si>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</si>
  <si>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</si>
  <si>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</si>
  <si>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</si>
  <si>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</si>
  <si>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</si>
  <si>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</si>
  <si>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</si>
  <si>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</si>
  <si>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</si>
  <si>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</si>
  <si>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</si>
  <si>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</si>
  <si>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</si>
  <si>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</si>
  <si>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</si>
  <si>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</si>
  <si>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</si>
  <si>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</si>
  <si>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</si>
  <si>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</si>
  <si>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</si>
  <si>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</si>
  <si>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</si>
  <si>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</si>
  <si>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</si>
  <si>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</si>
  <si>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</si>
  <si>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</si>
  <si>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</si>
  <si>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</si>
  <si>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</si>
  <si>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</si>
  <si>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</si>
  <si>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</si>
  <si>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</si>
  <si>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</si>
  <si>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</si>
  <si>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</si>
  <si>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</si>
  <si>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</si>
  <si>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</si>
  <si>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</si>
  <si>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</si>
  <si>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</si>
  <si>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</si>
  <si>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</si>
  <si>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</si>
  <si>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</si>
  <si>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</si>
  <si>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</si>
  <si>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</si>
  <si>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</si>
  <si>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</si>
  <si>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</si>
  <si>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</si>
  <si>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</si>
  <si>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</si>
  <si>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</si>
  <si>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</si>
  <si>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</si>
  <si>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</si>
  <si>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</si>
  <si>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</si>
  <si>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</si>
  <si>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</si>
  <si>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</si>
  <si>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</si>
  <si>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</si>
  <si>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</si>
  <si>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</si>
  <si>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</si>
  <si>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</si>
  <si>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</si>
  <si>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</si>
  <si>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</si>
  <si>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</si>
  <si>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</si>
  <si>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</si>
  <si>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</si>
  <si>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</si>
  <si>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</si>
  <si>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</si>
  <si>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</si>
  <si>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</si>
  <si>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</si>
  <si>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</si>
  <si>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</si>
  <si>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</si>
  <si>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</si>
  <si>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</si>
  <si>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</si>
  <si>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</si>
  <si>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</si>
  <si>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</si>
  <si>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</si>
  <si>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</si>
  <si>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</si>
  <si>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</si>
  <si>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</si>
  <si>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</si>
  <si>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</si>
  <si>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</si>
  <si>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</si>
  <si>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</si>
  <si>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</si>
  <si>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</si>
  <si>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</si>
  <si>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</si>
  <si>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</si>
  <si>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</si>
  <si>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</si>
  <si>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</si>
  <si>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</si>
  <si>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</si>
  <si>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</si>
  <si>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</si>
  <si>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</si>
  <si>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</si>
  <si>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</si>
  <si>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</si>
  <si>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</si>
  <si>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</si>
  <si>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</si>
  <si>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</si>
  <si>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</si>
  <si>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</si>
  <si>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</si>
  <si>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</si>
  <si>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</si>
  <si>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</si>
  <si>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</si>
  <si>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</si>
  <si>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</si>
  <si>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</si>
  <si>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</si>
  <si>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</si>
  <si>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</si>
  <si>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</si>
  <si>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</si>
  <si>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</si>
  <si>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</si>
  <si>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</si>
  <si>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</si>
  <si>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</si>
  <si>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</si>
  <si>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</si>
  <si>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</si>
  <si>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</si>
  <si>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</si>
  <si>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</si>
  <si>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</si>
  <si>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</si>
  <si>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</si>
  <si>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</si>
  <si>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</si>
  <si>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</si>
  <si>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</si>
  <si>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</si>
  <si>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</si>
  <si>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</si>
  <si>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</si>
  <si>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</si>
  <si>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</si>
  <si>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</si>
  <si>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</si>
  <si>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</si>
  <si>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</si>
  <si>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</si>
  <si>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</si>
  <si>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</si>
  <si>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</si>
  <si>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</si>
  <si>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</si>
  <si>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</si>
  <si>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</si>
  <si>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</si>
  <si>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</si>
  <si>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</si>
  <si>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</si>
  <si>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</si>
  <si>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</si>
  <si>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</si>
  <si>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</si>
  <si>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</si>
  <si>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</si>
  <si>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</si>
  <si>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</si>
  <si>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</si>
  <si>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</si>
  <si>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</si>
  <si>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</si>
  <si>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</si>
  <si>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</si>
  <si>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</si>
  <si>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</si>
  <si>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</si>
  <si>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</si>
  <si>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</si>
  <si>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</si>
  <si>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</si>
  <si>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</si>
  <si>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</si>
  <si>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</si>
  <si>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</si>
  <si>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</si>
  <si>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</si>
  <si>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</si>
  <si>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</si>
  <si>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</si>
  <si>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</si>
  <si>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</si>
  <si>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</si>
  <si>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</si>
  <si>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</si>
  <si>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</si>
  <si>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</si>
  <si>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</si>
  <si>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</si>
  <si>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</si>
  <si>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</si>
  <si>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</si>
  <si>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</si>
  <si>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</si>
  <si>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</si>
  <si>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</si>
  <si>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</si>
  <si>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</si>
  <si>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</si>
  <si>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</si>
  <si>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</si>
  <si>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</si>
  <si>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</si>
  <si>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</si>
  <si>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</si>
  <si>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</si>
  <si>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</si>
  <si>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</si>
  <si>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</si>
  <si>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</si>
  <si>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</si>
  <si>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</si>
  <si>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</si>
  <si>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</si>
  <si>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</si>
  <si>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</si>
  <si>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</si>
  <si>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</si>
  <si>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</si>
  <si>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</si>
  <si>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</si>
  <si>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</si>
  <si>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</si>
  <si>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</si>
  <si>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</si>
  <si>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</si>
  <si>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</si>
  <si>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</si>
  <si>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</si>
  <si>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</si>
  <si>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</si>
  <si>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</si>
  <si>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</si>
  <si>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</si>
  <si>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</si>
  <si>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</si>
  <si>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</si>
  <si>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</si>
  <si>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</si>
  <si>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</si>
  <si>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</si>
  <si>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</si>
  <si>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</si>
  <si>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</si>
  <si>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</si>
  <si>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</si>
  <si>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</si>
  <si>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</si>
  <si>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</si>
  <si>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</si>
  <si>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</si>
  <si>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</si>
  <si>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</si>
  <si>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</si>
  <si>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</si>
  <si>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</si>
  <si>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</si>
  <si>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</si>
  <si>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</si>
  <si>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</si>
  <si>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</si>
  <si>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</si>
  <si>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</si>
  <si>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</si>
  <si>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</si>
  <si>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</si>
  <si>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</si>
  <si>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</si>
  <si>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</si>
  <si>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</si>
  <si>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</si>
  <si>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</si>
  <si>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</si>
  <si>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</si>
  <si>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</si>
  <si>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</si>
  <si>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</si>
  <si>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</si>
  <si>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</si>
  <si>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</si>
  <si>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</si>
  <si>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</si>
  <si>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</si>
  <si>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</si>
  <si>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</si>
  <si>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</si>
  <si>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</si>
  <si>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</si>
  <si>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</si>
  <si>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</si>
  <si>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</si>
  <si>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</si>
  <si>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</si>
  <si>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</si>
  <si>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</si>
  <si>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</si>
  <si>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</si>
  <si>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</si>
  <si>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</si>
  <si>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</si>
  <si>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</si>
  <si>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</si>
  <si>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</si>
  <si>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</si>
  <si>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</si>
  <si>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</si>
  <si>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</si>
  <si>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</si>
  <si>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</si>
  <si>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</si>
  <si>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</si>
  <si>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</si>
  <si>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</si>
  <si>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</si>
  <si>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</si>
  <si>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</si>
  <si>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</si>
  <si>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</si>
  <si>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</si>
  <si>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</si>
  <si>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</si>
  <si>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</si>
  <si>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</si>
  <si>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</si>
  <si>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</si>
  <si>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</si>
  <si>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</si>
  <si>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</si>
  <si>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</si>
  <si>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</si>
  <si>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</si>
  <si>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</si>
  <si>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</si>
  <si>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</si>
  <si>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</si>
  <si>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</si>
  <si>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</si>
  <si>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</si>
  <si>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</si>
  <si>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</si>
  <si>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</si>
  <si>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</si>
  <si>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</si>
  <si>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</si>
  <si>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</si>
  <si>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</si>
  <si>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</si>
  <si>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</si>
  <si>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</si>
  <si>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</si>
  <si>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</si>
  <si>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</si>
  <si>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</si>
  <si>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</si>
  <si>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</si>
  <si>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</si>
  <si>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</si>
  <si>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</si>
  <si>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</si>
  <si>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</si>
  <si>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</si>
  <si>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</si>
  <si>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</si>
  <si>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</si>
  <si>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</si>
  <si>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</si>
  <si>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</si>
  <si>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</si>
  <si>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</si>
  <si>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</si>
  <si>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</si>
  <si>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</si>
  <si>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</si>
  <si>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</si>
  <si>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</si>
  <si>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</si>
  <si>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</si>
  <si>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</si>
  <si>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</si>
  <si>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</si>
  <si>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</si>
  <si>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</si>
  <si>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</si>
  <si>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</si>
  <si>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</si>
  <si>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</si>
  <si>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</si>
  <si>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</si>
  <si>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</si>
  <si>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</si>
  <si>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</si>
  <si>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</si>
  <si>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</si>
  <si>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</si>
  <si>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</si>
  <si>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</si>
  <si>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</si>
  <si>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</si>
  <si>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</si>
  <si>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</si>
  <si>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</si>
  <si>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</si>
  <si>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</si>
  <si>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</si>
  <si>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</si>
  <si>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</si>
  <si>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</si>
  <si>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</si>
  <si>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</si>
  <si>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</si>
  <si>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</si>
  <si>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</si>
  <si>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</si>
  <si>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</si>
  <si>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</si>
  <si>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</si>
  <si>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</si>
  <si>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</si>
  <si>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</si>
  <si>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</si>
  <si>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</si>
  <si>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</si>
  <si>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</si>
  <si>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</si>
  <si>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</si>
  <si>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</si>
  <si>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</si>
  <si>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</si>
  <si>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</si>
  <si>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</si>
  <si>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</si>
  <si>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</si>
  <si>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</si>
  <si>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</si>
  <si>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</si>
  <si>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</si>
  <si>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</si>
  <si>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</si>
  <si>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</si>
  <si>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</si>
  <si>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</si>
  <si>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</si>
  <si>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</si>
  <si>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</si>
  <si>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</si>
  <si>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</si>
  <si>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</si>
  <si>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</si>
  <si>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</si>
  <si>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</si>
  <si>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</si>
  <si>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</si>
  <si>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</si>
  <si>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</si>
  <si>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</si>
  <si>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</si>
  <si>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</si>
  <si>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</si>
  <si>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</si>
  <si>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</si>
  <si>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</si>
  <si>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</si>
  <si>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</si>
  <si>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</si>
  <si>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</si>
  <si>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</si>
  <si>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</si>
  <si>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</si>
  <si>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</si>
  <si>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</si>
  <si>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</si>
  <si>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</si>
  <si>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</si>
  <si>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</si>
  <si>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</si>
  <si>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</si>
  <si>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</si>
  <si>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</si>
  <si>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</si>
  <si>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</si>
  <si>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</si>
  <si>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</si>
  <si>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</si>
  <si>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</si>
  <si>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</si>
  <si>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</si>
  <si>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</si>
  <si>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</si>
  <si>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</si>
  <si>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</si>
  <si>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</si>
  <si>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</si>
  <si>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</si>
  <si>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</si>
  <si>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</si>
  <si>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</si>
  <si>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</si>
  <si>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</si>
  <si>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</si>
  <si>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</si>
  <si>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</si>
  <si>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</si>
  <si>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</si>
  <si>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</si>
  <si>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</si>
  <si>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</si>
  <si>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</si>
  <si>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</si>
  <si>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</si>
  <si>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</si>
  <si>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</si>
  <si>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</si>
  <si>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</si>
  <si>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</si>
  <si>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</si>
  <si>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</si>
  <si>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</si>
  <si>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</si>
  <si>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</si>
  <si>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</si>
  <si>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</si>
  <si>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</si>
  <si>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</si>
  <si>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</si>
  <si>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</si>
  <si>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</si>
  <si>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</si>
  <si>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</si>
  <si>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</si>
  <si>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</si>
  <si>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</si>
  <si>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</si>
  <si>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</si>
  <si>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</si>
  <si>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</si>
  <si>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</si>
  <si>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</si>
  <si>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</si>
  <si>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</si>
  <si>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</si>
  <si>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</si>
  <si>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</si>
  <si>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</si>
  <si>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</si>
  <si>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</si>
  <si>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</si>
  <si>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</si>
  <si>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</si>
  <si>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</si>
  <si>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</si>
  <si>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</si>
  <si>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</si>
  <si>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</si>
  <si>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</si>
  <si>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</si>
  <si>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</si>
  <si>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</si>
  <si>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</si>
  <si>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</si>
  <si>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</si>
  <si>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</si>
  <si>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</si>
  <si>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</si>
  <si>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</si>
  <si>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</si>
  <si>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</si>
  <si>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</si>
  <si>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</si>
  <si>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</si>
  <si>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</si>
  <si>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</si>
  <si>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</si>
  <si>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</si>
  <si>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</si>
  <si>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</si>
  <si>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</si>
  <si>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</si>
  <si>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</si>
  <si>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</si>
  <si>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</si>
  <si>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</si>
  <si>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</si>
  <si>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</si>
  <si>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</si>
  <si>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არადამოუკიდებელი თავმჯდომარე</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</si>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</sst>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4">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64" fillId="79" borderId="104" xfId="21412" applyFont="1" applyFill="1" applyBorder="1" applyProtection="1">
      <alignment vertical="center"/>
      <protection locked="0"/>
    </xf>
    <xf numFmtId="0" fontId="115" fillId="0" borderId="104" xfId="21412" applyFont="1" applyBorder="1" applyAlignment="1" applyProtection="1">
      <alignment horizontal="left" vertical="center" wrapText="1"/>
      <protection locked="0"/>
    </xf>
    <xf numFmtId="164" fontId="115" fillId="0" borderId="105" xfId="948" applyNumberFormat="1" applyFont="1" applyFill="1" applyBorder="1" applyAlignment="1" applyProtection="1">
      <alignment horizontal="right" vertical="center"/>
      <protection locked="0"/>
    </xf>
    <xf numFmtId="0" fontId="114" fillId="80" borderId="104" xfId="21412" applyFont="1" applyFill="1" applyBorder="1" applyAlignment="1" applyProtection="1">
      <alignment vertical="top" wrapText="1"/>
      <protection locked="0"/>
    </xf>
    <xf numFmtId="164" fontId="115" fillId="80" borderId="105" xfId="948" applyNumberFormat="1" applyFont="1" applyFill="1" applyBorder="1" applyAlignment="1" applyProtection="1">
      <alignment horizontal="right" vertical="center"/>
    </xf>
    <xf numFmtId="164" fontId="64" fillId="79" borderId="104" xfId="948" applyNumberFormat="1" applyFont="1" applyFill="1" applyBorder="1" applyAlignment="1" applyProtection="1">
      <alignment horizontal="right" vertical="center"/>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64" fontId="114" fillId="79" borderId="104" xfId="948" applyNumberFormat="1" applyFont="1" applyFill="1" applyBorder="1" applyAlignment="1" applyProtection="1">
      <alignment horizontal="right" vertical="center"/>
      <protection locked="0"/>
    </xf>
    <xf numFmtId="164" fontId="115" fillId="3" borderId="105" xfId="948" applyNumberFormat="1" applyFont="1" applyFill="1" applyBorder="1" applyAlignment="1" applyProtection="1">
      <alignment horizontal="right" vertical="center"/>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0" borderId="105" xfId="7" applyNumberFormat="1" applyFont="1" applyFill="1" applyBorder="1" applyAlignment="1" applyProtection="1">
      <alignment horizontal="right"/>
    </xf>
    <xf numFmtId="193" fontId="9" fillId="36" borderId="105" xfId="7" applyNumberFormat="1" applyFont="1" applyFill="1" applyBorder="1" applyAlignment="1" applyProtection="1">
      <alignment horizontal="right"/>
    </xf>
    <xf numFmtId="193" fontId="9" fillId="0" borderId="104" xfId="0" applyNumberFormat="1" applyFont="1" applyBorder="1" applyAlignment="1">
      <alignment horizontal="right"/>
    </xf>
    <xf numFmtId="193" fontId="9" fillId="0" borderId="105" xfId="0" applyNumberFormat="1" applyFont="1" applyBorder="1" applyAlignment="1">
      <alignment horizontal="right"/>
    </xf>
    <xf numFmtId="193" fontId="9" fillId="36" borderId="119" xfId="0" applyNumberFormat="1" applyFont="1" applyFill="1" applyBorder="1" applyAlignment="1">
      <alignment horizontal="right"/>
    </xf>
    <xf numFmtId="193" fontId="9" fillId="0" borderId="105" xfId="7" applyNumberFormat="1" applyFont="1" applyFill="1" applyBorder="1" applyAlignment="1" applyProtection="1">
      <alignment horizontal="right"/>
      <protection locked="0"/>
    </xf>
    <xf numFmtId="193" fontId="9" fillId="0" borderId="104" xfId="0" applyNumberFormat="1" applyFont="1" applyBorder="1" applyAlignment="1" applyProtection="1">
      <alignment horizontal="right"/>
      <protection locked="0"/>
    </xf>
    <xf numFmtId="193" fontId="9" fillId="0" borderId="105" xfId="0" applyNumberFormat="1" applyFont="1" applyBorder="1" applyAlignment="1" applyProtection="1">
      <alignment horizontal="right"/>
      <protection locked="0"/>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20" fillId="0" borderId="105" xfId="0" applyNumberFormat="1" applyFont="1" applyBorder="1" applyAlignment="1" applyProtection="1">
      <alignment horizontal="right"/>
      <protection locked="0"/>
    </xf>
    <xf numFmtId="193" fontId="9" fillId="36" borderId="119" xfId="7" applyNumberFormat="1" applyFont="1" applyFill="1" applyBorder="1" applyAlignment="1" applyProtection="1">
      <alignment horizontal="right"/>
    </xf>
    <xf numFmtId="193" fontId="20" fillId="36" borderId="105" xfId="0" applyNumberFormat="1" applyFont="1" applyFill="1" applyBorder="1" applyAlignment="1">
      <alignment horizontal="right"/>
    </xf>
    <xf numFmtId="193" fontId="9" fillId="0" borderId="119" xfId="7" applyNumberFormat="1" applyFont="1" applyFill="1" applyBorder="1" applyAlignment="1" applyProtection="1">
      <alignment horizontal="right"/>
    </xf>
    <xf numFmtId="193" fontId="21" fillId="0" borderId="105" xfId="0" applyNumberFormat="1" applyFont="1" applyBorder="1" applyAlignment="1">
      <alignment horizontal="center"/>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20" fillId="0" borderId="105" xfId="0" applyNumberFormat="1" applyFont="1" applyBorder="1" applyAlignment="1" applyProtection="1">
      <alignment horizontal="left" indent="1"/>
      <protection locked="0"/>
    </xf>
    <xf numFmtId="193" fontId="9" fillId="36" borderId="105" xfId="7" applyNumberFormat="1" applyFont="1" applyFill="1" applyBorder="1" applyAlignment="1" applyProtection="1"/>
    <xf numFmtId="193" fontId="20" fillId="0" borderId="105" xfId="0" applyNumberFormat="1" applyFont="1" applyBorder="1" applyProtection="1">
      <protection locked="0"/>
    </xf>
    <xf numFmtId="193" fontId="9" fillId="36" borderId="119" xfId="7" applyNumberFormat="1" applyFont="1" applyFill="1" applyBorder="1" applyAlignment="1" applyProtection="1"/>
    <xf numFmtId="193" fontId="20" fillId="0" borderId="105" xfId="0" applyNumberFormat="1" applyFont="1" applyBorder="1" applyAlignment="1" applyProtection="1">
      <alignment horizontal="right" vertical="center"/>
      <protection locked="0"/>
    </xf>
    <xf numFmtId="193" fontId="9" fillId="36" borderId="105" xfId="0" applyNumberFormat="1" applyFont="1" applyFill="1" applyBorder="1" applyAlignment="1">
      <alignment horizontal="right"/>
    </xf>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93" fontId="7" fillId="36" borderId="119" xfId="2" applyNumberFormat="1" applyFont="1" applyFill="1" applyBorder="1" applyAlignment="1" applyProtection="1">
      <alignment vertical="top"/>
    </xf>
    <xf numFmtId="193" fontId="7" fillId="3" borderId="119" xfId="2" applyNumberFormat="1" applyFont="1" applyFill="1" applyBorder="1" applyAlignment="1" applyProtection="1">
      <alignment vertical="top"/>
      <protection locked="0"/>
    </xf>
    <xf numFmtId="193" fontId="7" fillId="36" borderId="119" xfId="2" applyNumberFormat="1" applyFont="1" applyFill="1" applyBorder="1" applyAlignment="1" applyProtection="1">
      <alignment vertical="top" wrapText="1"/>
    </xf>
    <xf numFmtId="193" fontId="7" fillId="3" borderId="119" xfId="2" applyNumberFormat="1" applyFont="1" applyFill="1" applyBorder="1" applyAlignment="1" applyProtection="1">
      <alignment vertical="top" wrapText="1"/>
      <protection locked="0"/>
    </xf>
    <xf numFmtId="193" fontId="7" fillId="36" borderId="119" xfId="2" applyNumberFormat="1" applyFont="1" applyFill="1" applyBorder="1" applyAlignment="1" applyProtection="1">
      <alignment vertical="top" wrapText="1"/>
      <protection locked="0"/>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193" fontId="9" fillId="0" borderId="140" xfId="0" applyNumberFormat="1" applyFont="1" applyBorder="1" applyAlignment="1">
      <alignment vertical="center"/>
    </xf>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42" xfId="0" applyNumberFormat="1" applyFont="1" applyBorder="1" applyAlignment="1">
      <alignment vertical="center"/>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10" fontId="115" fillId="80" borderId="105" xfId="20961" applyNumberFormat="1" applyFont="1" applyFill="1" applyBorder="1" applyAlignment="1" applyProtection="1">
      <alignment horizontal="right" vertical="center"/>
    </xf>
    <xf numFmtId="0" fontId="4" fillId="3" borderId="0" xfId="0" applyFont="1" applyFill="1"/>
    <xf numFmtId="164" fontId="119" fillId="0" borderId="105" xfId="7" applyNumberFormat="1" applyFont="1" applyBorder="1"/>
    <xf numFmtId="164" fontId="122" fillId="0" borderId="105" xfId="7" applyNumberFormat="1" applyFont="1" applyBorder="1"/>
    <xf numFmtId="14" fontId="119" fillId="0" borderId="0" xfId="0" applyNumberFormat="1" applyFont="1" applyAlignment="1">
      <alignment wrapText="1"/>
    </xf>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9" fillId="0" borderId="105" xfId="7" applyNumberFormat="1" applyFont="1" applyBorder="1" applyAlignment="1">
      <alignment horizontal="left" indent="2"/>
    </xf>
    <xf numFmtId="164" fontId="119" fillId="0" borderId="105" xfId="7" applyNumberFormat="1" applyFont="1" applyBorder="1" applyAlignment="1">
      <alignment horizontal="left" indent="3"/>
    </xf>
    <xf numFmtId="164" fontId="119" fillId="83" borderId="105" xfId="7" applyNumberFormat="1" applyFont="1" applyFill="1" applyBorder="1"/>
    <xf numFmtId="164" fontId="119" fillId="0" borderId="105" xfId="7" applyNumberFormat="1" applyFont="1" applyBorder="1" applyAlignment="1">
      <alignment horizontal="left" vertical="top" wrapText="1" indent="2"/>
    </xf>
    <xf numFmtId="164" fontId="119" fillId="0" borderId="105" xfId="7" applyNumberFormat="1" applyFont="1" applyBorder="1" applyAlignment="1">
      <alignment horizontal="left" wrapText="1" indent="3"/>
    </xf>
    <xf numFmtId="164" fontId="119" fillId="0" borderId="105" xfId="7" applyNumberFormat="1" applyFont="1" applyBorder="1" applyAlignment="1">
      <alignment horizontal="left" wrapText="1" indent="2"/>
    </xf>
    <xf numFmtId="164" fontId="119" fillId="0" borderId="105" xfId="7" applyNumberFormat="1" applyFont="1" applyBorder="1" applyAlignment="1">
      <alignment horizontal="left" wrapText="1" indent="1"/>
    </xf>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164" fontId="137" fillId="0" borderId="105" xfId="7" applyNumberFormat="1" applyFont="1" applyBorder="1"/>
    <xf numFmtId="0" fontId="137" fillId="0" borderId="105" xfId="0" applyFont="1" applyBorder="1"/>
    <xf numFmtId="9" fontId="137" fillId="0" borderId="105" xfId="20961" applyFont="1" applyBorder="1"/>
    <xf numFmtId="43" fontId="137" fillId="0" borderId="105" xfId="7" applyFont="1" applyBorder="1"/>
    <xf numFmtId="164" fontId="122" fillId="82" borderId="105" xfId="7" applyNumberFormat="1" applyFont="1" applyFill="1" applyBorder="1"/>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xf numFmtId="0" fontId="108" fillId="0" borderId="105"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105" xfId="0" applyFont="1" applyFill="1" applyBorder="1" applyAlignment="1">
      <alignment horizontal="center" vertical="center" wrapText="1"/>
    </xf>
    <xf numFmtId="0" fontId="107" fillId="0" borderId="105" xfId="0" applyFont="1" applyBorder="1" applyAlignment="1">
      <alignment horizontal="center" vertical="center"/>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top" wrapText="1"/>
    </xf>
    <xf numFmtId="193" fontId="0" fillId="0" borderId="0" xfId="0" applyNumberFormat="1"/>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selection pane="bottomLeft"/>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3"/>
    </row>
    <row r="2" spans="1:3" s="166" customFormat="1" ht="15.75">
      <c r="A2" s="210">
        <v>1</v>
      </c>
      <c r="B2" s="167" t="s">
        <v>255</v>
      </c>
      <c r="C2" s="518" t="s">
        <v>957</v>
      </c>
    </row>
    <row r="3" spans="1:3" s="166" customFormat="1" ht="15.75">
      <c r="A3" s="210">
        <v>2</v>
      </c>
      <c r="B3" s="168" t="s">
        <v>256</v>
      </c>
      <c r="C3" s="518" t="s">
        <v>958</v>
      </c>
    </row>
    <row r="4" spans="1:3" s="166" customFormat="1" ht="15.75">
      <c r="A4" s="210">
        <v>3</v>
      </c>
      <c r="B4" s="168" t="s">
        <v>257</v>
      </c>
      <c r="C4" s="518" t="s">
        <v>959</v>
      </c>
    </row>
    <row r="5" spans="1:3" s="166" customFormat="1" ht="15.75">
      <c r="A5" s="211">
        <v>4</v>
      </c>
      <c r="B5" s="171" t="s">
        <v>258</v>
      </c>
      <c r="C5" s="519" t="s">
        <v>960</v>
      </c>
    </row>
    <row r="6" spans="1:3" s="170" customFormat="1" ht="65.25" customHeight="1">
      <c r="A6" s="683" t="s">
        <v>490</v>
      </c>
      <c r="B6" s="684"/>
      <c r="C6" s="684"/>
    </row>
    <row r="7" spans="1:3">
      <c r="A7" s="324" t="s">
        <v>404</v>
      </c>
      <c r="B7" s="325" t="s">
        <v>259</v>
      </c>
    </row>
    <row r="8" spans="1:3">
      <c r="A8" s="326">
        <v>1</v>
      </c>
      <c r="B8" s="322" t="s">
        <v>223</v>
      </c>
    </row>
    <row r="9" spans="1:3">
      <c r="A9" s="326">
        <v>2</v>
      </c>
      <c r="B9" s="322" t="s">
        <v>260</v>
      </c>
    </row>
    <row r="10" spans="1:3">
      <c r="A10" s="326">
        <v>3</v>
      </c>
      <c r="B10" s="322" t="s">
        <v>261</v>
      </c>
    </row>
    <row r="11" spans="1:3">
      <c r="A11" s="326">
        <v>4</v>
      </c>
      <c r="B11" s="322" t="s">
        <v>262</v>
      </c>
    </row>
    <row r="12" spans="1:3">
      <c r="A12" s="326">
        <v>5</v>
      </c>
      <c r="B12" s="322" t="s">
        <v>187</v>
      </c>
    </row>
    <row r="13" spans="1:3">
      <c r="A13" s="326">
        <v>6</v>
      </c>
      <c r="B13" s="327" t="s">
        <v>149</v>
      </c>
    </row>
    <row r="14" spans="1:3">
      <c r="A14" s="326">
        <v>7</v>
      </c>
      <c r="B14" s="322" t="s">
        <v>263</v>
      </c>
    </row>
    <row r="15" spans="1:3">
      <c r="A15" s="326">
        <v>8</v>
      </c>
      <c r="B15" s="322" t="s">
        <v>266</v>
      </c>
    </row>
    <row r="16" spans="1:3">
      <c r="A16" s="326">
        <v>9</v>
      </c>
      <c r="B16" s="322" t="s">
        <v>88</v>
      </c>
    </row>
    <row r="17" spans="1:2">
      <c r="A17" s="328" t="s">
        <v>547</v>
      </c>
      <c r="B17" s="322" t="s">
        <v>527</v>
      </c>
    </row>
    <row r="18" spans="1:2">
      <c r="A18" s="326">
        <v>10</v>
      </c>
      <c r="B18" s="322" t="s">
        <v>269</v>
      </c>
    </row>
    <row r="19" spans="1:2">
      <c r="A19" s="326">
        <v>11</v>
      </c>
      <c r="B19" s="327" t="s">
        <v>250</v>
      </c>
    </row>
    <row r="20" spans="1:2">
      <c r="A20" s="326">
        <v>12</v>
      </c>
      <c r="B20" s="327" t="s">
        <v>247</v>
      </c>
    </row>
    <row r="21" spans="1:2">
      <c r="A21" s="326">
        <v>13</v>
      </c>
      <c r="B21" s="329" t="s">
        <v>460</v>
      </c>
    </row>
    <row r="22" spans="1:2">
      <c r="A22" s="326">
        <v>14</v>
      </c>
      <c r="B22" s="330" t="s">
        <v>520</v>
      </c>
    </row>
    <row r="23" spans="1:2">
      <c r="A23" s="326">
        <v>15</v>
      </c>
      <c r="B23" s="327" t="s">
        <v>77</v>
      </c>
    </row>
    <row r="24" spans="1:2">
      <c r="A24" s="326">
        <v>15.1</v>
      </c>
      <c r="B24" s="322" t="s">
        <v>556</v>
      </c>
    </row>
    <row r="25" spans="1:2">
      <c r="A25" s="326">
        <v>16</v>
      </c>
      <c r="B25" s="322" t="s">
        <v>624</v>
      </c>
    </row>
    <row r="26" spans="1:2">
      <c r="A26" s="326">
        <v>17</v>
      </c>
      <c r="B26" s="322" t="s">
        <v>936</v>
      </c>
    </row>
    <row r="27" spans="1:2">
      <c r="A27" s="326">
        <v>18</v>
      </c>
      <c r="B27" s="322" t="s">
        <v>954</v>
      </c>
    </row>
    <row r="28" spans="1:2">
      <c r="A28" s="326">
        <v>19</v>
      </c>
      <c r="B28" s="322" t="s">
        <v>955</v>
      </c>
    </row>
    <row r="29" spans="1:2">
      <c r="A29" s="326">
        <v>20</v>
      </c>
      <c r="B29" s="330" t="s">
        <v>723</v>
      </c>
    </row>
    <row r="30" spans="1:2">
      <c r="A30" s="326">
        <v>21</v>
      </c>
      <c r="B30" s="322" t="s">
        <v>741</v>
      </c>
    </row>
    <row r="31" spans="1:2">
      <c r="A31" s="326">
        <v>22</v>
      </c>
      <c r="B31" s="489" t="s">
        <v>758</v>
      </c>
    </row>
    <row r="32" spans="1:2" ht="26.25">
      <c r="A32" s="326">
        <v>23</v>
      </c>
      <c r="B32" s="489" t="s">
        <v>937</v>
      </c>
    </row>
    <row r="33" spans="1:2">
      <c r="A33" s="326">
        <v>24</v>
      </c>
      <c r="B33" s="322" t="s">
        <v>938</v>
      </c>
    </row>
    <row r="34" spans="1:2">
      <c r="A34" s="326">
        <v>25</v>
      </c>
      <c r="B34" s="322" t="s">
        <v>939</v>
      </c>
    </row>
    <row r="35" spans="1:2">
      <c r="A35" s="326">
        <v>26</v>
      </c>
      <c r="B35" s="330" t="s">
        <v>1051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selection pane="bottomLeft"/>
      <selection pane="bottomRight" activeCell="C6" sqref="C6"/>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390">
        <f>'1. key ratios'!B2</f>
        <v>44561</v>
      </c>
    </row>
    <row r="3" spans="1:6" s="14" customFormat="1" ht="15.75" customHeight="1"/>
    <row r="4" spans="1:6" ht="15.75" thickBot="1">
      <c r="A4" s="1" t="s">
        <v>413</v>
      </c>
      <c r="B4" s="52" t="s">
        <v>88</v>
      </c>
    </row>
    <row r="5" spans="1:6">
      <c r="A5" s="122" t="s">
        <v>26</v>
      </c>
      <c r="B5" s="123"/>
      <c r="C5" s="124" t="s">
        <v>27</v>
      </c>
    </row>
    <row r="6" spans="1:6">
      <c r="A6" s="125">
        <v>1</v>
      </c>
      <c r="B6" s="73" t="s">
        <v>28</v>
      </c>
      <c r="C6" s="543">
        <f>SUM(C7:C11)</f>
        <v>193275698</v>
      </c>
    </row>
    <row r="7" spans="1:6">
      <c r="A7" s="125">
        <v>2</v>
      </c>
      <c r="B7" s="70" t="s">
        <v>29</v>
      </c>
      <c r="C7" s="544">
        <v>114430000</v>
      </c>
    </row>
    <row r="8" spans="1:6">
      <c r="A8" s="125">
        <v>3</v>
      </c>
      <c r="B8" s="65" t="s">
        <v>30</v>
      </c>
      <c r="C8" s="544"/>
    </row>
    <row r="9" spans="1:6">
      <c r="A9" s="125">
        <v>4</v>
      </c>
      <c r="B9" s="65" t="s">
        <v>31</v>
      </c>
      <c r="C9" s="544"/>
    </row>
    <row r="10" spans="1:6">
      <c r="A10" s="125">
        <v>5</v>
      </c>
      <c r="B10" s="65" t="s">
        <v>32</v>
      </c>
      <c r="C10" s="544">
        <v>7438034</v>
      </c>
    </row>
    <row r="11" spans="1:6">
      <c r="A11" s="125">
        <v>6</v>
      </c>
      <c r="B11" s="71" t="s">
        <v>33</v>
      </c>
      <c r="C11" s="544">
        <v>71407664</v>
      </c>
    </row>
    <row r="12" spans="1:6" s="2" customFormat="1">
      <c r="A12" s="125">
        <v>7</v>
      </c>
      <c r="B12" s="73" t="s">
        <v>34</v>
      </c>
      <c r="C12" s="545">
        <f>SUM(C13:C27)</f>
        <v>4035809</v>
      </c>
    </row>
    <row r="13" spans="1:6" s="2" customFormat="1">
      <c r="A13" s="125">
        <v>8</v>
      </c>
      <c r="B13" s="72" t="s">
        <v>35</v>
      </c>
      <c r="C13" s="546">
        <v>132660</v>
      </c>
    </row>
    <row r="14" spans="1:6" s="2" customFormat="1" ht="25.5">
      <c r="A14" s="125">
        <v>9</v>
      </c>
      <c r="B14" s="66" t="s">
        <v>36</v>
      </c>
      <c r="C14" s="546"/>
    </row>
    <row r="15" spans="1:6" s="2" customFormat="1">
      <c r="A15" s="125">
        <v>10</v>
      </c>
      <c r="B15" s="67" t="s">
        <v>37</v>
      </c>
      <c r="C15" s="546">
        <v>3903149</v>
      </c>
    </row>
    <row r="16" spans="1:6" s="2" customFormat="1">
      <c r="A16" s="125">
        <v>11</v>
      </c>
      <c r="B16" s="68" t="s">
        <v>38</v>
      </c>
      <c r="C16" s="546"/>
    </row>
    <row r="17" spans="1:3" s="2" customFormat="1">
      <c r="A17" s="125">
        <v>12</v>
      </c>
      <c r="B17" s="67" t="s">
        <v>39</v>
      </c>
      <c r="C17" s="546"/>
    </row>
    <row r="18" spans="1:3" s="2" customFormat="1">
      <c r="A18" s="125">
        <v>13</v>
      </c>
      <c r="B18" s="67" t="s">
        <v>40</v>
      </c>
      <c r="C18" s="546"/>
    </row>
    <row r="19" spans="1:3" s="2" customFormat="1">
      <c r="A19" s="125">
        <v>14</v>
      </c>
      <c r="B19" s="67" t="s">
        <v>41</v>
      </c>
      <c r="C19" s="546"/>
    </row>
    <row r="20" spans="1:3" s="2" customFormat="1" ht="25.5">
      <c r="A20" s="125">
        <v>15</v>
      </c>
      <c r="B20" s="67" t="s">
        <v>42</v>
      </c>
      <c r="C20" s="546">
        <v>0</v>
      </c>
    </row>
    <row r="21" spans="1:3" s="2" customFormat="1" ht="25.5">
      <c r="A21" s="125">
        <v>16</v>
      </c>
      <c r="B21" s="66" t="s">
        <v>43</v>
      </c>
      <c r="C21" s="546"/>
    </row>
    <row r="22" spans="1:3" s="2" customFormat="1">
      <c r="A22" s="125">
        <v>17</v>
      </c>
      <c r="B22" s="126" t="s">
        <v>44</v>
      </c>
      <c r="C22" s="546"/>
    </row>
    <row r="23" spans="1:3" s="2" customFormat="1" ht="25.5">
      <c r="A23" s="125">
        <v>18</v>
      </c>
      <c r="B23" s="66" t="s">
        <v>45</v>
      </c>
      <c r="C23" s="546"/>
    </row>
    <row r="24" spans="1:3" s="2" customFormat="1" ht="25.5">
      <c r="A24" s="125">
        <v>19</v>
      </c>
      <c r="B24" s="66" t="s">
        <v>46</v>
      </c>
      <c r="C24" s="546"/>
    </row>
    <row r="25" spans="1:3" s="2" customFormat="1" ht="25.5">
      <c r="A25" s="125">
        <v>20</v>
      </c>
      <c r="B25" s="68" t="s">
        <v>47</v>
      </c>
      <c r="C25" s="546"/>
    </row>
    <row r="26" spans="1:3" s="2" customFormat="1">
      <c r="A26" s="125">
        <v>21</v>
      </c>
      <c r="B26" s="68" t="s">
        <v>48</v>
      </c>
      <c r="C26" s="546"/>
    </row>
    <row r="27" spans="1:3" s="2" customFormat="1" ht="25.5">
      <c r="A27" s="125">
        <v>22</v>
      </c>
      <c r="B27" s="68" t="s">
        <v>49</v>
      </c>
      <c r="C27" s="546"/>
    </row>
    <row r="28" spans="1:3" s="2" customFormat="1">
      <c r="A28" s="125">
        <v>23</v>
      </c>
      <c r="B28" s="74" t="s">
        <v>23</v>
      </c>
      <c r="C28" s="545">
        <f>C6-C12</f>
        <v>189239889</v>
      </c>
    </row>
    <row r="29" spans="1:3" s="2" customFormat="1">
      <c r="A29" s="127"/>
      <c r="B29" s="69"/>
      <c r="C29" s="546"/>
    </row>
    <row r="30" spans="1:3" s="2" customFormat="1">
      <c r="A30" s="127">
        <v>24</v>
      </c>
      <c r="B30" s="74" t="s">
        <v>50</v>
      </c>
      <c r="C30" s="545">
        <f>C31+C34</f>
        <v>83635200</v>
      </c>
    </row>
    <row r="31" spans="1:3" s="2" customFormat="1">
      <c r="A31" s="127">
        <v>25</v>
      </c>
      <c r="B31" s="65" t="s">
        <v>51</v>
      </c>
      <c r="C31" s="547">
        <f>C32+C33</f>
        <v>83635200</v>
      </c>
    </row>
    <row r="32" spans="1:3" s="2" customFormat="1">
      <c r="A32" s="127">
        <v>26</v>
      </c>
      <c r="B32" s="164" t="s">
        <v>52</v>
      </c>
      <c r="C32" s="546"/>
    </row>
    <row r="33" spans="1:3" s="2" customFormat="1">
      <c r="A33" s="127">
        <v>27</v>
      </c>
      <c r="B33" s="164" t="s">
        <v>53</v>
      </c>
      <c r="C33" s="546">
        <v>83635200</v>
      </c>
    </row>
    <row r="34" spans="1:3" s="2" customFormat="1">
      <c r="A34" s="127">
        <v>28</v>
      </c>
      <c r="B34" s="65" t="s">
        <v>54</v>
      </c>
      <c r="C34" s="546"/>
    </row>
    <row r="35" spans="1:3" s="2" customFormat="1">
      <c r="A35" s="127">
        <v>29</v>
      </c>
      <c r="B35" s="74" t="s">
        <v>55</v>
      </c>
      <c r="C35" s="545">
        <f>SUM(C36:C40)</f>
        <v>0</v>
      </c>
    </row>
    <row r="36" spans="1:3" s="2" customFormat="1">
      <c r="A36" s="127">
        <v>30</v>
      </c>
      <c r="B36" s="66" t="s">
        <v>56</v>
      </c>
      <c r="C36" s="546"/>
    </row>
    <row r="37" spans="1:3" s="2" customFormat="1">
      <c r="A37" s="127">
        <v>31</v>
      </c>
      <c r="B37" s="67" t="s">
        <v>57</v>
      </c>
      <c r="C37" s="546"/>
    </row>
    <row r="38" spans="1:3" s="2" customFormat="1" ht="25.5">
      <c r="A38" s="127">
        <v>32</v>
      </c>
      <c r="B38" s="66" t="s">
        <v>58</v>
      </c>
      <c r="C38" s="546"/>
    </row>
    <row r="39" spans="1:3" s="2" customFormat="1" ht="25.5">
      <c r="A39" s="127">
        <v>33</v>
      </c>
      <c r="B39" s="66" t="s">
        <v>46</v>
      </c>
      <c r="C39" s="546"/>
    </row>
    <row r="40" spans="1:3" s="2" customFormat="1" ht="25.5">
      <c r="A40" s="127">
        <v>34</v>
      </c>
      <c r="B40" s="68" t="s">
        <v>59</v>
      </c>
      <c r="C40" s="546"/>
    </row>
    <row r="41" spans="1:3" s="2" customFormat="1">
      <c r="A41" s="127">
        <v>35</v>
      </c>
      <c r="B41" s="74" t="s">
        <v>24</v>
      </c>
      <c r="C41" s="545">
        <f>C30-C35</f>
        <v>83635200</v>
      </c>
    </row>
    <row r="42" spans="1:3" s="2" customFormat="1">
      <c r="A42" s="127"/>
      <c r="B42" s="69"/>
      <c r="C42" s="546"/>
    </row>
    <row r="43" spans="1:3" s="2" customFormat="1">
      <c r="A43" s="127">
        <v>36</v>
      </c>
      <c r="B43" s="75" t="s">
        <v>60</v>
      </c>
      <c r="C43" s="545">
        <f>SUM(C44:C46)</f>
        <v>49522516</v>
      </c>
    </row>
    <row r="44" spans="1:3" s="2" customFormat="1">
      <c r="A44" s="127">
        <v>37</v>
      </c>
      <c r="B44" s="65" t="s">
        <v>61</v>
      </c>
      <c r="C44" s="546">
        <v>37171200</v>
      </c>
    </row>
    <row r="45" spans="1:3" s="2" customFormat="1">
      <c r="A45" s="127">
        <v>38</v>
      </c>
      <c r="B45" s="65" t="s">
        <v>62</v>
      </c>
      <c r="C45" s="546"/>
    </row>
    <row r="46" spans="1:3" s="2" customFormat="1">
      <c r="A46" s="127">
        <v>39</v>
      </c>
      <c r="B46" s="65" t="s">
        <v>63</v>
      </c>
      <c r="C46" s="546">
        <v>12351316</v>
      </c>
    </row>
    <row r="47" spans="1:3" s="2" customFormat="1">
      <c r="A47" s="127">
        <v>40</v>
      </c>
      <c r="B47" s="75" t="s">
        <v>64</v>
      </c>
      <c r="C47" s="545">
        <f>SUM(C48:C51)</f>
        <v>0</v>
      </c>
    </row>
    <row r="48" spans="1:3" s="2" customFormat="1">
      <c r="A48" s="127">
        <v>41</v>
      </c>
      <c r="B48" s="66" t="s">
        <v>65</v>
      </c>
      <c r="C48" s="546"/>
    </row>
    <row r="49" spans="1:3" s="2" customFormat="1">
      <c r="A49" s="127">
        <v>42</v>
      </c>
      <c r="B49" s="67" t="s">
        <v>66</v>
      </c>
      <c r="C49" s="546"/>
    </row>
    <row r="50" spans="1:3" s="2" customFormat="1" ht="25.5">
      <c r="A50" s="127">
        <v>43</v>
      </c>
      <c r="B50" s="66" t="s">
        <v>67</v>
      </c>
      <c r="C50" s="546"/>
    </row>
    <row r="51" spans="1:3" s="2" customFormat="1" ht="25.5">
      <c r="A51" s="127">
        <v>44</v>
      </c>
      <c r="B51" s="66" t="s">
        <v>46</v>
      </c>
      <c r="C51" s="546"/>
    </row>
    <row r="52" spans="1:3" s="2" customFormat="1" ht="15.75" thickBot="1">
      <c r="A52" s="128">
        <v>45</v>
      </c>
      <c r="B52" s="129" t="s">
        <v>25</v>
      </c>
      <c r="C52" s="229">
        <f>C43-C47</f>
        <v>49522516</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390">
        <f>'1. key ratios'!B2</f>
        <v>44561</v>
      </c>
    </row>
    <row r="3" spans="1:4" s="14" customFormat="1" ht="15.75" customHeight="1"/>
    <row r="4" spans="1:4" ht="13.5" thickBot="1">
      <c r="A4" s="1" t="s">
        <v>526</v>
      </c>
      <c r="B4" s="312" t="s">
        <v>527</v>
      </c>
    </row>
    <row r="5" spans="1:4" s="60" customFormat="1">
      <c r="A5" s="702" t="s">
        <v>528</v>
      </c>
      <c r="B5" s="703"/>
      <c r="C5" s="302" t="s">
        <v>529</v>
      </c>
      <c r="D5" s="303" t="s">
        <v>530</v>
      </c>
    </row>
    <row r="6" spans="1:4" s="313" customFormat="1">
      <c r="A6" s="304">
        <v>1</v>
      </c>
      <c r="B6" s="305" t="s">
        <v>531</v>
      </c>
      <c r="C6" s="305"/>
      <c r="D6" s="306"/>
    </row>
    <row r="7" spans="1:4" s="313" customFormat="1">
      <c r="A7" s="307" t="s">
        <v>532</v>
      </c>
      <c r="B7" s="308" t="s">
        <v>533</v>
      </c>
      <c r="C7" s="548">
        <v>4.4999999999999998E-2</v>
      </c>
      <c r="D7" s="549">
        <f>C7*'5. RWA'!$C$13</f>
        <v>58461460.962541722</v>
      </c>
    </row>
    <row r="8" spans="1:4" s="313" customFormat="1">
      <c r="A8" s="307" t="s">
        <v>534</v>
      </c>
      <c r="B8" s="308" t="s">
        <v>535</v>
      </c>
      <c r="C8" s="550">
        <v>0.06</v>
      </c>
      <c r="D8" s="549">
        <f>C8*'5. RWA'!$C$13</f>
        <v>77948614.616722301</v>
      </c>
    </row>
    <row r="9" spans="1:4" s="313" customFormat="1">
      <c r="A9" s="307" t="s">
        <v>536</v>
      </c>
      <c r="B9" s="308" t="s">
        <v>537</v>
      </c>
      <c r="C9" s="550">
        <v>0.08</v>
      </c>
      <c r="D9" s="549">
        <f>C9*'5. RWA'!$C$13</f>
        <v>103931486.15562974</v>
      </c>
    </row>
    <row r="10" spans="1:4" s="313" customFormat="1">
      <c r="A10" s="304" t="s">
        <v>538</v>
      </c>
      <c r="B10" s="305" t="s">
        <v>539</v>
      </c>
      <c r="C10" s="356"/>
      <c r="D10" s="551"/>
    </row>
    <row r="11" spans="1:4" s="314" customFormat="1">
      <c r="A11" s="309" t="s">
        <v>540</v>
      </c>
      <c r="B11" s="310" t="s">
        <v>602</v>
      </c>
      <c r="C11" s="552">
        <v>2.5000000000000001E-2</v>
      </c>
      <c r="D11" s="553">
        <f>C11*'5. RWA'!$C$13</f>
        <v>32478589.423634291</v>
      </c>
    </row>
    <row r="12" spans="1:4" s="314" customFormat="1">
      <c r="A12" s="309" t="s">
        <v>541</v>
      </c>
      <c r="B12" s="310" t="s">
        <v>542</v>
      </c>
      <c r="C12" s="552">
        <v>0</v>
      </c>
      <c r="D12" s="553">
        <f>C12*'5. RWA'!$C$13</f>
        <v>0</v>
      </c>
    </row>
    <row r="13" spans="1:4" s="314" customFormat="1">
      <c r="A13" s="309" t="s">
        <v>543</v>
      </c>
      <c r="B13" s="310" t="s">
        <v>544</v>
      </c>
      <c r="C13" s="552"/>
      <c r="D13" s="553">
        <f>C13*'5. RWA'!$C$13</f>
        <v>0</v>
      </c>
    </row>
    <row r="14" spans="1:4" s="313" customFormat="1">
      <c r="A14" s="304" t="s">
        <v>545</v>
      </c>
      <c r="B14" s="305" t="s">
        <v>600</v>
      </c>
      <c r="C14" s="554"/>
      <c r="D14" s="551"/>
    </row>
    <row r="15" spans="1:4" s="313" customFormat="1">
      <c r="A15" s="323" t="s">
        <v>548</v>
      </c>
      <c r="B15" s="310" t="s">
        <v>601</v>
      </c>
      <c r="C15" s="552">
        <v>3.5128869722028201E-2</v>
      </c>
      <c r="D15" s="553">
        <f>C15*'5. RWA'!$C$13</f>
        <v>45637445.464723676</v>
      </c>
    </row>
    <row r="16" spans="1:4" s="313" customFormat="1">
      <c r="A16" s="323" t="s">
        <v>549</v>
      </c>
      <c r="B16" s="310" t="s">
        <v>551</v>
      </c>
      <c r="C16" s="552">
        <v>4.6912480042465503E-2</v>
      </c>
      <c r="D16" s="553">
        <f>C16*'5. RWA'!$C$13</f>
        <v>60946047.125746995</v>
      </c>
    </row>
    <row r="17" spans="1:4" s="313" customFormat="1">
      <c r="A17" s="323" t="s">
        <v>550</v>
      </c>
      <c r="B17" s="310" t="s">
        <v>598</v>
      </c>
      <c r="C17" s="552">
        <v>9.785959166883941E-2</v>
      </c>
      <c r="D17" s="553">
        <f>C17*'5. RWA'!$C$13</f>
        <v>127133659.95906952</v>
      </c>
    </row>
    <row r="18" spans="1:4" s="60" customFormat="1">
      <c r="A18" s="704" t="s">
        <v>599</v>
      </c>
      <c r="B18" s="705"/>
      <c r="C18" s="356" t="s">
        <v>529</v>
      </c>
      <c r="D18" s="555" t="s">
        <v>530</v>
      </c>
    </row>
    <row r="19" spans="1:4" s="313" customFormat="1">
      <c r="A19" s="311">
        <v>4</v>
      </c>
      <c r="B19" s="310" t="s">
        <v>23</v>
      </c>
      <c r="C19" s="552">
        <f>C7+C11+C12+C13+C15</f>
        <v>0.1051288697220282</v>
      </c>
      <c r="D19" s="549">
        <f>C19*'5. RWA'!$C$13</f>
        <v>136577495.8508997</v>
      </c>
    </row>
    <row r="20" spans="1:4" s="313" customFormat="1">
      <c r="A20" s="311">
        <v>5</v>
      </c>
      <c r="B20" s="310" t="s">
        <v>89</v>
      </c>
      <c r="C20" s="552">
        <f>C8+C11+C12+C13+C16</f>
        <v>0.1319124800424655</v>
      </c>
      <c r="D20" s="549">
        <f>C20*'5. RWA'!$C$13</f>
        <v>171373251.16610357</v>
      </c>
    </row>
    <row r="21" spans="1:4" s="313" customFormat="1" ht="13.5" thickBot="1">
      <c r="A21" s="315" t="s">
        <v>546</v>
      </c>
      <c r="B21" s="316" t="s">
        <v>88</v>
      </c>
      <c r="C21" s="556">
        <f>C9+C11+C12+C13+C17</f>
        <v>0.20285959166883943</v>
      </c>
      <c r="D21" s="557">
        <f>C21*'5. RWA'!$C$13</f>
        <v>263543735.53833356</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10.7109375" style="61" customWidth="1"/>
    <col min="2" max="2" width="91.7109375" style="61" customWidth="1"/>
    <col min="3" max="3" width="53.28515625" style="61" customWidth="1"/>
    <col min="4" max="4" width="32.2851562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390">
        <f>'1. key ratios'!B2</f>
        <v>44561</v>
      </c>
    </row>
    <row r="3" spans="1:6" s="14" customFormat="1" ht="15.75" customHeight="1">
      <c r="A3" s="21"/>
    </row>
    <row r="4" spans="1:6" s="14" customFormat="1" ht="15.75" customHeight="1" thickBot="1">
      <c r="A4" s="14" t="s">
        <v>414</v>
      </c>
      <c r="B4" s="186" t="s">
        <v>269</v>
      </c>
      <c r="D4" s="188" t="s">
        <v>93</v>
      </c>
    </row>
    <row r="5" spans="1:6" ht="38.25">
      <c r="A5" s="139" t="s">
        <v>26</v>
      </c>
      <c r="B5" s="140" t="s">
        <v>231</v>
      </c>
      <c r="C5" s="141" t="s">
        <v>237</v>
      </c>
      <c r="D5" s="187" t="s">
        <v>270</v>
      </c>
    </row>
    <row r="6" spans="1:6">
      <c r="A6" s="558">
        <v>1</v>
      </c>
      <c r="B6" s="559" t="s">
        <v>154</v>
      </c>
      <c r="C6" s="560">
        <f>'2. RC'!E7</f>
        <v>26986427</v>
      </c>
      <c r="D6" s="561"/>
      <c r="E6" s="5"/>
    </row>
    <row r="7" spans="1:6">
      <c r="A7" s="558">
        <v>2</v>
      </c>
      <c r="B7" s="76" t="s">
        <v>155</v>
      </c>
      <c r="C7" s="230">
        <f>'2. RC'!E8</f>
        <v>203907519</v>
      </c>
      <c r="D7" s="130"/>
      <c r="E7" s="5"/>
    </row>
    <row r="8" spans="1:6">
      <c r="A8" s="558">
        <v>3</v>
      </c>
      <c r="B8" s="76" t="s">
        <v>156</v>
      </c>
      <c r="C8" s="230">
        <f>'2. RC'!E9</f>
        <v>53942316</v>
      </c>
      <c r="D8" s="130"/>
      <c r="E8" s="5"/>
    </row>
    <row r="9" spans="1:6">
      <c r="A9" s="558">
        <v>4</v>
      </c>
      <c r="B9" s="76" t="s">
        <v>185</v>
      </c>
      <c r="C9" s="230">
        <f>'2. RC'!E10</f>
        <v>0</v>
      </c>
      <c r="D9" s="130"/>
      <c r="E9" s="5"/>
    </row>
    <row r="10" spans="1:6">
      <c r="A10" s="558">
        <v>5</v>
      </c>
      <c r="B10" s="76" t="s">
        <v>157</v>
      </c>
      <c r="C10" s="230">
        <f>'2. RC'!E11-C11</f>
        <v>50022340</v>
      </c>
      <c r="D10" s="130"/>
      <c r="E10" s="5"/>
    </row>
    <row r="11" spans="1:6">
      <c r="A11" s="558">
        <v>5.0999999999999996</v>
      </c>
      <c r="B11" s="562" t="s">
        <v>982</v>
      </c>
      <c r="C11" s="563">
        <v>-369760</v>
      </c>
      <c r="D11" s="212" t="s">
        <v>983</v>
      </c>
      <c r="E11" s="6"/>
    </row>
    <row r="12" spans="1:6">
      <c r="A12" s="558">
        <v>5.2</v>
      </c>
      <c r="B12" s="564" t="s">
        <v>984</v>
      </c>
      <c r="C12" s="563">
        <f>C10+C11</f>
        <v>49652580</v>
      </c>
      <c r="D12" s="131"/>
      <c r="E12" s="6"/>
    </row>
    <row r="13" spans="1:6">
      <c r="A13" s="558">
        <v>6.1</v>
      </c>
      <c r="B13" s="76" t="s">
        <v>158</v>
      </c>
      <c r="C13" s="231">
        <f>'2. RC'!E12</f>
        <v>965168857</v>
      </c>
      <c r="D13" s="131"/>
      <c r="E13" s="6"/>
    </row>
    <row r="14" spans="1:6">
      <c r="A14" s="558">
        <v>6.2</v>
      </c>
      <c r="B14" s="77" t="s">
        <v>159</v>
      </c>
      <c r="C14" s="231">
        <v>-159165792</v>
      </c>
      <c r="D14" s="131"/>
      <c r="E14" s="6"/>
    </row>
    <row r="15" spans="1:6">
      <c r="A15" s="558" t="s">
        <v>487</v>
      </c>
      <c r="B15" s="78" t="s">
        <v>488</v>
      </c>
      <c r="C15" s="231">
        <v>-11534117</v>
      </c>
      <c r="D15" s="212" t="s">
        <v>983</v>
      </c>
      <c r="E15" s="5"/>
    </row>
    <row r="16" spans="1:6">
      <c r="A16" s="558" t="s">
        <v>622</v>
      </c>
      <c r="B16" s="78" t="s">
        <v>611</v>
      </c>
      <c r="C16" s="231">
        <v>0</v>
      </c>
      <c r="D16" s="131"/>
      <c r="E16" s="5"/>
    </row>
    <row r="17" spans="1:5">
      <c r="A17" s="558">
        <v>6</v>
      </c>
      <c r="B17" s="76" t="s">
        <v>160</v>
      </c>
      <c r="C17" s="237">
        <f>C13+C14</f>
        <v>806003065</v>
      </c>
      <c r="D17" s="131"/>
      <c r="E17" s="5"/>
    </row>
    <row r="18" spans="1:5">
      <c r="A18" s="558">
        <v>7</v>
      </c>
      <c r="B18" s="76" t="s">
        <v>161</v>
      </c>
      <c r="C18" s="230">
        <f>'2. RC'!E15</f>
        <v>20136682</v>
      </c>
      <c r="D18" s="130"/>
      <c r="E18" s="5"/>
    </row>
    <row r="19" spans="1:5">
      <c r="A19" s="558">
        <v>8</v>
      </c>
      <c r="B19" s="76" t="s">
        <v>162</v>
      </c>
      <c r="C19" s="230">
        <f>'2. RC'!E16</f>
        <v>15691955</v>
      </c>
      <c r="D19" s="130"/>
      <c r="E19" s="5"/>
    </row>
    <row r="20" spans="1:5">
      <c r="A20" s="558">
        <v>9</v>
      </c>
      <c r="B20" s="76" t="s">
        <v>163</v>
      </c>
      <c r="C20" s="230">
        <f>SUM(C22:C25)</f>
        <v>7793239</v>
      </c>
      <c r="D20" s="130"/>
      <c r="E20" s="5"/>
    </row>
    <row r="21" spans="1:5">
      <c r="A21" s="558">
        <v>9.1</v>
      </c>
      <c r="B21" s="78" t="s">
        <v>246</v>
      </c>
      <c r="C21" s="231"/>
      <c r="D21" s="130"/>
      <c r="E21" s="5"/>
    </row>
    <row r="22" spans="1:5">
      <c r="A22" s="558">
        <v>9.1999999999999993</v>
      </c>
      <c r="B22" s="78" t="s">
        <v>236</v>
      </c>
      <c r="C22" s="231">
        <v>9372300</v>
      </c>
      <c r="D22" s="130"/>
      <c r="E22" s="5"/>
    </row>
    <row r="23" spans="1:5">
      <c r="A23" s="558">
        <v>9.3000000000000007</v>
      </c>
      <c r="B23" s="562" t="s">
        <v>985</v>
      </c>
      <c r="C23" s="565">
        <v>-1634921</v>
      </c>
      <c r="E23" s="5"/>
    </row>
    <row r="24" spans="1:5">
      <c r="A24" s="558">
        <v>9.4</v>
      </c>
      <c r="B24" s="78" t="s">
        <v>235</v>
      </c>
      <c r="C24" s="231">
        <v>57000</v>
      </c>
      <c r="D24" s="130"/>
      <c r="E24" s="5"/>
    </row>
    <row r="25" spans="1:5">
      <c r="A25" s="558">
        <v>9.5</v>
      </c>
      <c r="B25" s="562" t="s">
        <v>986</v>
      </c>
      <c r="C25" s="565">
        <v>-1140</v>
      </c>
      <c r="D25" s="212" t="s">
        <v>983</v>
      </c>
      <c r="E25" s="4"/>
    </row>
    <row r="26" spans="1:5">
      <c r="A26" s="558">
        <v>10</v>
      </c>
      <c r="B26" s="76" t="s">
        <v>164</v>
      </c>
      <c r="C26" s="230">
        <f>'2. RC'!E18</f>
        <v>20363424</v>
      </c>
      <c r="D26" s="130"/>
      <c r="E26" s="5"/>
    </row>
    <row r="27" spans="1:5">
      <c r="A27" s="558">
        <v>10.1</v>
      </c>
      <c r="B27" s="78" t="s">
        <v>234</v>
      </c>
      <c r="C27" s="230">
        <f>'9. Capital'!C15</f>
        <v>3903149</v>
      </c>
      <c r="D27" s="212" t="s">
        <v>440</v>
      </c>
      <c r="E27" s="5"/>
    </row>
    <row r="28" spans="1:5">
      <c r="A28" s="558">
        <v>11</v>
      </c>
      <c r="B28" s="79" t="s">
        <v>165</v>
      </c>
      <c r="C28" s="232">
        <f>'2. RC'!E19-C30-C31</f>
        <v>21153823</v>
      </c>
      <c r="D28" s="132"/>
      <c r="E28" s="5"/>
    </row>
    <row r="29" spans="1:5">
      <c r="A29" s="558">
        <v>11.1</v>
      </c>
      <c r="B29" s="566" t="s">
        <v>987</v>
      </c>
      <c r="C29" s="567">
        <f>'9. Capital'!C20</f>
        <v>0</v>
      </c>
      <c r="D29" s="212" t="s">
        <v>988</v>
      </c>
      <c r="E29" s="5"/>
    </row>
    <row r="30" spans="1:5">
      <c r="A30" s="558">
        <v>11.2</v>
      </c>
      <c r="B30" s="562" t="s">
        <v>989</v>
      </c>
      <c r="C30" s="565">
        <v>0</v>
      </c>
      <c r="D30" s="212" t="s">
        <v>983</v>
      </c>
      <c r="E30" s="5"/>
    </row>
    <row r="31" spans="1:5">
      <c r="A31" s="558">
        <v>11.3</v>
      </c>
      <c r="B31" s="562" t="s">
        <v>990</v>
      </c>
      <c r="C31" s="565">
        <v>-1739723</v>
      </c>
      <c r="D31" s="130"/>
      <c r="E31" s="5"/>
    </row>
    <row r="32" spans="1:5">
      <c r="A32" s="558"/>
      <c r="B32" s="79" t="s">
        <v>991</v>
      </c>
      <c r="C32" s="568">
        <f>SUM(C28,C30:C31)</f>
        <v>19414100</v>
      </c>
      <c r="D32" s="135"/>
      <c r="E32" s="5"/>
    </row>
    <row r="33" spans="1:5">
      <c r="A33" s="558">
        <v>12</v>
      </c>
      <c r="B33" s="81" t="s">
        <v>166</v>
      </c>
      <c r="C33" s="233">
        <f>SUM(C6:C9,C12,C17:C20,C26,C32)</f>
        <v>1223891307</v>
      </c>
      <c r="D33" s="133"/>
      <c r="E33" s="5"/>
    </row>
    <row r="34" spans="1:5">
      <c r="A34" s="558">
        <v>13</v>
      </c>
      <c r="B34" s="76" t="s">
        <v>167</v>
      </c>
      <c r="C34" s="234">
        <f>'2. RC'!E22</f>
        <v>162283</v>
      </c>
      <c r="D34" s="134"/>
      <c r="E34" s="5"/>
    </row>
    <row r="35" spans="1:5">
      <c r="A35" s="558">
        <v>14</v>
      </c>
      <c r="B35" s="76" t="s">
        <v>168</v>
      </c>
      <c r="C35" s="230">
        <f>'2. RC'!E23</f>
        <v>317377486</v>
      </c>
      <c r="D35" s="130"/>
      <c r="E35" s="5"/>
    </row>
    <row r="36" spans="1:5">
      <c r="A36" s="558">
        <v>15</v>
      </c>
      <c r="B36" s="76" t="s">
        <v>169</v>
      </c>
      <c r="C36" s="230">
        <f>'2. RC'!E24</f>
        <v>58791108</v>
      </c>
      <c r="D36" s="130"/>
      <c r="E36" s="5"/>
    </row>
    <row r="37" spans="1:5">
      <c r="A37" s="558">
        <v>16</v>
      </c>
      <c r="B37" s="76" t="s">
        <v>170</v>
      </c>
      <c r="C37" s="230">
        <f>'2. RC'!E25</f>
        <v>498156601</v>
      </c>
      <c r="D37" s="130"/>
      <c r="E37" s="4"/>
    </row>
    <row r="38" spans="1:5">
      <c r="A38" s="558">
        <v>17</v>
      </c>
      <c r="B38" s="76" t="s">
        <v>171</v>
      </c>
      <c r="C38" s="230">
        <f>'2. RC'!E26</f>
        <v>0</v>
      </c>
      <c r="D38" s="130"/>
      <c r="E38" s="5"/>
    </row>
    <row r="39" spans="1:5">
      <c r="A39" s="558">
        <v>18</v>
      </c>
      <c r="B39" s="76" t="s">
        <v>172</v>
      </c>
      <c r="C39" s="230">
        <f>'2. RC'!E27</f>
        <v>0</v>
      </c>
      <c r="D39" s="130"/>
      <c r="E39" s="5"/>
    </row>
    <row r="40" spans="1:5">
      <c r="A40" s="558">
        <v>19</v>
      </c>
      <c r="B40" s="76" t="s">
        <v>173</v>
      </c>
      <c r="C40" s="230">
        <f>'2. RC'!E28</f>
        <v>13847323</v>
      </c>
      <c r="D40" s="130"/>
      <c r="E40" s="5"/>
    </row>
    <row r="41" spans="1:5">
      <c r="A41" s="558">
        <v>20</v>
      </c>
      <c r="B41" s="76" t="s">
        <v>95</v>
      </c>
      <c r="C41" s="230">
        <f>'2. RC'!E29</f>
        <v>21607068</v>
      </c>
      <c r="D41" s="130"/>
      <c r="E41" s="5"/>
    </row>
    <row r="42" spans="1:5">
      <c r="A42" s="558">
        <v>20.100000000000001</v>
      </c>
      <c r="B42" s="80" t="s">
        <v>486</v>
      </c>
      <c r="C42" s="232">
        <v>446299</v>
      </c>
      <c r="D42" s="212" t="s">
        <v>983</v>
      </c>
      <c r="E42" s="5"/>
    </row>
    <row r="43" spans="1:5">
      <c r="A43" s="558">
        <v>21</v>
      </c>
      <c r="B43" s="79" t="s">
        <v>174</v>
      </c>
      <c r="C43" s="232">
        <f>'2. RC'!E30</f>
        <v>120806400</v>
      </c>
      <c r="D43" s="130"/>
      <c r="E43" s="5"/>
    </row>
    <row r="44" spans="1:5">
      <c r="A44" s="558">
        <v>21.1</v>
      </c>
      <c r="B44" s="80" t="s">
        <v>233</v>
      </c>
      <c r="C44" s="235">
        <f>C43-'9. Capital'!C33</f>
        <v>37171200</v>
      </c>
      <c r="D44" s="212" t="s">
        <v>992</v>
      </c>
      <c r="E44" s="5"/>
    </row>
    <row r="45" spans="1:5">
      <c r="A45" s="558">
        <v>22</v>
      </c>
      <c r="B45" s="81" t="s">
        <v>175</v>
      </c>
      <c r="C45" s="233">
        <f>SUM(C34:C41,C43)</f>
        <v>1030748269</v>
      </c>
      <c r="D45" s="133"/>
      <c r="E45" s="4"/>
    </row>
    <row r="46" spans="1:5">
      <c r="A46" s="558">
        <v>23</v>
      </c>
      <c r="B46" s="79" t="s">
        <v>176</v>
      </c>
      <c r="C46" s="230">
        <f>'2. RC'!E33</f>
        <v>114430000</v>
      </c>
      <c r="D46" s="212" t="s">
        <v>993</v>
      </c>
    </row>
    <row r="47" spans="1:5">
      <c r="A47" s="558">
        <v>24</v>
      </c>
      <c r="B47" s="79" t="s">
        <v>177</v>
      </c>
      <c r="C47" s="230">
        <f>'2. RC'!E34</f>
        <v>0</v>
      </c>
      <c r="D47" s="130"/>
    </row>
    <row r="48" spans="1:5">
      <c r="A48" s="558">
        <v>25</v>
      </c>
      <c r="B48" s="79" t="s">
        <v>232</v>
      </c>
      <c r="C48" s="230">
        <f>'2. RC'!E35</f>
        <v>0</v>
      </c>
      <c r="D48" s="130"/>
    </row>
    <row r="49" spans="1:4">
      <c r="A49" s="558">
        <v>26</v>
      </c>
      <c r="B49" s="79" t="s">
        <v>179</v>
      </c>
      <c r="C49" s="230">
        <f>'2. RC'!E36</f>
        <v>0</v>
      </c>
      <c r="D49" s="130"/>
    </row>
    <row r="50" spans="1:4">
      <c r="A50" s="558">
        <v>27</v>
      </c>
      <c r="B50" s="79" t="s">
        <v>180</v>
      </c>
      <c r="C50" s="230">
        <f>'2. RC'!E37</f>
        <v>7438034</v>
      </c>
      <c r="D50" s="130"/>
    </row>
    <row r="51" spans="1:4">
      <c r="A51" s="558">
        <v>27.1</v>
      </c>
      <c r="B51" s="566" t="s">
        <v>994</v>
      </c>
      <c r="C51" s="565">
        <v>6838034</v>
      </c>
      <c r="D51" s="212" t="s">
        <v>995</v>
      </c>
    </row>
    <row r="52" spans="1:4">
      <c r="A52" s="558">
        <v>27.2</v>
      </c>
      <c r="B52" s="566" t="s">
        <v>996</v>
      </c>
      <c r="C52" s="565">
        <v>600000</v>
      </c>
      <c r="D52" s="212" t="s">
        <v>995</v>
      </c>
    </row>
    <row r="53" spans="1:4">
      <c r="A53" s="558">
        <v>28</v>
      </c>
      <c r="B53" s="79" t="s">
        <v>181</v>
      </c>
      <c r="C53" s="230">
        <f>'2. RC'!E38</f>
        <v>71407664</v>
      </c>
      <c r="D53" s="212" t="s">
        <v>997</v>
      </c>
    </row>
    <row r="54" spans="1:4">
      <c r="A54" s="558">
        <v>29</v>
      </c>
      <c r="B54" s="79" t="s">
        <v>35</v>
      </c>
      <c r="C54" s="230">
        <f>'2. RC'!E39</f>
        <v>-132660</v>
      </c>
      <c r="D54" s="130"/>
    </row>
    <row r="55" spans="1:4" ht="16.5" thickBot="1">
      <c r="A55" s="136">
        <v>30</v>
      </c>
      <c r="B55" s="137" t="s">
        <v>182</v>
      </c>
      <c r="C55" s="236">
        <f>SUM(C46:C50,C53:C54)</f>
        <v>193143038</v>
      </c>
      <c r="D55" s="1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pane="topRight"/>
      <selection pane="bottomLeft"/>
      <selection pane="bottomRight"/>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390">
        <f>'1. key ratios'!B2</f>
        <v>44561</v>
      </c>
    </row>
    <row r="4" spans="1:19" ht="26.25" thickBot="1">
      <c r="A4" s="60" t="s">
        <v>415</v>
      </c>
      <c r="B4" s="255"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50" t="s">
        <v>447</v>
      </c>
      <c r="S5" s="106" t="s">
        <v>448</v>
      </c>
    </row>
    <row r="6" spans="1:19" ht="46.5" customHeight="1">
      <c r="A6" s="142"/>
      <c r="B6" s="710" t="s">
        <v>449</v>
      </c>
      <c r="C6" s="708">
        <v>0</v>
      </c>
      <c r="D6" s="709"/>
      <c r="E6" s="708">
        <v>0.2</v>
      </c>
      <c r="F6" s="709"/>
      <c r="G6" s="708">
        <v>0.35</v>
      </c>
      <c r="H6" s="709"/>
      <c r="I6" s="708">
        <v>0.5</v>
      </c>
      <c r="J6" s="709"/>
      <c r="K6" s="708">
        <v>0.75</v>
      </c>
      <c r="L6" s="709"/>
      <c r="M6" s="708">
        <v>1</v>
      </c>
      <c r="N6" s="709"/>
      <c r="O6" s="708">
        <v>1.5</v>
      </c>
      <c r="P6" s="709"/>
      <c r="Q6" s="708">
        <v>2.5</v>
      </c>
      <c r="R6" s="709"/>
      <c r="S6" s="706" t="s">
        <v>251</v>
      </c>
    </row>
    <row r="7" spans="1:19">
      <c r="A7" s="142"/>
      <c r="B7" s="711"/>
      <c r="C7" s="254" t="s">
        <v>442</v>
      </c>
      <c r="D7" s="254" t="s">
        <v>443</v>
      </c>
      <c r="E7" s="254" t="s">
        <v>442</v>
      </c>
      <c r="F7" s="254" t="s">
        <v>443</v>
      </c>
      <c r="G7" s="254" t="s">
        <v>442</v>
      </c>
      <c r="H7" s="254" t="s">
        <v>443</v>
      </c>
      <c r="I7" s="254" t="s">
        <v>442</v>
      </c>
      <c r="J7" s="254" t="s">
        <v>443</v>
      </c>
      <c r="K7" s="254" t="s">
        <v>442</v>
      </c>
      <c r="L7" s="254" t="s">
        <v>443</v>
      </c>
      <c r="M7" s="254" t="s">
        <v>442</v>
      </c>
      <c r="N7" s="254" t="s">
        <v>443</v>
      </c>
      <c r="O7" s="254" t="s">
        <v>442</v>
      </c>
      <c r="P7" s="254" t="s">
        <v>443</v>
      </c>
      <c r="Q7" s="254" t="s">
        <v>442</v>
      </c>
      <c r="R7" s="254" t="s">
        <v>443</v>
      </c>
      <c r="S7" s="707"/>
    </row>
    <row r="8" spans="1:19">
      <c r="A8" s="109">
        <v>1</v>
      </c>
      <c r="B8" s="163" t="s">
        <v>216</v>
      </c>
      <c r="C8" s="569">
        <v>34333606</v>
      </c>
      <c r="D8" s="569"/>
      <c r="E8" s="569"/>
      <c r="F8" s="570"/>
      <c r="G8" s="569"/>
      <c r="H8" s="569"/>
      <c r="I8" s="569"/>
      <c r="J8" s="569"/>
      <c r="K8" s="569"/>
      <c r="L8" s="569"/>
      <c r="M8" s="569">
        <v>202242638</v>
      </c>
      <c r="N8" s="569"/>
      <c r="O8" s="569"/>
      <c r="P8" s="569"/>
      <c r="Q8" s="569"/>
      <c r="R8" s="570"/>
      <c r="S8" s="571">
        <f>$C$6*SUM(C8:D8)+$E$6*SUM(E8:F8)+$G$6*SUM(G8:H8)+$I$6*SUM(I8:J8)+$K$6*SUM(K8:L8)+$M$6*SUM(M8:N8)+$O$6*SUM(O8:P8)+$Q$6*SUM(Q8:R8)</f>
        <v>202242638</v>
      </c>
    </row>
    <row r="9" spans="1:19">
      <c r="A9" s="109">
        <v>2</v>
      </c>
      <c r="B9" s="163" t="s">
        <v>217</v>
      </c>
      <c r="C9" s="569"/>
      <c r="D9" s="569"/>
      <c r="E9" s="569"/>
      <c r="F9" s="569"/>
      <c r="G9" s="569"/>
      <c r="H9" s="569"/>
      <c r="I9" s="569"/>
      <c r="J9" s="569"/>
      <c r="K9" s="569"/>
      <c r="L9" s="569"/>
      <c r="M9" s="569">
        <v>0</v>
      </c>
      <c r="N9" s="569"/>
      <c r="O9" s="569"/>
      <c r="P9" s="569"/>
      <c r="Q9" s="569"/>
      <c r="R9" s="570"/>
      <c r="S9" s="571">
        <f t="shared" ref="S9:S21" si="0">$C$6*SUM(C9:D9)+$E$6*SUM(E9:F9)+$G$6*SUM(G9:H9)+$I$6*SUM(I9:J9)+$K$6*SUM(K9:L9)+$M$6*SUM(M9:N9)+$O$6*SUM(O9:P9)+$Q$6*SUM(Q9:R9)</f>
        <v>0</v>
      </c>
    </row>
    <row r="10" spans="1:19">
      <c r="A10" s="109">
        <v>3</v>
      </c>
      <c r="B10" s="163" t="s">
        <v>218</v>
      </c>
      <c r="C10" s="569"/>
      <c r="D10" s="569"/>
      <c r="E10" s="569"/>
      <c r="F10" s="569"/>
      <c r="G10" s="569"/>
      <c r="H10" s="569"/>
      <c r="I10" s="569"/>
      <c r="J10" s="569"/>
      <c r="K10" s="569"/>
      <c r="L10" s="569"/>
      <c r="M10" s="569">
        <v>0</v>
      </c>
      <c r="N10" s="569"/>
      <c r="O10" s="569"/>
      <c r="P10" s="569"/>
      <c r="Q10" s="569"/>
      <c r="R10" s="570"/>
      <c r="S10" s="571">
        <f t="shared" si="0"/>
        <v>0</v>
      </c>
    </row>
    <row r="11" spans="1:19">
      <c r="A11" s="109">
        <v>4</v>
      </c>
      <c r="B11" s="163" t="s">
        <v>219</v>
      </c>
      <c r="C11" s="569"/>
      <c r="D11" s="569"/>
      <c r="E11" s="569"/>
      <c r="F11" s="569"/>
      <c r="G11" s="569"/>
      <c r="H11" s="569"/>
      <c r="I11" s="569"/>
      <c r="J11" s="569"/>
      <c r="K11" s="569"/>
      <c r="L11" s="569"/>
      <c r="M11" s="569">
        <v>0</v>
      </c>
      <c r="N11" s="569"/>
      <c r="O11" s="569"/>
      <c r="P11" s="569"/>
      <c r="Q11" s="569"/>
      <c r="R11" s="570"/>
      <c r="S11" s="571">
        <f t="shared" si="0"/>
        <v>0</v>
      </c>
    </row>
    <row r="12" spans="1:19">
      <c r="A12" s="109">
        <v>5</v>
      </c>
      <c r="B12" s="163" t="s">
        <v>220</v>
      </c>
      <c r="C12" s="569"/>
      <c r="D12" s="569"/>
      <c r="E12" s="569"/>
      <c r="F12" s="569"/>
      <c r="G12" s="569"/>
      <c r="H12" s="569"/>
      <c r="I12" s="569"/>
      <c r="J12" s="569"/>
      <c r="K12" s="569"/>
      <c r="L12" s="569"/>
      <c r="M12" s="569">
        <v>0</v>
      </c>
      <c r="N12" s="569"/>
      <c r="O12" s="569"/>
      <c r="P12" s="569"/>
      <c r="Q12" s="569"/>
      <c r="R12" s="570"/>
      <c r="S12" s="571">
        <f t="shared" si="0"/>
        <v>0</v>
      </c>
    </row>
    <row r="13" spans="1:19">
      <c r="A13" s="109">
        <v>6</v>
      </c>
      <c r="B13" s="163" t="s">
        <v>221</v>
      </c>
      <c r="C13" s="569">
        <v>0</v>
      </c>
      <c r="D13" s="569"/>
      <c r="E13" s="569">
        <v>22143110.460000001</v>
      </c>
      <c r="F13" s="569"/>
      <c r="G13" s="569"/>
      <c r="H13" s="569"/>
      <c r="I13" s="569">
        <v>31649213.75999999</v>
      </c>
      <c r="J13" s="569"/>
      <c r="K13" s="569"/>
      <c r="L13" s="569"/>
      <c r="M13" s="569">
        <v>149991.78000000864</v>
      </c>
      <c r="N13" s="569"/>
      <c r="O13" s="569">
        <v>0</v>
      </c>
      <c r="P13" s="569"/>
      <c r="Q13" s="569"/>
      <c r="R13" s="570"/>
      <c r="S13" s="571">
        <f t="shared" si="0"/>
        <v>20403220.752000004</v>
      </c>
    </row>
    <row r="14" spans="1:19">
      <c r="A14" s="109">
        <v>7</v>
      </c>
      <c r="B14" s="163" t="s">
        <v>73</v>
      </c>
      <c r="C14" s="569"/>
      <c r="D14" s="569"/>
      <c r="E14" s="569"/>
      <c r="F14" s="569"/>
      <c r="G14" s="569"/>
      <c r="H14" s="569"/>
      <c r="I14" s="569"/>
      <c r="J14" s="569"/>
      <c r="K14" s="569"/>
      <c r="L14" s="569"/>
      <c r="M14" s="569">
        <v>725846273.51024318</v>
      </c>
      <c r="N14" s="569">
        <v>33068063.937791999</v>
      </c>
      <c r="O14" s="569">
        <v>0</v>
      </c>
      <c r="P14" s="569"/>
      <c r="Q14" s="569">
        <v>0</v>
      </c>
      <c r="R14" s="570">
        <v>0</v>
      </c>
      <c r="S14" s="571">
        <f t="shared" si="0"/>
        <v>758914337.44803512</v>
      </c>
    </row>
    <row r="15" spans="1:19">
      <c r="A15" s="109">
        <v>8</v>
      </c>
      <c r="B15" s="163" t="s">
        <v>74</v>
      </c>
      <c r="C15" s="569"/>
      <c r="D15" s="569"/>
      <c r="E15" s="569"/>
      <c r="F15" s="569"/>
      <c r="G15" s="569"/>
      <c r="H15" s="569"/>
      <c r="I15" s="569"/>
      <c r="J15" s="569"/>
      <c r="K15" s="569"/>
      <c r="L15" s="569"/>
      <c r="M15" s="569"/>
      <c r="N15" s="569"/>
      <c r="O15" s="569"/>
      <c r="P15" s="569"/>
      <c r="Q15" s="569"/>
      <c r="R15" s="570"/>
      <c r="S15" s="571">
        <f t="shared" si="0"/>
        <v>0</v>
      </c>
    </row>
    <row r="16" spans="1:19">
      <c r="A16" s="109">
        <v>9</v>
      </c>
      <c r="B16" s="163" t="s">
        <v>75</v>
      </c>
      <c r="C16" s="569"/>
      <c r="D16" s="569"/>
      <c r="E16" s="569"/>
      <c r="F16" s="569"/>
      <c r="G16" s="569"/>
      <c r="H16" s="569"/>
      <c r="I16" s="569"/>
      <c r="J16" s="569"/>
      <c r="K16" s="569"/>
      <c r="L16" s="569"/>
      <c r="M16" s="569">
        <v>0</v>
      </c>
      <c r="N16" s="569"/>
      <c r="O16" s="569"/>
      <c r="P16" s="569"/>
      <c r="Q16" s="569"/>
      <c r="R16" s="570"/>
      <c r="S16" s="571">
        <f t="shared" si="0"/>
        <v>0</v>
      </c>
    </row>
    <row r="17" spans="1:19">
      <c r="A17" s="109">
        <v>10</v>
      </c>
      <c r="B17" s="163" t="s">
        <v>69</v>
      </c>
      <c r="C17" s="569"/>
      <c r="D17" s="569"/>
      <c r="E17" s="569"/>
      <c r="F17" s="569"/>
      <c r="G17" s="569"/>
      <c r="H17" s="569"/>
      <c r="I17" s="569"/>
      <c r="J17" s="569"/>
      <c r="K17" s="569"/>
      <c r="L17" s="569"/>
      <c r="M17" s="569">
        <v>105427669.17196693</v>
      </c>
      <c r="N17" s="569">
        <v>207760.01000000536</v>
      </c>
      <c r="O17" s="569">
        <v>0</v>
      </c>
      <c r="P17" s="569"/>
      <c r="Q17" s="569">
        <v>0</v>
      </c>
      <c r="R17" s="570"/>
      <c r="S17" s="571">
        <f t="shared" si="0"/>
        <v>105635429.18196693</v>
      </c>
    </row>
    <row r="18" spans="1:19">
      <c r="A18" s="109">
        <v>11</v>
      </c>
      <c r="B18" s="163" t="s">
        <v>70</v>
      </c>
      <c r="C18" s="569"/>
      <c r="D18" s="569"/>
      <c r="E18" s="569"/>
      <c r="F18" s="569"/>
      <c r="G18" s="569"/>
      <c r="H18" s="569"/>
      <c r="I18" s="569"/>
      <c r="J18" s="569"/>
      <c r="K18" s="569"/>
      <c r="L18" s="569"/>
      <c r="M18" s="569">
        <v>0</v>
      </c>
      <c r="N18" s="569"/>
      <c r="O18" s="569"/>
      <c r="P18" s="569"/>
      <c r="Q18" s="569"/>
      <c r="R18" s="570"/>
      <c r="S18" s="571">
        <f t="shared" si="0"/>
        <v>0</v>
      </c>
    </row>
    <row r="19" spans="1:19">
      <c r="A19" s="109">
        <v>12</v>
      </c>
      <c r="B19" s="163" t="s">
        <v>71</v>
      </c>
      <c r="C19" s="569"/>
      <c r="D19" s="569"/>
      <c r="E19" s="569"/>
      <c r="F19" s="569"/>
      <c r="G19" s="569"/>
      <c r="H19" s="569"/>
      <c r="I19" s="569"/>
      <c r="J19" s="569"/>
      <c r="K19" s="569"/>
      <c r="L19" s="569"/>
      <c r="M19" s="569">
        <v>0</v>
      </c>
      <c r="N19" s="569"/>
      <c r="O19" s="569"/>
      <c r="P19" s="569"/>
      <c r="Q19" s="569"/>
      <c r="R19" s="570"/>
      <c r="S19" s="571">
        <f t="shared" si="0"/>
        <v>0</v>
      </c>
    </row>
    <row r="20" spans="1:19">
      <c r="A20" s="109">
        <v>13</v>
      </c>
      <c r="B20" s="163" t="s">
        <v>72</v>
      </c>
      <c r="C20" s="569"/>
      <c r="D20" s="569"/>
      <c r="E20" s="569"/>
      <c r="F20" s="569"/>
      <c r="G20" s="569"/>
      <c r="H20" s="569"/>
      <c r="I20" s="569"/>
      <c r="J20" s="569"/>
      <c r="K20" s="569"/>
      <c r="L20" s="569"/>
      <c r="M20" s="569">
        <v>0</v>
      </c>
      <c r="N20" s="569"/>
      <c r="O20" s="569"/>
      <c r="P20" s="569"/>
      <c r="Q20" s="569"/>
      <c r="R20" s="570"/>
      <c r="S20" s="571">
        <f t="shared" si="0"/>
        <v>0</v>
      </c>
    </row>
    <row r="21" spans="1:19">
      <c r="A21" s="109">
        <v>14</v>
      </c>
      <c r="B21" s="163" t="s">
        <v>249</v>
      </c>
      <c r="C21" s="569">
        <v>29881416</v>
      </c>
      <c r="D21" s="569"/>
      <c r="E21" s="569">
        <v>0</v>
      </c>
      <c r="F21" s="569"/>
      <c r="G21" s="569"/>
      <c r="H21" s="569">
        <v>0</v>
      </c>
      <c r="I21" s="569">
        <v>0</v>
      </c>
      <c r="J21" s="569"/>
      <c r="K21" s="569"/>
      <c r="L21" s="569"/>
      <c r="M21" s="569">
        <v>64190842.462004989</v>
      </c>
      <c r="N21" s="569">
        <v>1352359.6899499914</v>
      </c>
      <c r="O21" s="569">
        <v>0</v>
      </c>
      <c r="P21" s="569"/>
      <c r="Q21" s="569">
        <v>16161063</v>
      </c>
      <c r="R21" s="570"/>
      <c r="S21" s="571">
        <f t="shared" si="0"/>
        <v>105945859.65195498</v>
      </c>
    </row>
    <row r="22" spans="1:19" ht="13.5" thickBot="1">
      <c r="A22" s="92"/>
      <c r="B22" s="147" t="s">
        <v>68</v>
      </c>
      <c r="C22" s="238">
        <f>SUM(C8:C21)</f>
        <v>64215022</v>
      </c>
      <c r="D22" s="238">
        <f t="shared" ref="D22:S22" si="1">SUM(D8:D21)</f>
        <v>0</v>
      </c>
      <c r="E22" s="238">
        <f t="shared" si="1"/>
        <v>22143110.460000001</v>
      </c>
      <c r="F22" s="238">
        <f t="shared" si="1"/>
        <v>0</v>
      </c>
      <c r="G22" s="238">
        <f t="shared" si="1"/>
        <v>0</v>
      </c>
      <c r="H22" s="238">
        <f t="shared" si="1"/>
        <v>0</v>
      </c>
      <c r="I22" s="238">
        <f t="shared" si="1"/>
        <v>31649213.75999999</v>
      </c>
      <c r="J22" s="238">
        <f t="shared" si="1"/>
        <v>0</v>
      </c>
      <c r="K22" s="238">
        <f t="shared" si="1"/>
        <v>0</v>
      </c>
      <c r="L22" s="238">
        <f t="shared" si="1"/>
        <v>0</v>
      </c>
      <c r="M22" s="238">
        <f t="shared" si="1"/>
        <v>1097857414.9242151</v>
      </c>
      <c r="N22" s="238">
        <f t="shared" si="1"/>
        <v>34628183.637741998</v>
      </c>
      <c r="O22" s="238">
        <f t="shared" si="1"/>
        <v>0</v>
      </c>
      <c r="P22" s="238">
        <f t="shared" si="1"/>
        <v>0</v>
      </c>
      <c r="Q22" s="238">
        <f t="shared" si="1"/>
        <v>16161063</v>
      </c>
      <c r="R22" s="238">
        <f t="shared" si="1"/>
        <v>0</v>
      </c>
      <c r="S22" s="572">
        <f t="shared" si="1"/>
        <v>1193141485.033957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R10" activePane="bottomRight" state="frozen"/>
      <selection activeCell="G22" sqref="G22"/>
      <selection pane="topRight" activeCell="G22" sqref="G22"/>
      <selection pane="bottomLeft" activeCell="G22" sqref="G22"/>
      <selection pane="bottomRight" activeCell="V21" sqref="V21"/>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390">
        <f>'1. key ratios'!B2</f>
        <v>44561</v>
      </c>
    </row>
    <row r="4" spans="1:22" ht="27.75" thickBot="1">
      <c r="A4" s="1" t="s">
        <v>416</v>
      </c>
      <c r="B4" s="255" t="s">
        <v>458</v>
      </c>
      <c r="V4" s="188" t="s">
        <v>93</v>
      </c>
    </row>
    <row r="5" spans="1:22">
      <c r="A5" s="90"/>
      <c r="B5" s="91"/>
      <c r="C5" s="712" t="s">
        <v>198</v>
      </c>
      <c r="D5" s="713"/>
      <c r="E5" s="713"/>
      <c r="F5" s="713"/>
      <c r="G5" s="713"/>
      <c r="H5" s="713"/>
      <c r="I5" s="713"/>
      <c r="J5" s="713"/>
      <c r="K5" s="713"/>
      <c r="L5" s="714"/>
      <c r="M5" s="712" t="s">
        <v>199</v>
      </c>
      <c r="N5" s="713"/>
      <c r="O5" s="713"/>
      <c r="P5" s="713"/>
      <c r="Q5" s="713"/>
      <c r="R5" s="713"/>
      <c r="S5" s="714"/>
      <c r="T5" s="717" t="s">
        <v>456</v>
      </c>
      <c r="U5" s="717" t="s">
        <v>455</v>
      </c>
      <c r="V5" s="715" t="s">
        <v>200</v>
      </c>
    </row>
    <row r="6" spans="1:22" s="60" customFormat="1" ht="127.5">
      <c r="A6" s="107"/>
      <c r="B6" s="165"/>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18"/>
      <c r="U6" s="718"/>
      <c r="V6" s="716"/>
    </row>
    <row r="7" spans="1:22">
      <c r="A7" s="146">
        <v>1</v>
      </c>
      <c r="B7" s="145" t="s">
        <v>216</v>
      </c>
      <c r="C7" s="573"/>
      <c r="D7" s="569"/>
      <c r="E7" s="569"/>
      <c r="F7" s="569"/>
      <c r="G7" s="569"/>
      <c r="H7" s="569"/>
      <c r="I7" s="569"/>
      <c r="J7" s="569"/>
      <c r="K7" s="569"/>
      <c r="L7" s="574"/>
      <c r="M7" s="573"/>
      <c r="N7" s="569"/>
      <c r="O7" s="569"/>
      <c r="P7" s="569"/>
      <c r="Q7" s="569"/>
      <c r="R7" s="569"/>
      <c r="S7" s="574"/>
      <c r="T7" s="252"/>
      <c r="U7" s="575"/>
      <c r="V7" s="576">
        <f>SUM(C7:S7)</f>
        <v>0</v>
      </c>
    </row>
    <row r="8" spans="1:22">
      <c r="A8" s="146">
        <v>2</v>
      </c>
      <c r="B8" s="145" t="s">
        <v>217</v>
      </c>
      <c r="C8" s="573"/>
      <c r="D8" s="569"/>
      <c r="E8" s="569"/>
      <c r="F8" s="569"/>
      <c r="G8" s="569"/>
      <c r="H8" s="569"/>
      <c r="I8" s="569"/>
      <c r="J8" s="569"/>
      <c r="K8" s="569"/>
      <c r="L8" s="574"/>
      <c r="M8" s="573"/>
      <c r="N8" s="569"/>
      <c r="O8" s="569"/>
      <c r="P8" s="569"/>
      <c r="Q8" s="569"/>
      <c r="R8" s="569"/>
      <c r="S8" s="574"/>
      <c r="T8" s="575"/>
      <c r="U8" s="575"/>
      <c r="V8" s="576">
        <f t="shared" ref="V8:V20" si="0">SUM(C8:S8)</f>
        <v>0</v>
      </c>
    </row>
    <row r="9" spans="1:22">
      <c r="A9" s="146">
        <v>3</v>
      </c>
      <c r="B9" s="145" t="s">
        <v>218</v>
      </c>
      <c r="C9" s="573"/>
      <c r="D9" s="569"/>
      <c r="E9" s="569"/>
      <c r="F9" s="569"/>
      <c r="G9" s="569"/>
      <c r="H9" s="569"/>
      <c r="I9" s="569"/>
      <c r="J9" s="569"/>
      <c r="K9" s="569"/>
      <c r="L9" s="574"/>
      <c r="M9" s="573"/>
      <c r="N9" s="569"/>
      <c r="O9" s="569"/>
      <c r="P9" s="569"/>
      <c r="Q9" s="569"/>
      <c r="R9" s="569"/>
      <c r="S9" s="574"/>
      <c r="T9" s="575"/>
      <c r="U9" s="575"/>
      <c r="V9" s="576">
        <f>SUM(C9:S9)</f>
        <v>0</v>
      </c>
    </row>
    <row r="10" spans="1:22">
      <c r="A10" s="146">
        <v>4</v>
      </c>
      <c r="B10" s="145" t="s">
        <v>219</v>
      </c>
      <c r="C10" s="573"/>
      <c r="D10" s="569"/>
      <c r="E10" s="569"/>
      <c r="F10" s="569"/>
      <c r="G10" s="569"/>
      <c r="H10" s="569"/>
      <c r="I10" s="569"/>
      <c r="J10" s="569"/>
      <c r="K10" s="569"/>
      <c r="L10" s="574"/>
      <c r="M10" s="573"/>
      <c r="N10" s="569"/>
      <c r="O10" s="569"/>
      <c r="P10" s="569"/>
      <c r="Q10" s="569"/>
      <c r="R10" s="569"/>
      <c r="S10" s="574"/>
      <c r="T10" s="575"/>
      <c r="U10" s="575"/>
      <c r="V10" s="576">
        <f t="shared" si="0"/>
        <v>0</v>
      </c>
    </row>
    <row r="11" spans="1:22">
      <c r="A11" s="146">
        <v>5</v>
      </c>
      <c r="B11" s="145" t="s">
        <v>220</v>
      </c>
      <c r="C11" s="573"/>
      <c r="D11" s="569"/>
      <c r="E11" s="569"/>
      <c r="F11" s="569"/>
      <c r="G11" s="569"/>
      <c r="H11" s="569"/>
      <c r="I11" s="569"/>
      <c r="J11" s="569"/>
      <c r="K11" s="569"/>
      <c r="L11" s="574"/>
      <c r="M11" s="573"/>
      <c r="N11" s="569"/>
      <c r="O11" s="569"/>
      <c r="P11" s="569"/>
      <c r="Q11" s="569"/>
      <c r="R11" s="569"/>
      <c r="S11" s="574"/>
      <c r="T11" s="575"/>
      <c r="U11" s="575"/>
      <c r="V11" s="576">
        <f t="shared" si="0"/>
        <v>0</v>
      </c>
    </row>
    <row r="12" spans="1:22">
      <c r="A12" s="146">
        <v>6</v>
      </c>
      <c r="B12" s="145" t="s">
        <v>221</v>
      </c>
      <c r="C12" s="573"/>
      <c r="D12" s="569"/>
      <c r="E12" s="569"/>
      <c r="F12" s="569"/>
      <c r="G12" s="569"/>
      <c r="H12" s="569"/>
      <c r="I12" s="569"/>
      <c r="J12" s="569"/>
      <c r="K12" s="569"/>
      <c r="L12" s="574"/>
      <c r="M12" s="573"/>
      <c r="N12" s="569"/>
      <c r="O12" s="569"/>
      <c r="P12" s="569"/>
      <c r="Q12" s="569"/>
      <c r="R12" s="569"/>
      <c r="S12" s="574"/>
      <c r="T12" s="575"/>
      <c r="U12" s="575"/>
      <c r="V12" s="576">
        <f t="shared" si="0"/>
        <v>0</v>
      </c>
    </row>
    <row r="13" spans="1:22">
      <c r="A13" s="146">
        <v>7</v>
      </c>
      <c r="B13" s="145" t="s">
        <v>73</v>
      </c>
      <c r="C13" s="573"/>
      <c r="D13" s="569">
        <v>31398082.112942714</v>
      </c>
      <c r="E13" s="569"/>
      <c r="F13" s="569"/>
      <c r="G13" s="569"/>
      <c r="H13" s="569"/>
      <c r="I13" s="569"/>
      <c r="J13" s="569"/>
      <c r="K13" s="569"/>
      <c r="L13" s="574"/>
      <c r="M13" s="573"/>
      <c r="N13" s="569"/>
      <c r="O13" s="569"/>
      <c r="P13" s="569"/>
      <c r="Q13" s="569"/>
      <c r="R13" s="569"/>
      <c r="S13" s="574"/>
      <c r="T13" s="575">
        <v>29231509.063901875</v>
      </c>
      <c r="U13" s="575">
        <v>2166573.04904084</v>
      </c>
      <c r="V13" s="576">
        <f t="shared" si="0"/>
        <v>31398082.112942714</v>
      </c>
    </row>
    <row r="14" spans="1:22">
      <c r="A14" s="146">
        <v>8</v>
      </c>
      <c r="B14" s="145" t="s">
        <v>74</v>
      </c>
      <c r="C14" s="573"/>
      <c r="D14" s="569"/>
      <c r="E14" s="569"/>
      <c r="F14" s="569"/>
      <c r="G14" s="569"/>
      <c r="H14" s="569"/>
      <c r="I14" s="569"/>
      <c r="J14" s="569"/>
      <c r="K14" s="569"/>
      <c r="L14" s="574"/>
      <c r="M14" s="573"/>
      <c r="N14" s="569"/>
      <c r="O14" s="569"/>
      <c r="P14" s="569"/>
      <c r="Q14" s="569"/>
      <c r="R14" s="569"/>
      <c r="S14" s="574"/>
      <c r="T14" s="575"/>
      <c r="U14" s="575"/>
      <c r="V14" s="576">
        <f t="shared" si="0"/>
        <v>0</v>
      </c>
    </row>
    <row r="15" spans="1:22">
      <c r="A15" s="146">
        <v>9</v>
      </c>
      <c r="B15" s="145" t="s">
        <v>75</v>
      </c>
      <c r="C15" s="573"/>
      <c r="D15" s="569"/>
      <c r="E15" s="569"/>
      <c r="F15" s="569"/>
      <c r="G15" s="569"/>
      <c r="H15" s="569"/>
      <c r="I15" s="569"/>
      <c r="J15" s="569"/>
      <c r="K15" s="569"/>
      <c r="L15" s="574"/>
      <c r="M15" s="573"/>
      <c r="N15" s="569"/>
      <c r="O15" s="569"/>
      <c r="P15" s="569"/>
      <c r="Q15" s="569"/>
      <c r="R15" s="569"/>
      <c r="S15" s="574"/>
      <c r="T15" s="575"/>
      <c r="U15" s="575"/>
      <c r="V15" s="576">
        <f t="shared" si="0"/>
        <v>0</v>
      </c>
    </row>
    <row r="16" spans="1:22">
      <c r="A16" s="146">
        <v>10</v>
      </c>
      <c r="B16" s="145" t="s">
        <v>69</v>
      </c>
      <c r="C16" s="573"/>
      <c r="D16" s="569">
        <v>24967.840096383668</v>
      </c>
      <c r="E16" s="569"/>
      <c r="F16" s="569"/>
      <c r="G16" s="569"/>
      <c r="H16" s="569"/>
      <c r="I16" s="569"/>
      <c r="J16" s="569"/>
      <c r="K16" s="569"/>
      <c r="L16" s="574"/>
      <c r="M16" s="573"/>
      <c r="N16" s="569"/>
      <c r="O16" s="569"/>
      <c r="P16" s="569"/>
      <c r="Q16" s="569"/>
      <c r="R16" s="569"/>
      <c r="S16" s="574"/>
      <c r="T16" s="575">
        <v>24598.137275114233</v>
      </c>
      <c r="U16" s="575">
        <v>369.70282126943619</v>
      </c>
      <c r="V16" s="576">
        <f t="shared" si="0"/>
        <v>24967.840096383668</v>
      </c>
    </row>
    <row r="17" spans="1:22">
      <c r="A17" s="146">
        <v>11</v>
      </c>
      <c r="B17" s="145" t="s">
        <v>70</v>
      </c>
      <c r="C17" s="573"/>
      <c r="D17" s="569"/>
      <c r="E17" s="569"/>
      <c r="F17" s="569"/>
      <c r="G17" s="569"/>
      <c r="H17" s="569"/>
      <c r="I17" s="569"/>
      <c r="J17" s="569"/>
      <c r="K17" s="569"/>
      <c r="L17" s="574"/>
      <c r="M17" s="573"/>
      <c r="N17" s="569"/>
      <c r="O17" s="569"/>
      <c r="P17" s="569"/>
      <c r="Q17" s="569"/>
      <c r="R17" s="569"/>
      <c r="S17" s="574"/>
      <c r="T17" s="575"/>
      <c r="U17" s="575"/>
      <c r="V17" s="576">
        <f t="shared" si="0"/>
        <v>0</v>
      </c>
    </row>
    <row r="18" spans="1:22">
      <c r="A18" s="146">
        <v>12</v>
      </c>
      <c r="B18" s="145" t="s">
        <v>71</v>
      </c>
      <c r="C18" s="573"/>
      <c r="D18" s="569"/>
      <c r="E18" s="569"/>
      <c r="F18" s="569"/>
      <c r="G18" s="569"/>
      <c r="H18" s="569"/>
      <c r="I18" s="569"/>
      <c r="J18" s="569"/>
      <c r="K18" s="569"/>
      <c r="L18" s="574"/>
      <c r="M18" s="573"/>
      <c r="N18" s="569"/>
      <c r="O18" s="569"/>
      <c r="P18" s="569"/>
      <c r="Q18" s="569"/>
      <c r="R18" s="569"/>
      <c r="S18" s="574"/>
      <c r="T18" s="575"/>
      <c r="U18" s="575"/>
      <c r="V18" s="576">
        <f t="shared" si="0"/>
        <v>0</v>
      </c>
    </row>
    <row r="19" spans="1:22">
      <c r="A19" s="146">
        <v>13</v>
      </c>
      <c r="B19" s="145" t="s">
        <v>72</v>
      </c>
      <c r="C19" s="573"/>
      <c r="D19" s="569"/>
      <c r="E19" s="569"/>
      <c r="F19" s="569"/>
      <c r="G19" s="569"/>
      <c r="H19" s="569"/>
      <c r="I19" s="569"/>
      <c r="J19" s="569"/>
      <c r="K19" s="569"/>
      <c r="L19" s="574"/>
      <c r="M19" s="573"/>
      <c r="N19" s="569"/>
      <c r="O19" s="569"/>
      <c r="P19" s="569"/>
      <c r="Q19" s="569"/>
      <c r="R19" s="569"/>
      <c r="S19" s="574"/>
      <c r="T19" s="575"/>
      <c r="U19" s="575"/>
      <c r="V19" s="576">
        <f t="shared" si="0"/>
        <v>0</v>
      </c>
    </row>
    <row r="20" spans="1:22">
      <c r="A20" s="146">
        <v>14</v>
      </c>
      <c r="B20" s="145" t="s">
        <v>249</v>
      </c>
      <c r="C20" s="573"/>
      <c r="D20" s="569">
        <v>1165325.9470178687</v>
      </c>
      <c r="E20" s="569"/>
      <c r="F20" s="569"/>
      <c r="G20" s="569"/>
      <c r="H20" s="569"/>
      <c r="I20" s="569"/>
      <c r="J20" s="569"/>
      <c r="K20" s="569"/>
      <c r="L20" s="574"/>
      <c r="M20" s="573"/>
      <c r="N20" s="569"/>
      <c r="O20" s="569"/>
      <c r="P20" s="569"/>
      <c r="Q20" s="569"/>
      <c r="R20" s="569"/>
      <c r="S20" s="574"/>
      <c r="T20" s="575">
        <v>1164825.8220178687</v>
      </c>
      <c r="U20" s="575">
        <v>500.125</v>
      </c>
      <c r="V20" s="576">
        <f t="shared" si="0"/>
        <v>1165325.9470178687</v>
      </c>
    </row>
    <row r="21" spans="1:22" ht="13.5" thickBot="1">
      <c r="A21" s="92"/>
      <c r="B21" s="93" t="s">
        <v>68</v>
      </c>
      <c r="C21" s="239">
        <f>SUM(C7:C20)</f>
        <v>0</v>
      </c>
      <c r="D21" s="238">
        <f t="shared" ref="D21:V21" si="1">SUM(D7:D20)</f>
        <v>32588375.900056966</v>
      </c>
      <c r="E21" s="238">
        <f t="shared" si="1"/>
        <v>0</v>
      </c>
      <c r="F21" s="238">
        <f t="shared" si="1"/>
        <v>0</v>
      </c>
      <c r="G21" s="238">
        <f t="shared" si="1"/>
        <v>0</v>
      </c>
      <c r="H21" s="238">
        <f t="shared" si="1"/>
        <v>0</v>
      </c>
      <c r="I21" s="238">
        <f t="shared" si="1"/>
        <v>0</v>
      </c>
      <c r="J21" s="238">
        <f t="shared" si="1"/>
        <v>0</v>
      </c>
      <c r="K21" s="238">
        <f t="shared" si="1"/>
        <v>0</v>
      </c>
      <c r="L21" s="240">
        <f t="shared" si="1"/>
        <v>0</v>
      </c>
      <c r="M21" s="239">
        <f t="shared" si="1"/>
        <v>0</v>
      </c>
      <c r="N21" s="238">
        <f t="shared" si="1"/>
        <v>0</v>
      </c>
      <c r="O21" s="238">
        <f t="shared" si="1"/>
        <v>0</v>
      </c>
      <c r="P21" s="238">
        <f t="shared" si="1"/>
        <v>0</v>
      </c>
      <c r="Q21" s="238">
        <f t="shared" si="1"/>
        <v>0</v>
      </c>
      <c r="R21" s="238">
        <f t="shared" si="1"/>
        <v>0</v>
      </c>
      <c r="S21" s="240">
        <f t="shared" si="1"/>
        <v>0</v>
      </c>
      <c r="T21" s="240">
        <f>SUM(T7:T20)</f>
        <v>30420933.023194857</v>
      </c>
      <c r="U21" s="240">
        <f t="shared" si="1"/>
        <v>2167442.8768621096</v>
      </c>
      <c r="V21" s="241">
        <f t="shared" si="1"/>
        <v>32588375.900056966</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C8" activePane="bottomRight" state="frozen"/>
      <selection pane="topRight"/>
      <selection pane="bottomLeft"/>
      <selection pane="bottomRight" activeCell="G22" sqref="G22"/>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390">
        <f>'1. key ratios'!B2</f>
        <v>44561</v>
      </c>
    </row>
    <row r="4" spans="1:9" ht="13.5" thickBot="1">
      <c r="A4" s="1" t="s">
        <v>417</v>
      </c>
      <c r="B4" s="52" t="s">
        <v>459</v>
      </c>
    </row>
    <row r="5" spans="1:9">
      <c r="A5" s="90"/>
      <c r="B5" s="143"/>
      <c r="C5" s="148" t="s">
        <v>0</v>
      </c>
      <c r="D5" s="148" t="s">
        <v>1</v>
      </c>
      <c r="E5" s="148" t="s">
        <v>2</v>
      </c>
      <c r="F5" s="148" t="s">
        <v>3</v>
      </c>
      <c r="G5" s="251" t="s">
        <v>4</v>
      </c>
      <c r="H5" s="149" t="s">
        <v>5</v>
      </c>
      <c r="I5" s="19"/>
    </row>
    <row r="6" spans="1:9" ht="15" customHeight="1">
      <c r="A6" s="142"/>
      <c r="B6" s="17"/>
      <c r="C6" s="710" t="s">
        <v>451</v>
      </c>
      <c r="D6" s="721" t="s">
        <v>472</v>
      </c>
      <c r="E6" s="722"/>
      <c r="F6" s="710" t="s">
        <v>478</v>
      </c>
      <c r="G6" s="710" t="s">
        <v>479</v>
      </c>
      <c r="H6" s="719" t="s">
        <v>453</v>
      </c>
      <c r="I6" s="19"/>
    </row>
    <row r="7" spans="1:9" ht="63.75">
      <c r="A7" s="142"/>
      <c r="B7" s="17"/>
      <c r="C7" s="711"/>
      <c r="D7" s="253" t="s">
        <v>454</v>
      </c>
      <c r="E7" s="253" t="s">
        <v>452</v>
      </c>
      <c r="F7" s="711"/>
      <c r="G7" s="711"/>
      <c r="H7" s="720"/>
      <c r="I7" s="19"/>
    </row>
    <row r="8" spans="1:9">
      <c r="A8" s="82">
        <v>1</v>
      </c>
      <c r="B8" s="66" t="s">
        <v>216</v>
      </c>
      <c r="C8" s="569">
        <v>236576244</v>
      </c>
      <c r="D8" s="569"/>
      <c r="E8" s="569"/>
      <c r="F8" s="569">
        <v>202242638</v>
      </c>
      <c r="G8" s="570">
        <v>202242638</v>
      </c>
      <c r="H8" s="577">
        <f>IFERROR(G8/(C8+E8),0)</f>
        <v>0.85487297701792919</v>
      </c>
    </row>
    <row r="9" spans="1:9" ht="15" customHeight="1">
      <c r="A9" s="82">
        <v>2</v>
      </c>
      <c r="B9" s="66" t="s">
        <v>217</v>
      </c>
      <c r="C9" s="569">
        <v>0</v>
      </c>
      <c r="D9" s="569"/>
      <c r="E9" s="569"/>
      <c r="F9" s="569">
        <v>0</v>
      </c>
      <c r="G9" s="570">
        <v>0</v>
      </c>
      <c r="H9" s="577">
        <f t="shared" ref="H9:H22" si="0">IFERROR(G9/(C9+E9),0)</f>
        <v>0</v>
      </c>
    </row>
    <row r="10" spans="1:9">
      <c r="A10" s="82">
        <v>3</v>
      </c>
      <c r="B10" s="66" t="s">
        <v>218</v>
      </c>
      <c r="C10" s="569">
        <v>0</v>
      </c>
      <c r="D10" s="569"/>
      <c r="E10" s="569"/>
      <c r="F10" s="569">
        <v>0</v>
      </c>
      <c r="G10" s="570">
        <v>0</v>
      </c>
      <c r="H10" s="577">
        <f t="shared" si="0"/>
        <v>0</v>
      </c>
    </row>
    <row r="11" spans="1:9">
      <c r="A11" s="82">
        <v>4</v>
      </c>
      <c r="B11" s="66" t="s">
        <v>219</v>
      </c>
      <c r="C11" s="569">
        <v>0</v>
      </c>
      <c r="D11" s="569"/>
      <c r="E11" s="569"/>
      <c r="F11" s="569">
        <v>0</v>
      </c>
      <c r="G11" s="570">
        <v>0</v>
      </c>
      <c r="H11" s="577">
        <f t="shared" si="0"/>
        <v>0</v>
      </c>
    </row>
    <row r="12" spans="1:9">
      <c r="A12" s="82">
        <v>5</v>
      </c>
      <c r="B12" s="66" t="s">
        <v>220</v>
      </c>
      <c r="C12" s="569">
        <v>0</v>
      </c>
      <c r="D12" s="569"/>
      <c r="E12" s="569"/>
      <c r="F12" s="569">
        <v>0</v>
      </c>
      <c r="G12" s="570">
        <v>0</v>
      </c>
      <c r="H12" s="577">
        <f t="shared" si="0"/>
        <v>0</v>
      </c>
    </row>
    <row r="13" spans="1:9">
      <c r="A13" s="82">
        <v>6</v>
      </c>
      <c r="B13" s="66" t="s">
        <v>221</v>
      </c>
      <c r="C13" s="569">
        <v>53942316</v>
      </c>
      <c r="D13" s="569"/>
      <c r="E13" s="569"/>
      <c r="F13" s="569">
        <v>20403220.752000004</v>
      </c>
      <c r="G13" s="570">
        <v>20403220.752000004</v>
      </c>
      <c r="H13" s="577">
        <f t="shared" si="0"/>
        <v>0.37824146727404145</v>
      </c>
    </row>
    <row r="14" spans="1:9">
      <c r="A14" s="82">
        <v>7</v>
      </c>
      <c r="B14" s="66" t="s">
        <v>73</v>
      </c>
      <c r="C14" s="569">
        <v>725846273.51024318</v>
      </c>
      <c r="D14" s="569">
        <v>61776706.441471994</v>
      </c>
      <c r="E14" s="569">
        <v>33068063.937791999</v>
      </c>
      <c r="F14" s="569">
        <v>758914337.44803512</v>
      </c>
      <c r="G14" s="570">
        <v>727516255.33509243</v>
      </c>
      <c r="H14" s="577">
        <f t="shared" si="0"/>
        <v>0.95862763349744651</v>
      </c>
    </row>
    <row r="15" spans="1:9">
      <c r="A15" s="82">
        <v>8</v>
      </c>
      <c r="B15" s="66" t="s">
        <v>74</v>
      </c>
      <c r="C15" s="569">
        <v>0</v>
      </c>
      <c r="D15" s="569"/>
      <c r="E15" s="569">
        <v>0</v>
      </c>
      <c r="F15" s="569">
        <v>0</v>
      </c>
      <c r="G15" s="570">
        <v>0</v>
      </c>
      <c r="H15" s="577">
        <f t="shared" si="0"/>
        <v>0</v>
      </c>
    </row>
    <row r="16" spans="1:9">
      <c r="A16" s="82">
        <v>9</v>
      </c>
      <c r="B16" s="66" t="s">
        <v>75</v>
      </c>
      <c r="C16" s="569">
        <v>0</v>
      </c>
      <c r="D16" s="569"/>
      <c r="E16" s="569">
        <v>0</v>
      </c>
      <c r="F16" s="569">
        <v>0</v>
      </c>
      <c r="G16" s="570">
        <v>0</v>
      </c>
      <c r="H16" s="577">
        <f t="shared" si="0"/>
        <v>0</v>
      </c>
    </row>
    <row r="17" spans="1:8">
      <c r="A17" s="82">
        <v>10</v>
      </c>
      <c r="B17" s="66" t="s">
        <v>69</v>
      </c>
      <c r="C17" s="569">
        <v>105427669.17196693</v>
      </c>
      <c r="D17" s="569">
        <v>415520.02000001073</v>
      </c>
      <c r="E17" s="569">
        <v>207760.01000000536</v>
      </c>
      <c r="F17" s="569">
        <v>105635429.18196693</v>
      </c>
      <c r="G17" s="570">
        <v>105610461.34187055</v>
      </c>
      <c r="H17" s="577">
        <f t="shared" si="0"/>
        <v>0.99976364141945806</v>
      </c>
    </row>
    <row r="18" spans="1:8">
      <c r="A18" s="82">
        <v>11</v>
      </c>
      <c r="B18" s="66" t="s">
        <v>70</v>
      </c>
      <c r="C18" s="569">
        <v>0</v>
      </c>
      <c r="D18" s="569"/>
      <c r="E18" s="569">
        <v>0</v>
      </c>
      <c r="F18" s="569">
        <v>0</v>
      </c>
      <c r="G18" s="570">
        <v>0</v>
      </c>
      <c r="H18" s="577">
        <f t="shared" si="0"/>
        <v>0</v>
      </c>
    </row>
    <row r="19" spans="1:8">
      <c r="A19" s="82">
        <v>12</v>
      </c>
      <c r="B19" s="66" t="s">
        <v>71</v>
      </c>
      <c r="C19" s="569">
        <v>0</v>
      </c>
      <c r="D19" s="569"/>
      <c r="E19" s="569">
        <v>0</v>
      </c>
      <c r="F19" s="569">
        <v>0</v>
      </c>
      <c r="G19" s="570">
        <v>0</v>
      </c>
      <c r="H19" s="577">
        <f t="shared" si="0"/>
        <v>0</v>
      </c>
    </row>
    <row r="20" spans="1:8">
      <c r="A20" s="82">
        <v>13</v>
      </c>
      <c r="B20" s="66" t="s">
        <v>72</v>
      </c>
      <c r="C20" s="569">
        <v>0</v>
      </c>
      <c r="D20" s="569"/>
      <c r="E20" s="569">
        <v>0</v>
      </c>
      <c r="F20" s="569">
        <v>0</v>
      </c>
      <c r="G20" s="570">
        <v>0</v>
      </c>
      <c r="H20" s="577">
        <f t="shared" si="0"/>
        <v>0</v>
      </c>
    </row>
    <row r="21" spans="1:8">
      <c r="A21" s="82">
        <v>14</v>
      </c>
      <c r="B21" s="66" t="s">
        <v>249</v>
      </c>
      <c r="C21" s="569">
        <v>110233321.46200499</v>
      </c>
      <c r="D21" s="569">
        <v>2704719.3798999828</v>
      </c>
      <c r="E21" s="569">
        <v>1352359.6899499914</v>
      </c>
      <c r="F21" s="569">
        <v>105945859.65195498</v>
      </c>
      <c r="G21" s="570">
        <v>104780533.70493712</v>
      </c>
      <c r="H21" s="577">
        <f t="shared" si="0"/>
        <v>0.93901415148641909</v>
      </c>
    </row>
    <row r="22" spans="1:8" ht="13.5" thickBot="1">
      <c r="A22" s="144"/>
      <c r="B22" s="150" t="s">
        <v>68</v>
      </c>
      <c r="C22" s="238">
        <f>SUM(C8:C21)</f>
        <v>1232025824.1442151</v>
      </c>
      <c r="D22" s="238">
        <f>SUM(D8:D21)</f>
        <v>64896945.841371991</v>
      </c>
      <c r="E22" s="238">
        <f>SUM(E8:E21)</f>
        <v>34628183.637741998</v>
      </c>
      <c r="F22" s="238">
        <f>SUM(F8:F21)</f>
        <v>1193141485.033957</v>
      </c>
      <c r="G22" s="238">
        <f>SUM(G8:G21)</f>
        <v>1160553109.1339002</v>
      </c>
      <c r="H22" s="256">
        <f t="shared" si="0"/>
        <v>0.91623529551384697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E7" activePane="bottomRight" state="frozen"/>
      <selection pane="topRight"/>
      <selection pane="bottomLeft"/>
      <selection pane="bottomRight" activeCell="K21" sqref="K21"/>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390">
        <f>'1. key ratios'!B2</f>
        <v>44561</v>
      </c>
    </row>
    <row r="4" spans="1:11" ht="13.5" thickBot="1">
      <c r="A4" s="1" t="s">
        <v>521</v>
      </c>
      <c r="B4" s="52" t="s">
        <v>520</v>
      </c>
    </row>
    <row r="5" spans="1:11" ht="30" customHeight="1">
      <c r="A5" s="726"/>
      <c r="B5" s="727"/>
      <c r="C5" s="724" t="s">
        <v>553</v>
      </c>
      <c r="D5" s="724"/>
      <c r="E5" s="724"/>
      <c r="F5" s="724" t="s">
        <v>554</v>
      </c>
      <c r="G5" s="724"/>
      <c r="H5" s="724"/>
      <c r="I5" s="724" t="s">
        <v>555</v>
      </c>
      <c r="J5" s="724"/>
      <c r="K5" s="725"/>
    </row>
    <row r="6" spans="1:11">
      <c r="A6" s="277"/>
      <c r="B6" s="278"/>
      <c r="C6" s="279" t="s">
        <v>27</v>
      </c>
      <c r="D6" s="279" t="s">
        <v>96</v>
      </c>
      <c r="E6" s="279" t="s">
        <v>68</v>
      </c>
      <c r="F6" s="279" t="s">
        <v>27</v>
      </c>
      <c r="G6" s="279" t="s">
        <v>96</v>
      </c>
      <c r="H6" s="279" t="s">
        <v>68</v>
      </c>
      <c r="I6" s="279" t="s">
        <v>27</v>
      </c>
      <c r="J6" s="279" t="s">
        <v>96</v>
      </c>
      <c r="K6" s="280" t="s">
        <v>68</v>
      </c>
    </row>
    <row r="7" spans="1:11">
      <c r="A7" s="281" t="s">
        <v>491</v>
      </c>
      <c r="B7" s="276"/>
      <c r="C7" s="276"/>
      <c r="D7" s="276"/>
      <c r="E7" s="276"/>
      <c r="F7" s="276"/>
      <c r="G7" s="276"/>
      <c r="H7" s="276"/>
      <c r="I7" s="276"/>
      <c r="J7" s="276"/>
      <c r="K7" s="282"/>
    </row>
    <row r="8" spans="1:11">
      <c r="A8" s="275">
        <v>1</v>
      </c>
      <c r="B8" s="261" t="s">
        <v>491</v>
      </c>
      <c r="C8" s="495"/>
      <c r="D8" s="495"/>
      <c r="E8" s="495"/>
      <c r="F8" s="417">
        <v>85570550.71206519</v>
      </c>
      <c r="G8" s="578">
        <v>256143921.05435467</v>
      </c>
      <c r="H8" s="578">
        <v>341714471.76642001</v>
      </c>
      <c r="I8" s="578">
        <v>73980685.89456524</v>
      </c>
      <c r="J8" s="578">
        <v>204051791.63022432</v>
      </c>
      <c r="K8" s="579">
        <v>278032477.52478963</v>
      </c>
    </row>
    <row r="9" spans="1:11">
      <c r="A9" s="281" t="s">
        <v>492</v>
      </c>
      <c r="B9" s="276"/>
      <c r="C9" s="276"/>
      <c r="D9" s="276"/>
      <c r="E9" s="276"/>
      <c r="F9" s="276"/>
      <c r="G9" s="276"/>
      <c r="H9" s="276"/>
      <c r="I9" s="276"/>
      <c r="J9" s="276"/>
      <c r="K9" s="282"/>
    </row>
    <row r="10" spans="1:11">
      <c r="A10" s="283">
        <v>2</v>
      </c>
      <c r="B10" s="262" t="s">
        <v>493</v>
      </c>
      <c r="C10" s="417">
        <v>18172679.960445732</v>
      </c>
      <c r="D10" s="578">
        <v>293617187.26690006</v>
      </c>
      <c r="E10" s="578">
        <v>311789867.22734571</v>
      </c>
      <c r="F10" s="417">
        <v>3085818.182492408</v>
      </c>
      <c r="G10" s="578">
        <v>40678400.193489157</v>
      </c>
      <c r="H10" s="578">
        <v>43764218.375981562</v>
      </c>
      <c r="I10" s="417">
        <v>668458.32698315603</v>
      </c>
      <c r="J10" s="578">
        <v>4332432.0861285999</v>
      </c>
      <c r="K10" s="579">
        <v>5000890.4131117584</v>
      </c>
    </row>
    <row r="11" spans="1:11">
      <c r="A11" s="283">
        <v>3</v>
      </c>
      <c r="B11" s="262" t="s">
        <v>494</v>
      </c>
      <c r="C11" s="417">
        <v>114173720.06734785</v>
      </c>
      <c r="D11" s="578">
        <v>600031432.52293718</v>
      </c>
      <c r="E11" s="578">
        <v>714205152.59028482</v>
      </c>
      <c r="F11" s="417">
        <v>23596646.492592398</v>
      </c>
      <c r="G11" s="578">
        <v>115182240.42745817</v>
      </c>
      <c r="H11" s="578">
        <v>138778886.92005056</v>
      </c>
      <c r="I11" s="417">
        <v>20693021.493652176</v>
      </c>
      <c r="J11" s="578">
        <v>61475135.322174944</v>
      </c>
      <c r="K11" s="579">
        <v>82168156.815827116</v>
      </c>
    </row>
    <row r="12" spans="1:11">
      <c r="A12" s="283">
        <v>4</v>
      </c>
      <c r="B12" s="262" t="s">
        <v>495</v>
      </c>
      <c r="C12" s="417">
        <v>0</v>
      </c>
      <c r="D12" s="578">
        <v>0</v>
      </c>
      <c r="E12" s="578">
        <v>0</v>
      </c>
      <c r="F12" s="417">
        <v>0</v>
      </c>
      <c r="G12" s="578">
        <v>0</v>
      </c>
      <c r="H12" s="578">
        <v>0</v>
      </c>
      <c r="I12" s="417">
        <v>0</v>
      </c>
      <c r="J12" s="578">
        <v>0</v>
      </c>
      <c r="K12" s="579">
        <v>0</v>
      </c>
    </row>
    <row r="13" spans="1:11">
      <c r="A13" s="283">
        <v>5</v>
      </c>
      <c r="B13" s="262" t="s">
        <v>496</v>
      </c>
      <c r="C13" s="417">
        <v>44510617.012202531</v>
      </c>
      <c r="D13" s="578">
        <v>23791508.145467654</v>
      </c>
      <c r="E13" s="578">
        <v>68302125.1576702</v>
      </c>
      <c r="F13" s="417">
        <v>8097701.3195593292</v>
      </c>
      <c r="G13" s="578">
        <v>4764362.4163767826</v>
      </c>
      <c r="H13" s="578">
        <v>12862063.735936111</v>
      </c>
      <c r="I13" s="417">
        <v>2976479.5721006887</v>
      </c>
      <c r="J13" s="578">
        <v>1712408.6197445849</v>
      </c>
      <c r="K13" s="579">
        <v>4688888.1918452727</v>
      </c>
    </row>
    <row r="14" spans="1:11">
      <c r="A14" s="283">
        <v>6</v>
      </c>
      <c r="B14" s="262" t="s">
        <v>511</v>
      </c>
      <c r="C14" s="417"/>
      <c r="D14" s="578"/>
      <c r="E14" s="578"/>
      <c r="F14" s="417"/>
      <c r="G14" s="578"/>
      <c r="H14" s="578"/>
      <c r="I14" s="417"/>
      <c r="J14" s="578"/>
      <c r="K14" s="579"/>
    </row>
    <row r="15" spans="1:11">
      <c r="A15" s="283">
        <v>7</v>
      </c>
      <c r="B15" s="262" t="s">
        <v>498</v>
      </c>
      <c r="C15" s="417">
        <v>16836166.621630434</v>
      </c>
      <c r="D15" s="578">
        <v>32460898.315086957</v>
      </c>
      <c r="E15" s="578">
        <v>49297064.936717398</v>
      </c>
      <c r="F15" s="417">
        <v>4487672.3798521478</v>
      </c>
      <c r="G15" s="578">
        <v>11818915.846330173</v>
      </c>
      <c r="H15" s="578">
        <v>16306588.22618233</v>
      </c>
      <c r="I15" s="417">
        <v>4487672.3798521478</v>
      </c>
      <c r="J15" s="578">
        <v>11818915.846330173</v>
      </c>
      <c r="K15" s="579">
        <v>16306588.22618233</v>
      </c>
    </row>
    <row r="16" spans="1:11">
      <c r="A16" s="283">
        <v>8</v>
      </c>
      <c r="B16" s="263" t="s">
        <v>499</v>
      </c>
      <c r="C16" s="580">
        <f>SUM(C10:C15)</f>
        <v>193693183.66162655</v>
      </c>
      <c r="D16" s="580">
        <f t="shared" ref="D16:K16" si="0">SUM(D10:D15)</f>
        <v>949901026.25039184</v>
      </c>
      <c r="E16" s="580">
        <f t="shared" si="0"/>
        <v>1143594209.9120183</v>
      </c>
      <c r="F16" s="580">
        <f t="shared" si="0"/>
        <v>39267838.374496281</v>
      </c>
      <c r="G16" s="580">
        <f t="shared" si="0"/>
        <v>172443918.88365427</v>
      </c>
      <c r="H16" s="580">
        <f t="shared" si="0"/>
        <v>211711757.25815058</v>
      </c>
      <c r="I16" s="580">
        <f t="shared" si="0"/>
        <v>28825631.772588171</v>
      </c>
      <c r="J16" s="580">
        <f t="shared" si="0"/>
        <v>79338891.874378294</v>
      </c>
      <c r="K16" s="581">
        <f t="shared" si="0"/>
        <v>108164523.64696647</v>
      </c>
    </row>
    <row r="17" spans="1:11">
      <c r="A17" s="281" t="s">
        <v>500</v>
      </c>
      <c r="B17" s="276"/>
      <c r="C17" s="417"/>
      <c r="D17" s="578"/>
      <c r="E17" s="578"/>
      <c r="F17" s="417"/>
      <c r="G17" s="578"/>
      <c r="H17" s="578"/>
      <c r="I17" s="417"/>
      <c r="J17" s="578"/>
      <c r="K17" s="579"/>
    </row>
    <row r="18" spans="1:11">
      <c r="A18" s="283">
        <v>9</v>
      </c>
      <c r="B18" s="262" t="s">
        <v>501</v>
      </c>
      <c r="C18" s="417">
        <v>0</v>
      </c>
      <c r="D18" s="578">
        <v>0</v>
      </c>
      <c r="E18" s="578">
        <v>0</v>
      </c>
      <c r="F18" s="417">
        <v>0</v>
      </c>
      <c r="G18" s="578">
        <v>0</v>
      </c>
      <c r="H18" s="578">
        <v>0</v>
      </c>
      <c r="I18" s="417">
        <v>0</v>
      </c>
      <c r="J18" s="578">
        <v>0</v>
      </c>
      <c r="K18" s="579">
        <v>0</v>
      </c>
    </row>
    <row r="19" spans="1:11">
      <c r="A19" s="283">
        <v>10</v>
      </c>
      <c r="B19" s="262" t="s">
        <v>502</v>
      </c>
      <c r="C19" s="417">
        <v>198974018.15784478</v>
      </c>
      <c r="D19" s="578">
        <v>435735939.10664648</v>
      </c>
      <c r="E19" s="578">
        <v>634709957.26449144</v>
      </c>
      <c r="F19" s="417">
        <v>6208359.418573291</v>
      </c>
      <c r="G19" s="578">
        <v>9513755.337305719</v>
      </c>
      <c r="H19" s="578">
        <v>15722114.755879005</v>
      </c>
      <c r="I19" s="417">
        <v>17843234.086181987</v>
      </c>
      <c r="J19" s="578">
        <v>63538043.176110052</v>
      </c>
      <c r="K19" s="579">
        <v>81381277.262292027</v>
      </c>
    </row>
    <row r="20" spans="1:11">
      <c r="A20" s="283">
        <v>11</v>
      </c>
      <c r="B20" s="262" t="s">
        <v>503</v>
      </c>
      <c r="C20" s="417">
        <v>5913201.0252573397</v>
      </c>
      <c r="D20" s="578">
        <v>38467231.802575126</v>
      </c>
      <c r="E20" s="578">
        <v>44380432.827832453</v>
      </c>
      <c r="F20" s="417">
        <v>251559.01195652172</v>
      </c>
      <c r="G20" s="578">
        <v>9346561.6034576073</v>
      </c>
      <c r="H20" s="578">
        <v>9598120.6154141296</v>
      </c>
      <c r="I20" s="417">
        <v>251559.01195652172</v>
      </c>
      <c r="J20" s="578">
        <v>9346561.6034576073</v>
      </c>
      <c r="K20" s="579">
        <v>9598120.6154141296</v>
      </c>
    </row>
    <row r="21" spans="1:11" ht="13.5" thickBot="1">
      <c r="A21" s="205">
        <v>12</v>
      </c>
      <c r="B21" s="284" t="s">
        <v>504</v>
      </c>
      <c r="C21" s="582">
        <f>SUM(C18:C20)</f>
        <v>204887219.18310213</v>
      </c>
      <c r="D21" s="582">
        <f t="shared" ref="D21:K21" si="1">SUM(D18:D20)</f>
        <v>474203170.90922159</v>
      </c>
      <c r="E21" s="582">
        <f t="shared" si="1"/>
        <v>679090390.0923239</v>
      </c>
      <c r="F21" s="582">
        <f t="shared" si="1"/>
        <v>6459918.4305298124</v>
      </c>
      <c r="G21" s="582">
        <f t="shared" si="1"/>
        <v>18860316.940763324</v>
      </c>
      <c r="H21" s="582">
        <f t="shared" si="1"/>
        <v>25320235.371293135</v>
      </c>
      <c r="I21" s="582">
        <f t="shared" si="1"/>
        <v>18094793.098138507</v>
      </c>
      <c r="J21" s="582">
        <f t="shared" si="1"/>
        <v>72884604.779567659</v>
      </c>
      <c r="K21" s="583">
        <f t="shared" si="1"/>
        <v>90979397.877706155</v>
      </c>
    </row>
    <row r="22" spans="1:11" ht="38.25" customHeight="1" thickBot="1">
      <c r="A22" s="273"/>
      <c r="B22" s="274"/>
      <c r="C22" s="274"/>
      <c r="D22" s="274"/>
      <c r="E22" s="274"/>
      <c r="F22" s="723" t="s">
        <v>505</v>
      </c>
      <c r="G22" s="724"/>
      <c r="H22" s="724"/>
      <c r="I22" s="723" t="s">
        <v>506</v>
      </c>
      <c r="J22" s="724"/>
      <c r="K22" s="725"/>
    </row>
    <row r="23" spans="1:11">
      <c r="A23" s="267">
        <v>13</v>
      </c>
      <c r="B23" s="264" t="s">
        <v>491</v>
      </c>
      <c r="C23" s="272"/>
      <c r="D23" s="272"/>
      <c r="E23" s="272"/>
      <c r="F23" s="584">
        <f>F8</f>
        <v>85570550.71206519</v>
      </c>
      <c r="G23" s="584">
        <f t="shared" ref="G23:K23" si="2">G8</f>
        <v>256143921.05435467</v>
      </c>
      <c r="H23" s="584">
        <f t="shared" si="2"/>
        <v>341714471.76642001</v>
      </c>
      <c r="I23" s="584">
        <f t="shared" si="2"/>
        <v>73980685.89456524</v>
      </c>
      <c r="J23" s="584">
        <f t="shared" si="2"/>
        <v>204051791.63022432</v>
      </c>
      <c r="K23" s="585">
        <f t="shared" si="2"/>
        <v>278032477.52478963</v>
      </c>
    </row>
    <row r="24" spans="1:11" ht="13.5" thickBot="1">
      <c r="A24" s="268">
        <v>14</v>
      </c>
      <c r="B24" s="265" t="s">
        <v>507</v>
      </c>
      <c r="C24" s="285"/>
      <c r="D24" s="271"/>
      <c r="E24" s="423"/>
      <c r="F24" s="586">
        <f>MAX(F16-F21,F16*0.25)</f>
        <v>32807919.943966471</v>
      </c>
      <c r="G24" s="586">
        <f t="shared" ref="G24:K24" si="3">MAX(G16-G21,G16*0.25)</f>
        <v>153583601.94289094</v>
      </c>
      <c r="H24" s="586">
        <f t="shared" si="3"/>
        <v>186391521.88685745</v>
      </c>
      <c r="I24" s="586">
        <f t="shared" si="3"/>
        <v>10730838.674449664</v>
      </c>
      <c r="J24" s="586">
        <f t="shared" si="3"/>
        <v>19834722.968594573</v>
      </c>
      <c r="K24" s="587">
        <f t="shared" si="3"/>
        <v>27041130.911741618</v>
      </c>
    </row>
    <row r="25" spans="1:11" ht="13.5" thickBot="1">
      <c r="A25" s="269">
        <v>15</v>
      </c>
      <c r="B25" s="266" t="s">
        <v>508</v>
      </c>
      <c r="C25" s="270"/>
      <c r="D25" s="270"/>
      <c r="E25" s="270"/>
      <c r="F25" s="588">
        <f>F23/F24</f>
        <v>2.6082284661207855</v>
      </c>
      <c r="G25" s="588">
        <f t="shared" ref="G25:K25" si="4">G23/G24</f>
        <v>1.6677817020439467</v>
      </c>
      <c r="H25" s="588">
        <f t="shared" si="4"/>
        <v>1.8333155301658302</v>
      </c>
      <c r="I25" s="588">
        <f t="shared" si="4"/>
        <v>6.89421285129509</v>
      </c>
      <c r="J25" s="588">
        <f t="shared" si="4"/>
        <v>10.287604820763613</v>
      </c>
      <c r="K25" s="589">
        <f t="shared" si="4"/>
        <v>10.281836156640336</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selection pane="bottomLeft"/>
      <selection pane="bottomRight"/>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390">
        <f>'1. key ratios'!B2</f>
        <v>44561</v>
      </c>
    </row>
    <row r="3" spans="1:14" ht="14.25" customHeight="1"/>
    <row r="4" spans="1:14" ht="15.75" thickBot="1">
      <c r="A4" s="1" t="s">
        <v>418</v>
      </c>
      <c r="B4" s="84"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1"/>
      <c r="B6" s="94"/>
      <c r="C6" s="95" t="s">
        <v>87</v>
      </c>
      <c r="D6" s="96" t="s">
        <v>76</v>
      </c>
      <c r="E6" s="97" t="s">
        <v>86</v>
      </c>
      <c r="F6" s="98">
        <v>0</v>
      </c>
      <c r="G6" s="98">
        <v>0.2</v>
      </c>
      <c r="H6" s="98">
        <v>0.35</v>
      </c>
      <c r="I6" s="98">
        <v>0.5</v>
      </c>
      <c r="J6" s="98">
        <v>0.75</v>
      </c>
      <c r="K6" s="98">
        <v>1</v>
      </c>
      <c r="L6" s="98">
        <v>1.5</v>
      </c>
      <c r="M6" s="98">
        <v>2.5</v>
      </c>
      <c r="N6" s="152" t="s">
        <v>77</v>
      </c>
    </row>
    <row r="7" spans="1:14">
      <c r="A7" s="153">
        <v>1</v>
      </c>
      <c r="B7" s="99" t="s">
        <v>78</v>
      </c>
      <c r="C7" s="242">
        <f>SUM(C8:C13)</f>
        <v>30022400</v>
      </c>
      <c r="D7" s="94"/>
      <c r="E7" s="245">
        <f t="shared" ref="E7:M7" si="0">SUM(E8:E13)</f>
        <v>600448</v>
      </c>
      <c r="F7" s="242">
        <f>SUM(F8:F13)</f>
        <v>0</v>
      </c>
      <c r="G7" s="242">
        <f t="shared" si="0"/>
        <v>0</v>
      </c>
      <c r="H7" s="242">
        <f t="shared" si="0"/>
        <v>0</v>
      </c>
      <c r="I7" s="242">
        <f t="shared" si="0"/>
        <v>0</v>
      </c>
      <c r="J7" s="242">
        <f t="shared" si="0"/>
        <v>0</v>
      </c>
      <c r="K7" s="242">
        <f t="shared" si="0"/>
        <v>600448</v>
      </c>
      <c r="L7" s="242">
        <f t="shared" si="0"/>
        <v>0</v>
      </c>
      <c r="M7" s="242">
        <f t="shared" si="0"/>
        <v>0</v>
      </c>
      <c r="N7" s="154">
        <f>SUM(N8:N13)</f>
        <v>600448</v>
      </c>
    </row>
    <row r="8" spans="1:14">
      <c r="A8" s="153">
        <v>1.1000000000000001</v>
      </c>
      <c r="B8" s="100" t="s">
        <v>79</v>
      </c>
      <c r="C8" s="590">
        <v>30022400</v>
      </c>
      <c r="D8" s="101">
        <v>0.02</v>
      </c>
      <c r="E8" s="245">
        <f>C8*D8</f>
        <v>600448</v>
      </c>
      <c r="F8" s="243"/>
      <c r="G8" s="243"/>
      <c r="H8" s="243"/>
      <c r="I8" s="243"/>
      <c r="J8" s="243"/>
      <c r="K8" s="590">
        <v>600448</v>
      </c>
      <c r="L8" s="243"/>
      <c r="M8" s="243"/>
      <c r="N8" s="154">
        <f>SUMPRODUCT($F$6:$M$6,F8:M8)</f>
        <v>600448</v>
      </c>
    </row>
    <row r="9" spans="1:14">
      <c r="A9" s="153">
        <v>1.2</v>
      </c>
      <c r="B9" s="100" t="s">
        <v>80</v>
      </c>
      <c r="C9" s="243">
        <v>0</v>
      </c>
      <c r="D9" s="101">
        <v>0.05</v>
      </c>
      <c r="E9" s="245">
        <f>C9*D9</f>
        <v>0</v>
      </c>
      <c r="F9" s="243"/>
      <c r="G9" s="243"/>
      <c r="H9" s="243"/>
      <c r="I9" s="243"/>
      <c r="J9" s="243"/>
      <c r="K9" s="243"/>
      <c r="L9" s="243"/>
      <c r="M9" s="243"/>
      <c r="N9" s="154">
        <f t="shared" ref="N9:N12" si="1">SUMPRODUCT($F$6:$M$6,F9:M9)</f>
        <v>0</v>
      </c>
    </row>
    <row r="10" spans="1:14">
      <c r="A10" s="153">
        <v>1.3</v>
      </c>
      <c r="B10" s="100" t="s">
        <v>81</v>
      </c>
      <c r="C10" s="243">
        <v>0</v>
      </c>
      <c r="D10" s="101">
        <v>0.08</v>
      </c>
      <c r="E10" s="245">
        <f>C10*D10</f>
        <v>0</v>
      </c>
      <c r="F10" s="243"/>
      <c r="G10" s="243"/>
      <c r="H10" s="243"/>
      <c r="I10" s="243"/>
      <c r="J10" s="243"/>
      <c r="K10" s="243"/>
      <c r="L10" s="243"/>
      <c r="M10" s="243"/>
      <c r="N10" s="154">
        <f>SUMPRODUCT($F$6:$M$6,F10:M10)</f>
        <v>0</v>
      </c>
    </row>
    <row r="11" spans="1:14">
      <c r="A11" s="153">
        <v>1.4</v>
      </c>
      <c r="B11" s="100" t="s">
        <v>82</v>
      </c>
      <c r="C11" s="243">
        <v>0</v>
      </c>
      <c r="D11" s="101">
        <v>0.11</v>
      </c>
      <c r="E11" s="245">
        <f>C11*D11</f>
        <v>0</v>
      </c>
      <c r="F11" s="243"/>
      <c r="G11" s="243"/>
      <c r="H11" s="243"/>
      <c r="I11" s="243"/>
      <c r="J11" s="243"/>
      <c r="K11" s="243"/>
      <c r="L11" s="243"/>
      <c r="M11" s="243"/>
      <c r="N11" s="154">
        <f t="shared" si="1"/>
        <v>0</v>
      </c>
    </row>
    <row r="12" spans="1:14">
      <c r="A12" s="153">
        <v>1.5</v>
      </c>
      <c r="B12" s="100" t="s">
        <v>83</v>
      </c>
      <c r="C12" s="243">
        <v>0</v>
      </c>
      <c r="D12" s="101">
        <v>0.14000000000000001</v>
      </c>
      <c r="E12" s="245">
        <f>C12*D12</f>
        <v>0</v>
      </c>
      <c r="F12" s="243"/>
      <c r="G12" s="243"/>
      <c r="H12" s="243"/>
      <c r="I12" s="243"/>
      <c r="J12" s="243"/>
      <c r="K12" s="243"/>
      <c r="L12" s="243"/>
      <c r="M12" s="243"/>
      <c r="N12" s="154">
        <f t="shared" si="1"/>
        <v>0</v>
      </c>
    </row>
    <row r="13" spans="1:14">
      <c r="A13" s="153">
        <v>1.6</v>
      </c>
      <c r="B13" s="102" t="s">
        <v>84</v>
      </c>
      <c r="C13" s="243">
        <v>0</v>
      </c>
      <c r="D13" s="103"/>
      <c r="E13" s="243"/>
      <c r="F13" s="243"/>
      <c r="G13" s="243"/>
      <c r="H13" s="243"/>
      <c r="I13" s="243"/>
      <c r="J13" s="243"/>
      <c r="K13" s="243"/>
      <c r="L13" s="243"/>
      <c r="M13" s="243"/>
      <c r="N13" s="154">
        <f>SUMPRODUCT($F$6:$M$6,F13:M13)</f>
        <v>0</v>
      </c>
    </row>
    <row r="14" spans="1:14">
      <c r="A14" s="153">
        <v>2</v>
      </c>
      <c r="B14" s="104" t="s">
        <v>85</v>
      </c>
      <c r="C14" s="242">
        <f>SUM(C15:C20)</f>
        <v>0</v>
      </c>
      <c r="D14" s="94"/>
      <c r="E14" s="245">
        <f t="shared" ref="E14:M14" si="2">SUM(E15:E20)</f>
        <v>0</v>
      </c>
      <c r="F14" s="243">
        <f t="shared" si="2"/>
        <v>0</v>
      </c>
      <c r="G14" s="243">
        <f t="shared" si="2"/>
        <v>0</v>
      </c>
      <c r="H14" s="243">
        <f t="shared" si="2"/>
        <v>0</v>
      </c>
      <c r="I14" s="243">
        <f t="shared" si="2"/>
        <v>0</v>
      </c>
      <c r="J14" s="243">
        <f t="shared" si="2"/>
        <v>0</v>
      </c>
      <c r="K14" s="243">
        <f t="shared" si="2"/>
        <v>0</v>
      </c>
      <c r="L14" s="243">
        <f t="shared" si="2"/>
        <v>0</v>
      </c>
      <c r="M14" s="243">
        <f t="shared" si="2"/>
        <v>0</v>
      </c>
      <c r="N14" s="154">
        <f>SUM(N15:N20)</f>
        <v>0</v>
      </c>
    </row>
    <row r="15" spans="1:14">
      <c r="A15" s="153">
        <v>2.1</v>
      </c>
      <c r="B15" s="102" t="s">
        <v>79</v>
      </c>
      <c r="C15" s="243"/>
      <c r="D15" s="101">
        <v>5.0000000000000001E-3</v>
      </c>
      <c r="E15" s="245">
        <f>C15*D15</f>
        <v>0</v>
      </c>
      <c r="F15" s="243"/>
      <c r="G15" s="243"/>
      <c r="H15" s="243"/>
      <c r="I15" s="243"/>
      <c r="J15" s="243"/>
      <c r="K15" s="243"/>
      <c r="L15" s="243"/>
      <c r="M15" s="243"/>
      <c r="N15" s="154">
        <f>SUMPRODUCT($F$6:$M$6,F15:M15)</f>
        <v>0</v>
      </c>
    </row>
    <row r="16" spans="1:14">
      <c r="A16" s="153">
        <v>2.2000000000000002</v>
      </c>
      <c r="B16" s="102" t="s">
        <v>80</v>
      </c>
      <c r="C16" s="243"/>
      <c r="D16" s="101">
        <v>0.01</v>
      </c>
      <c r="E16" s="245">
        <f>C16*D16</f>
        <v>0</v>
      </c>
      <c r="F16" s="243"/>
      <c r="G16" s="243"/>
      <c r="H16" s="243"/>
      <c r="I16" s="243"/>
      <c r="J16" s="243"/>
      <c r="K16" s="243"/>
      <c r="L16" s="243"/>
      <c r="M16" s="243"/>
      <c r="N16" s="154">
        <f t="shared" ref="N16:N20" si="3">SUMPRODUCT($F$6:$M$6,F16:M16)</f>
        <v>0</v>
      </c>
    </row>
    <row r="17" spans="1:14">
      <c r="A17" s="153">
        <v>2.2999999999999998</v>
      </c>
      <c r="B17" s="102" t="s">
        <v>81</v>
      </c>
      <c r="C17" s="243"/>
      <c r="D17" s="101">
        <v>0.02</v>
      </c>
      <c r="E17" s="245">
        <f>C17*D17</f>
        <v>0</v>
      </c>
      <c r="F17" s="243"/>
      <c r="G17" s="243"/>
      <c r="H17" s="243"/>
      <c r="I17" s="243"/>
      <c r="J17" s="243"/>
      <c r="K17" s="243"/>
      <c r="L17" s="243"/>
      <c r="M17" s="243"/>
      <c r="N17" s="154">
        <f t="shared" si="3"/>
        <v>0</v>
      </c>
    </row>
    <row r="18" spans="1:14">
      <c r="A18" s="153">
        <v>2.4</v>
      </c>
      <c r="B18" s="102" t="s">
        <v>82</v>
      </c>
      <c r="C18" s="243"/>
      <c r="D18" s="101">
        <v>0.03</v>
      </c>
      <c r="E18" s="245">
        <f>C18*D18</f>
        <v>0</v>
      </c>
      <c r="F18" s="243"/>
      <c r="G18" s="243"/>
      <c r="H18" s="243"/>
      <c r="I18" s="243"/>
      <c r="J18" s="243"/>
      <c r="K18" s="243"/>
      <c r="L18" s="243"/>
      <c r="M18" s="243"/>
      <c r="N18" s="154">
        <f t="shared" si="3"/>
        <v>0</v>
      </c>
    </row>
    <row r="19" spans="1:14">
      <c r="A19" s="153">
        <v>2.5</v>
      </c>
      <c r="B19" s="102" t="s">
        <v>83</v>
      </c>
      <c r="C19" s="243"/>
      <c r="D19" s="101">
        <v>0.04</v>
      </c>
      <c r="E19" s="245">
        <f>C19*D19</f>
        <v>0</v>
      </c>
      <c r="F19" s="243"/>
      <c r="G19" s="243"/>
      <c r="H19" s="243"/>
      <c r="I19" s="243"/>
      <c r="J19" s="243"/>
      <c r="K19" s="243"/>
      <c r="L19" s="243"/>
      <c r="M19" s="243"/>
      <c r="N19" s="154">
        <f t="shared" si="3"/>
        <v>0</v>
      </c>
    </row>
    <row r="20" spans="1:14">
      <c r="A20" s="153">
        <v>2.6</v>
      </c>
      <c r="B20" s="102" t="s">
        <v>84</v>
      </c>
      <c r="C20" s="243"/>
      <c r="D20" s="103"/>
      <c r="E20" s="246"/>
      <c r="F20" s="243"/>
      <c r="G20" s="243"/>
      <c r="H20" s="243"/>
      <c r="I20" s="243"/>
      <c r="J20" s="243"/>
      <c r="K20" s="243"/>
      <c r="L20" s="243"/>
      <c r="M20" s="243"/>
      <c r="N20" s="154">
        <f t="shared" si="3"/>
        <v>0</v>
      </c>
    </row>
    <row r="21" spans="1:14" ht="15.75" thickBot="1">
      <c r="A21" s="155">
        <v>3</v>
      </c>
      <c r="B21" s="156" t="s">
        <v>68</v>
      </c>
      <c r="C21" s="244">
        <f>C14+C7</f>
        <v>30022400</v>
      </c>
      <c r="D21" s="157"/>
      <c r="E21" s="247">
        <f>E14+E7</f>
        <v>600448</v>
      </c>
      <c r="F21" s="248">
        <f>F7+F14</f>
        <v>0</v>
      </c>
      <c r="G21" s="248">
        <f t="shared" ref="G21:L21" si="4">G7+G14</f>
        <v>0</v>
      </c>
      <c r="H21" s="248">
        <f t="shared" si="4"/>
        <v>0</v>
      </c>
      <c r="I21" s="248">
        <f t="shared" si="4"/>
        <v>0</v>
      </c>
      <c r="J21" s="248">
        <f t="shared" si="4"/>
        <v>0</v>
      </c>
      <c r="K21" s="248">
        <f t="shared" si="4"/>
        <v>600448</v>
      </c>
      <c r="L21" s="248">
        <f t="shared" si="4"/>
        <v>0</v>
      </c>
      <c r="M21" s="248">
        <f>M7+M14</f>
        <v>0</v>
      </c>
      <c r="N21" s="158">
        <f>N14+N7</f>
        <v>600448</v>
      </c>
    </row>
    <row r="22" spans="1:14">
      <c r="E22" s="249"/>
      <c r="F22" s="249"/>
      <c r="G22" s="249"/>
      <c r="H22" s="249"/>
      <c r="I22" s="249"/>
      <c r="J22" s="249"/>
      <c r="K22" s="249"/>
      <c r="L22" s="249"/>
      <c r="M22" s="24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5" workbookViewId="0">
      <selection activeCell="C38" sqref="C38"/>
    </sheetView>
  </sheetViews>
  <sheetFormatPr defaultRowHeight="15"/>
  <cols>
    <col min="1" max="1" width="11.42578125" customWidth="1"/>
    <col min="2" max="2" width="76.7109375" style="2" customWidth="1"/>
    <col min="3" max="3" width="22.7109375" customWidth="1"/>
  </cols>
  <sheetData>
    <row r="1" spans="1:3">
      <c r="A1" s="1" t="s">
        <v>188</v>
      </c>
      <c r="B1" t="str">
        <f>Info!C2</f>
        <v>სს "ბანკი ქართუ"</v>
      </c>
    </row>
    <row r="2" spans="1:3">
      <c r="A2" s="1" t="s">
        <v>189</v>
      </c>
      <c r="B2" s="390">
        <f>'1. key ratios'!B2</f>
        <v>44561</v>
      </c>
    </row>
    <row r="3" spans="1:3">
      <c r="A3" s="1"/>
      <c r="B3"/>
    </row>
    <row r="4" spans="1:3">
      <c r="A4" s="1" t="s">
        <v>597</v>
      </c>
      <c r="B4" t="s">
        <v>556</v>
      </c>
    </row>
    <row r="5" spans="1:3">
      <c r="A5" s="331"/>
      <c r="B5" s="331" t="s">
        <v>557</v>
      </c>
      <c r="C5" s="343"/>
    </row>
    <row r="6" spans="1:3">
      <c r="A6" s="332">
        <v>1</v>
      </c>
      <c r="B6" s="344" t="s">
        <v>609</v>
      </c>
      <c r="C6" s="345">
        <v>1235796313.1442151</v>
      </c>
    </row>
    <row r="7" spans="1:3">
      <c r="A7" s="332">
        <v>2</v>
      </c>
      <c r="B7" s="344" t="s">
        <v>558</v>
      </c>
      <c r="C7" s="345">
        <v>-4035809</v>
      </c>
    </row>
    <row r="8" spans="1:3">
      <c r="A8" s="333">
        <v>3</v>
      </c>
      <c r="B8" s="346" t="s">
        <v>559</v>
      </c>
      <c r="C8" s="347">
        <f>C6+C7</f>
        <v>1231760504.1442151</v>
      </c>
    </row>
    <row r="9" spans="1:3">
      <c r="A9" s="334"/>
      <c r="B9" s="334" t="s">
        <v>560</v>
      </c>
      <c r="C9" s="348"/>
    </row>
    <row r="10" spans="1:3">
      <c r="A10" s="335">
        <v>4</v>
      </c>
      <c r="B10" s="349" t="s">
        <v>561</v>
      </c>
      <c r="C10" s="345"/>
    </row>
    <row r="11" spans="1:3">
      <c r="A11" s="335">
        <v>5</v>
      </c>
      <c r="B11" s="350" t="s">
        <v>562</v>
      </c>
      <c r="C11" s="345"/>
    </row>
    <row r="12" spans="1:3">
      <c r="A12" s="335" t="s">
        <v>563</v>
      </c>
      <c r="B12" s="344" t="s">
        <v>564</v>
      </c>
      <c r="C12" s="347">
        <f>'15. CCR'!E21</f>
        <v>600448</v>
      </c>
    </row>
    <row r="13" spans="1:3">
      <c r="A13" s="336">
        <v>6</v>
      </c>
      <c r="B13" s="351" t="s">
        <v>565</v>
      </c>
      <c r="C13" s="345"/>
    </row>
    <row r="14" spans="1:3">
      <c r="A14" s="336">
        <v>7</v>
      </c>
      <c r="B14" s="352" t="s">
        <v>566</v>
      </c>
      <c r="C14" s="345"/>
    </row>
    <row r="15" spans="1:3">
      <c r="A15" s="337">
        <v>8</v>
      </c>
      <c r="B15" s="344" t="s">
        <v>567</v>
      </c>
      <c r="C15" s="345"/>
    </row>
    <row r="16" spans="1:3" ht="24">
      <c r="A16" s="336">
        <v>9</v>
      </c>
      <c r="B16" s="352" t="s">
        <v>568</v>
      </c>
      <c r="C16" s="345"/>
    </row>
    <row r="17" spans="1:3">
      <c r="A17" s="336">
        <v>10</v>
      </c>
      <c r="B17" s="352" t="s">
        <v>569</v>
      </c>
      <c r="C17" s="345"/>
    </row>
    <row r="18" spans="1:3">
      <c r="A18" s="338">
        <v>11</v>
      </c>
      <c r="B18" s="353" t="s">
        <v>570</v>
      </c>
      <c r="C18" s="347">
        <f>SUM(C10:C17)</f>
        <v>600448</v>
      </c>
    </row>
    <row r="19" spans="1:3">
      <c r="A19" s="334"/>
      <c r="B19" s="334" t="s">
        <v>571</v>
      </c>
      <c r="C19" s="354"/>
    </row>
    <row r="20" spans="1:3">
      <c r="A20" s="336">
        <v>12</v>
      </c>
      <c r="B20" s="349" t="s">
        <v>572</v>
      </c>
      <c r="C20" s="345"/>
    </row>
    <row r="21" spans="1:3">
      <c r="A21" s="336">
        <v>13</v>
      </c>
      <c r="B21" s="349" t="s">
        <v>573</v>
      </c>
      <c r="C21" s="345"/>
    </row>
    <row r="22" spans="1:3">
      <c r="A22" s="336">
        <v>14</v>
      </c>
      <c r="B22" s="349" t="s">
        <v>574</v>
      </c>
      <c r="C22" s="345"/>
    </row>
    <row r="23" spans="1:3" ht="24">
      <c r="A23" s="336" t="s">
        <v>575</v>
      </c>
      <c r="B23" s="349" t="s">
        <v>576</v>
      </c>
      <c r="C23" s="345"/>
    </row>
    <row r="24" spans="1:3">
      <c r="A24" s="336">
        <v>15</v>
      </c>
      <c r="B24" s="349" t="s">
        <v>577</v>
      </c>
      <c r="C24" s="345"/>
    </row>
    <row r="25" spans="1:3">
      <c r="A25" s="336" t="s">
        <v>578</v>
      </c>
      <c r="B25" s="344" t="s">
        <v>579</v>
      </c>
      <c r="C25" s="345"/>
    </row>
    <row r="26" spans="1:3">
      <c r="A26" s="338">
        <v>16</v>
      </c>
      <c r="B26" s="353" t="s">
        <v>580</v>
      </c>
      <c r="C26" s="347">
        <f>SUM(C20:C25)</f>
        <v>0</v>
      </c>
    </row>
    <row r="27" spans="1:3">
      <c r="A27" s="334"/>
      <c r="B27" s="334" t="s">
        <v>581</v>
      </c>
      <c r="C27" s="348"/>
    </row>
    <row r="28" spans="1:3">
      <c r="A28" s="335">
        <v>17</v>
      </c>
      <c r="B28" s="344" t="s">
        <v>582</v>
      </c>
      <c r="C28" s="345">
        <v>64896945.841372088</v>
      </c>
    </row>
    <row r="29" spans="1:3">
      <c r="A29" s="335">
        <v>18</v>
      </c>
      <c r="B29" s="344" t="s">
        <v>583</v>
      </c>
      <c r="C29" s="345">
        <v>-30268762.203630045</v>
      </c>
    </row>
    <row r="30" spans="1:3">
      <c r="A30" s="338">
        <v>19</v>
      </c>
      <c r="B30" s="353" t="s">
        <v>584</v>
      </c>
      <c r="C30" s="347">
        <f>C28+C29</f>
        <v>34628183.637742043</v>
      </c>
    </row>
    <row r="31" spans="1:3">
      <c r="A31" s="339"/>
      <c r="B31" s="334" t="s">
        <v>585</v>
      </c>
      <c r="C31" s="348"/>
    </row>
    <row r="32" spans="1:3">
      <c r="A32" s="335" t="s">
        <v>586</v>
      </c>
      <c r="B32" s="349" t="s">
        <v>587</v>
      </c>
      <c r="C32" s="355"/>
    </row>
    <row r="33" spans="1:3">
      <c r="A33" s="335" t="s">
        <v>588</v>
      </c>
      <c r="B33" s="350" t="s">
        <v>589</v>
      </c>
      <c r="C33" s="355"/>
    </row>
    <row r="34" spans="1:3">
      <c r="A34" s="334"/>
      <c r="B34" s="334" t="s">
        <v>590</v>
      </c>
      <c r="C34" s="348"/>
    </row>
    <row r="35" spans="1:3">
      <c r="A35" s="338">
        <v>20</v>
      </c>
      <c r="B35" s="353" t="s">
        <v>89</v>
      </c>
      <c r="C35" s="347">
        <f>'1. key ratios'!C9</f>
        <v>272875089</v>
      </c>
    </row>
    <row r="36" spans="1:3">
      <c r="A36" s="338">
        <v>21</v>
      </c>
      <c r="B36" s="353" t="s">
        <v>591</v>
      </c>
      <c r="C36" s="347">
        <f>C8+C18+C26+C30</f>
        <v>1266989135.7819571</v>
      </c>
    </row>
    <row r="37" spans="1:3">
      <c r="A37" s="340"/>
      <c r="B37" s="340" t="s">
        <v>556</v>
      </c>
      <c r="C37" s="348"/>
    </row>
    <row r="38" spans="1:3">
      <c r="A38" s="338">
        <v>22</v>
      </c>
      <c r="B38" s="353" t="s">
        <v>556</v>
      </c>
      <c r="C38" s="591">
        <f>IFERROR(C35/C36,0)</f>
        <v>0.21537287202671052</v>
      </c>
    </row>
    <row r="39" spans="1:3">
      <c r="A39" s="340"/>
      <c r="B39" s="340" t="s">
        <v>592</v>
      </c>
      <c r="C39" s="348"/>
    </row>
    <row r="40" spans="1:3">
      <c r="A40" s="341" t="s">
        <v>593</v>
      </c>
      <c r="B40" s="349" t="s">
        <v>594</v>
      </c>
      <c r="C40" s="355"/>
    </row>
    <row r="41" spans="1:3">
      <c r="A41" s="342" t="s">
        <v>595</v>
      </c>
      <c r="B41" s="350" t="s">
        <v>596</v>
      </c>
      <c r="C41" s="355"/>
    </row>
    <row r="43" spans="1:3">
      <c r="B43" s="35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Normal="100" workbookViewId="0">
      <pane xSplit="2" ySplit="6" topLeftCell="C22" activePane="bottomRight" state="frozen"/>
      <selection pane="topRight"/>
      <selection pane="bottomLeft"/>
      <selection pane="bottomRight" activeCell="G39" sqref="G39"/>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"ბანკი ქართუ"</v>
      </c>
    </row>
    <row r="2" spans="1:7">
      <c r="A2" s="1" t="s">
        <v>189</v>
      </c>
      <c r="B2" s="390">
        <f>'1. key ratios'!B2</f>
        <v>44561</v>
      </c>
    </row>
    <row r="3" spans="1:7">
      <c r="B3" s="390"/>
    </row>
    <row r="4" spans="1:7" ht="15.75" thickBot="1">
      <c r="A4" s="1" t="s">
        <v>659</v>
      </c>
      <c r="B4" s="255" t="s">
        <v>624</v>
      </c>
    </row>
    <row r="5" spans="1:7">
      <c r="A5" s="393"/>
      <c r="B5" s="394"/>
      <c r="C5" s="728" t="s">
        <v>625</v>
      </c>
      <c r="D5" s="728"/>
      <c r="E5" s="728"/>
      <c r="F5" s="728"/>
      <c r="G5" s="729" t="s">
        <v>626</v>
      </c>
    </row>
    <row r="6" spans="1:7">
      <c r="A6" s="395"/>
      <c r="B6" s="396"/>
      <c r="C6" s="397" t="s">
        <v>627</v>
      </c>
      <c r="D6" s="397" t="s">
        <v>628</v>
      </c>
      <c r="E6" s="397" t="s">
        <v>629</v>
      </c>
      <c r="F6" s="397" t="s">
        <v>630</v>
      </c>
      <c r="G6" s="730"/>
    </row>
    <row r="7" spans="1:7">
      <c r="A7" s="398"/>
      <c r="B7" s="399" t="s">
        <v>631</v>
      </c>
      <c r="C7" s="400"/>
      <c r="D7" s="400"/>
      <c r="E7" s="400"/>
      <c r="F7" s="400"/>
      <c r="G7" s="401"/>
    </row>
    <row r="8" spans="1:7">
      <c r="A8" s="402">
        <v>1</v>
      </c>
      <c r="B8" s="403" t="s">
        <v>632</v>
      </c>
      <c r="C8" s="404">
        <f>SUM(C9:C10)</f>
        <v>74809889</v>
      </c>
      <c r="D8" s="404">
        <f>SUM(D9:D10)</f>
        <v>0</v>
      </c>
      <c r="E8" s="404">
        <f>SUM(E9:E10)</f>
        <v>0</v>
      </c>
      <c r="F8" s="404">
        <f>SUM(F9:F10)</f>
        <v>383202151.13190001</v>
      </c>
      <c r="G8" s="405">
        <f>SUM(G9:G10)</f>
        <v>458012040.13190001</v>
      </c>
    </row>
    <row r="9" spans="1:7">
      <c r="A9" s="402">
        <v>2</v>
      </c>
      <c r="B9" s="406" t="s">
        <v>88</v>
      </c>
      <c r="C9" s="404">
        <v>74809889</v>
      </c>
      <c r="D9" s="404"/>
      <c r="E9" s="404"/>
      <c r="F9" s="404">
        <v>235236400</v>
      </c>
      <c r="G9" s="405">
        <v>310046289</v>
      </c>
    </row>
    <row r="10" spans="1:7">
      <c r="A10" s="402">
        <v>3</v>
      </c>
      <c r="B10" s="406" t="s">
        <v>633</v>
      </c>
      <c r="C10" s="407"/>
      <c r="D10" s="407"/>
      <c r="E10" s="407"/>
      <c r="F10" s="404">
        <v>147965751.13190001</v>
      </c>
      <c r="G10" s="405">
        <v>147965751.13190001</v>
      </c>
    </row>
    <row r="11" spans="1:7" ht="26.25">
      <c r="A11" s="402">
        <v>4</v>
      </c>
      <c r="B11" s="403" t="s">
        <v>634</v>
      </c>
      <c r="C11" s="404">
        <f t="shared" ref="C11:F11" si="0">SUM(C12:C13)</f>
        <v>54271433.040600538</v>
      </c>
      <c r="D11" s="404">
        <f t="shared" si="0"/>
        <v>60618615.924600005</v>
      </c>
      <c r="E11" s="404">
        <f t="shared" si="0"/>
        <v>97073024.362800017</v>
      </c>
      <c r="F11" s="404">
        <f t="shared" si="0"/>
        <v>0</v>
      </c>
      <c r="G11" s="405">
        <f>SUM(G12:G13)</f>
        <v>195360286.02061552</v>
      </c>
    </row>
    <row r="12" spans="1:7">
      <c r="A12" s="402">
        <v>5</v>
      </c>
      <c r="B12" s="406" t="s">
        <v>635</v>
      </c>
      <c r="C12" s="404">
        <v>44918188.201500535</v>
      </c>
      <c r="D12" s="408">
        <v>57303028.120400004</v>
      </c>
      <c r="E12" s="404">
        <v>96398226.692800015</v>
      </c>
      <c r="F12" s="404"/>
      <c r="G12" s="405">
        <v>188688470.86396551</v>
      </c>
    </row>
    <row r="13" spans="1:7">
      <c r="A13" s="402">
        <v>6</v>
      </c>
      <c r="B13" s="406" t="s">
        <v>636</v>
      </c>
      <c r="C13" s="404">
        <v>9353244.8390999995</v>
      </c>
      <c r="D13" s="408">
        <v>3315587.8041999997</v>
      </c>
      <c r="E13" s="404">
        <v>674797.66999999993</v>
      </c>
      <c r="F13" s="404"/>
      <c r="G13" s="405">
        <v>6671815.1566499993</v>
      </c>
    </row>
    <row r="14" spans="1:7">
      <c r="A14" s="402">
        <v>7</v>
      </c>
      <c r="B14" s="403" t="s">
        <v>637</v>
      </c>
      <c r="C14" s="404">
        <f t="shared" ref="C14:F14" si="1">SUM(C15:C16)</f>
        <v>108901753.65089999</v>
      </c>
      <c r="D14" s="404">
        <f t="shared" si="1"/>
        <v>348945648.19749999</v>
      </c>
      <c r="E14" s="404">
        <f t="shared" si="1"/>
        <v>56711251.6417</v>
      </c>
      <c r="F14" s="404">
        <f t="shared" si="1"/>
        <v>0</v>
      </c>
      <c r="G14" s="405">
        <f>SUM(G15:G16)</f>
        <v>246521698.28305</v>
      </c>
    </row>
    <row r="15" spans="1:7" ht="51.75">
      <c r="A15" s="402">
        <v>8</v>
      </c>
      <c r="B15" s="406" t="s">
        <v>638</v>
      </c>
      <c r="C15" s="404">
        <v>107107848.84689999</v>
      </c>
      <c r="D15" s="404">
        <v>329224296.07749999</v>
      </c>
      <c r="E15" s="404">
        <v>33917700.221699998</v>
      </c>
      <c r="F15" s="404"/>
      <c r="G15" s="405">
        <v>235124922.57304999</v>
      </c>
    </row>
    <row r="16" spans="1:7" ht="26.25">
      <c r="A16" s="402">
        <v>9</v>
      </c>
      <c r="B16" s="406" t="s">
        <v>639</v>
      </c>
      <c r="C16" s="404">
        <v>1793904.8040000002</v>
      </c>
      <c r="D16" s="408">
        <v>19721352.120000001</v>
      </c>
      <c r="E16" s="404">
        <v>22793551.420000002</v>
      </c>
      <c r="F16" s="404"/>
      <c r="G16" s="405">
        <v>11396775.710000001</v>
      </c>
    </row>
    <row r="17" spans="1:7">
      <c r="A17" s="402">
        <v>10</v>
      </c>
      <c r="B17" s="403" t="s">
        <v>640</v>
      </c>
      <c r="C17" s="404"/>
      <c r="D17" s="408"/>
      <c r="E17" s="404"/>
      <c r="F17" s="404"/>
      <c r="G17" s="405"/>
    </row>
    <row r="18" spans="1:7">
      <c r="A18" s="402">
        <v>11</v>
      </c>
      <c r="B18" s="403" t="s">
        <v>95</v>
      </c>
      <c r="C18" s="404">
        <f>SUM(C19:C20)</f>
        <v>0</v>
      </c>
      <c r="D18" s="408">
        <f t="shared" ref="D18:G18" si="2">SUM(D19:D20)</f>
        <v>40535027.186399475</v>
      </c>
      <c r="E18" s="404">
        <f t="shared" si="2"/>
        <v>4304161.9954999834</v>
      </c>
      <c r="F18" s="404">
        <f t="shared" si="2"/>
        <v>8247201.8680999875</v>
      </c>
      <c r="G18" s="405">
        <f t="shared" si="2"/>
        <v>0</v>
      </c>
    </row>
    <row r="19" spans="1:7">
      <c r="A19" s="402">
        <v>12</v>
      </c>
      <c r="B19" s="406" t="s">
        <v>641</v>
      </c>
      <c r="C19" s="407"/>
      <c r="D19" s="408">
        <v>17632000</v>
      </c>
      <c r="E19" s="404">
        <v>0</v>
      </c>
      <c r="F19" s="404"/>
      <c r="G19" s="405">
        <v>0</v>
      </c>
    </row>
    <row r="20" spans="1:7" ht="26.25">
      <c r="A20" s="402">
        <v>13</v>
      </c>
      <c r="B20" s="406" t="s">
        <v>642</v>
      </c>
      <c r="C20" s="404">
        <v>0</v>
      </c>
      <c r="D20" s="404">
        <v>22903027.186399475</v>
      </c>
      <c r="E20" s="404">
        <v>4304161.9954999834</v>
      </c>
      <c r="F20" s="404">
        <v>8247201.8680999875</v>
      </c>
      <c r="G20" s="405">
        <v>0</v>
      </c>
    </row>
    <row r="21" spans="1:7">
      <c r="A21" s="409">
        <v>14</v>
      </c>
      <c r="B21" s="410" t="s">
        <v>643</v>
      </c>
      <c r="C21" s="407"/>
      <c r="D21" s="407"/>
      <c r="E21" s="407"/>
      <c r="F21" s="407"/>
      <c r="G21" s="411">
        <f>SUM(G8,G11,G14,G17,G18)</f>
        <v>899894024.43556547</v>
      </c>
    </row>
    <row r="22" spans="1:7">
      <c r="A22" s="412"/>
      <c r="B22" s="428" t="s">
        <v>644</v>
      </c>
      <c r="C22" s="413"/>
      <c r="D22" s="414"/>
      <c r="E22" s="413"/>
      <c r="F22" s="413"/>
      <c r="G22" s="415"/>
    </row>
    <row r="23" spans="1:7">
      <c r="A23" s="402">
        <v>15</v>
      </c>
      <c r="B23" s="403" t="s">
        <v>491</v>
      </c>
      <c r="C23" s="416">
        <v>308966413.51999998</v>
      </c>
      <c r="D23" s="417">
        <v>1239040</v>
      </c>
      <c r="E23" s="416">
        <v>3000</v>
      </c>
      <c r="F23" s="416"/>
      <c r="G23" s="405">
        <v>3967075.3760000002</v>
      </c>
    </row>
    <row r="24" spans="1:7">
      <c r="A24" s="402">
        <v>16</v>
      </c>
      <c r="B24" s="403" t="s">
        <v>645</v>
      </c>
      <c r="C24" s="404">
        <f>SUM(C25:C27,C29,C31)</f>
        <v>2676025.2899999991</v>
      </c>
      <c r="D24" s="408">
        <f t="shared" ref="D24:G24" si="3">SUM(D25:D27,D29,D31)</f>
        <v>164146531.8508822</v>
      </c>
      <c r="E24" s="404">
        <f t="shared" si="3"/>
        <v>86214763.830604717</v>
      </c>
      <c r="F24" s="404">
        <f t="shared" si="3"/>
        <v>338002685.95135069</v>
      </c>
      <c r="G24" s="405">
        <f t="shared" si="3"/>
        <v>412884334.69289154</v>
      </c>
    </row>
    <row r="25" spans="1:7" ht="26.25">
      <c r="A25" s="402">
        <v>17</v>
      </c>
      <c r="B25" s="406" t="s">
        <v>646</v>
      </c>
      <c r="C25" s="404"/>
      <c r="D25" s="408">
        <v>0</v>
      </c>
      <c r="E25" s="404"/>
      <c r="F25" s="404"/>
      <c r="G25" s="405"/>
    </row>
    <row r="26" spans="1:7" ht="26.25">
      <c r="A26" s="402">
        <v>18</v>
      </c>
      <c r="B26" s="406" t="s">
        <v>647</v>
      </c>
      <c r="C26" s="404">
        <v>2676025.2899999991</v>
      </c>
      <c r="D26" s="408">
        <v>0</v>
      </c>
      <c r="E26" s="404">
        <v>0</v>
      </c>
      <c r="F26" s="404">
        <v>0</v>
      </c>
      <c r="G26" s="405">
        <v>401403.79349999985</v>
      </c>
    </row>
    <row r="27" spans="1:7">
      <c r="A27" s="402">
        <v>19</v>
      </c>
      <c r="B27" s="406" t="s">
        <v>648</v>
      </c>
      <c r="C27" s="404"/>
      <c r="D27" s="408">
        <v>159681516.81312123</v>
      </c>
      <c r="E27" s="404">
        <v>70074571.297882989</v>
      </c>
      <c r="F27" s="404">
        <v>297865436.34086382</v>
      </c>
      <c r="G27" s="405">
        <v>368063664.94523633</v>
      </c>
    </row>
    <row r="28" spans="1:7">
      <c r="A28" s="402">
        <v>20</v>
      </c>
      <c r="B28" s="418" t="s">
        <v>649</v>
      </c>
      <c r="C28" s="404"/>
      <c r="D28" s="408"/>
      <c r="E28" s="404"/>
      <c r="F28" s="404"/>
      <c r="G28" s="405"/>
    </row>
    <row r="29" spans="1:7">
      <c r="A29" s="402">
        <v>21</v>
      </c>
      <c r="B29" s="406" t="s">
        <v>650</v>
      </c>
      <c r="C29" s="404"/>
      <c r="D29" s="408">
        <v>2872217.907760968</v>
      </c>
      <c r="E29" s="404">
        <v>15699192.532721724</v>
      </c>
      <c r="F29" s="404">
        <v>23456359.610486895</v>
      </c>
      <c r="G29" s="405">
        <v>29223610.889155205</v>
      </c>
    </row>
    <row r="30" spans="1:7">
      <c r="A30" s="402">
        <v>22</v>
      </c>
      <c r="B30" s="418" t="s">
        <v>649</v>
      </c>
      <c r="C30" s="404"/>
      <c r="D30" s="408"/>
      <c r="E30" s="404"/>
      <c r="F30" s="404"/>
      <c r="G30" s="405"/>
    </row>
    <row r="31" spans="1:7" ht="26.25">
      <c r="A31" s="402">
        <v>23</v>
      </c>
      <c r="B31" s="406" t="s">
        <v>651</v>
      </c>
      <c r="C31" s="404"/>
      <c r="D31" s="408">
        <v>1592797.1300000001</v>
      </c>
      <c r="E31" s="404">
        <v>441000.00000000006</v>
      </c>
      <c r="F31" s="404">
        <v>16680890</v>
      </c>
      <c r="G31" s="405">
        <v>15195655.064999999</v>
      </c>
    </row>
    <row r="32" spans="1:7">
      <c r="A32" s="402">
        <v>24</v>
      </c>
      <c r="B32" s="403" t="s">
        <v>652</v>
      </c>
      <c r="C32" s="404"/>
      <c r="D32" s="408"/>
      <c r="E32" s="404"/>
      <c r="F32" s="404"/>
      <c r="G32" s="405"/>
    </row>
    <row r="33" spans="1:7">
      <c r="A33" s="402">
        <v>25</v>
      </c>
      <c r="B33" s="403" t="s">
        <v>165</v>
      </c>
      <c r="C33" s="404">
        <f>SUM(C34:C35)</f>
        <v>0</v>
      </c>
      <c r="D33" s="404">
        <f>SUM(D34:D35)</f>
        <v>25901332.887117837</v>
      </c>
      <c r="E33" s="404">
        <f>SUM(E34:E35)</f>
        <v>29075731.169395283</v>
      </c>
      <c r="F33" s="404">
        <f>SUM(F34:F35)</f>
        <v>281416418.74864936</v>
      </c>
      <c r="G33" s="405">
        <f>SUM(G34:G35)</f>
        <v>305063422.2767638</v>
      </c>
    </row>
    <row r="34" spans="1:7">
      <c r="A34" s="402">
        <v>26</v>
      </c>
      <c r="B34" s="406" t="s">
        <v>653</v>
      </c>
      <c r="C34" s="407"/>
      <c r="D34" s="408">
        <v>17521125.248</v>
      </c>
      <c r="E34" s="404"/>
      <c r="F34" s="404"/>
      <c r="G34" s="405">
        <v>17521125.248</v>
      </c>
    </row>
    <row r="35" spans="1:7">
      <c r="A35" s="402">
        <v>27</v>
      </c>
      <c r="B35" s="406" t="s">
        <v>654</v>
      </c>
      <c r="C35" s="404"/>
      <c r="D35" s="408">
        <v>8380207.639117837</v>
      </c>
      <c r="E35" s="404">
        <v>29075731.169395283</v>
      </c>
      <c r="F35" s="404">
        <v>281416418.74864936</v>
      </c>
      <c r="G35" s="405">
        <v>287542297.02876377</v>
      </c>
    </row>
    <row r="36" spans="1:7">
      <c r="A36" s="402">
        <v>28</v>
      </c>
      <c r="B36" s="403" t="s">
        <v>655</v>
      </c>
      <c r="C36" s="404"/>
      <c r="D36" s="408">
        <v>49520570.6889892</v>
      </c>
      <c r="E36" s="404">
        <v>6120941.9545600004</v>
      </c>
      <c r="F36" s="404">
        <v>8809134.7061120011</v>
      </c>
      <c r="G36" s="405">
        <v>5119416.7269884199</v>
      </c>
    </row>
    <row r="37" spans="1:7">
      <c r="A37" s="409">
        <v>29</v>
      </c>
      <c r="B37" s="410" t="s">
        <v>656</v>
      </c>
      <c r="C37" s="407"/>
      <c r="D37" s="407"/>
      <c r="E37" s="407"/>
      <c r="F37" s="407"/>
      <c r="G37" s="411">
        <f>SUM(G23:G24,G32:G33,G36)</f>
        <v>727034249.07264376</v>
      </c>
    </row>
    <row r="38" spans="1:7">
      <c r="A38" s="398"/>
      <c r="B38" s="419"/>
      <c r="C38" s="592"/>
      <c r="D38" s="592"/>
      <c r="E38" s="592"/>
      <c r="F38" s="592"/>
      <c r="G38" s="420"/>
    </row>
    <row r="39" spans="1:7" ht="15.75" thickBot="1">
      <c r="A39" s="421">
        <v>30</v>
      </c>
      <c r="B39" s="422" t="s">
        <v>624</v>
      </c>
      <c r="C39" s="285"/>
      <c r="D39" s="271"/>
      <c r="E39" s="271"/>
      <c r="F39" s="423"/>
      <c r="G39" s="424">
        <f>IFERROR(G21/G37,0)</f>
        <v>1.2377601544678398</v>
      </c>
    </row>
    <row r="42" spans="1:7"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25" activePane="bottomRight" state="frozen"/>
      <selection pane="topRight"/>
      <selection pane="bottomLeft"/>
      <selection pane="bottomRight" activeCell="C25" sqref="C25"/>
    </sheetView>
  </sheetViews>
  <sheetFormatPr defaultRowHeight="15.75"/>
  <cols>
    <col min="1" max="1" width="9.5703125" style="15" bestFit="1" customWidth="1"/>
    <col min="2" max="2" width="88.28515625" style="13" customWidth="1"/>
    <col min="3" max="3" width="12.7109375" style="13" customWidth="1"/>
    <col min="4" max="7" width="12.7109375" style="1" customWidth="1"/>
    <col min="8" max="13" width="6.7109375" customWidth="1"/>
  </cols>
  <sheetData>
    <row r="1" spans="1:7">
      <c r="A1" s="14" t="s">
        <v>188</v>
      </c>
      <c r="B1" s="357" t="str">
        <f>Info!C2</f>
        <v>სს "ბანკი ქართუ"</v>
      </c>
    </row>
    <row r="2" spans="1:7">
      <c r="A2" s="14" t="s">
        <v>189</v>
      </c>
      <c r="B2" s="378">
        <v>44561</v>
      </c>
    </row>
    <row r="3" spans="1:7">
      <c r="A3" s="14"/>
    </row>
    <row r="4" spans="1:7" ht="16.5" thickBot="1">
      <c r="A4" s="62" t="s">
        <v>405</v>
      </c>
      <c r="B4" s="191" t="s">
        <v>223</v>
      </c>
      <c r="C4" s="192"/>
      <c r="D4" s="193"/>
      <c r="E4" s="193"/>
      <c r="F4" s="193"/>
      <c r="G4" s="193"/>
    </row>
    <row r="5" spans="1:7" ht="15">
      <c r="A5" s="258" t="s">
        <v>26</v>
      </c>
      <c r="B5" s="259"/>
      <c r="C5" s="379" t="str">
        <f>INT((MONTH($B$2))/3)&amp;"Q"&amp;"-"&amp;YEAR($B$2)</f>
        <v>4Q-2021</v>
      </c>
      <c r="D5" s="379" t="str">
        <f>IF(INT(MONTH($B$2))=3, "4"&amp;"Q"&amp;"-"&amp;YEAR($B$2)-1, IF(INT(MONTH($B$2))=6, "1"&amp;"Q"&amp;"-"&amp;YEAR($B$2), IF(INT(MONTH($B$2))=9, "2"&amp;"Q"&amp;"-"&amp;YEAR($B$2),IF(INT(MONTH($B$2))=12, "3"&amp;"Q"&amp;"-"&amp;YEAR($B$2), 0))))</f>
        <v>3Q-2021</v>
      </c>
      <c r="E5" s="379" t="str">
        <f>IF(INT(MONTH($B$2))=3, "3"&amp;"Q"&amp;"-"&amp;YEAR($B$2)-1, IF(INT(MONTH($B$2))=6, "4"&amp;"Q"&amp;"-"&amp;YEAR($B$2)-1, IF(INT(MONTH($B$2))=9, "1"&amp;"Q"&amp;"-"&amp;YEAR($B$2),IF(INT(MONTH($B$2))=12, "2"&amp;"Q"&amp;"-"&amp;YEAR($B$2), 0))))</f>
        <v>2Q-2021</v>
      </c>
      <c r="F5" s="379" t="str">
        <f>IF(INT(MONTH($B$2))=3, "2"&amp;"Q"&amp;"-"&amp;YEAR($B$2)-1, IF(INT(MONTH($B$2))=6, "3"&amp;"Q"&amp;"-"&amp;YEAR($B$2)-1, IF(INT(MONTH($B$2))=9, "4"&amp;"Q"&amp;"-"&amp;YEAR($B$2)-1,IF(INT(MONTH($B$2))=12, "1"&amp;"Q"&amp;"-"&amp;YEAR($B$2), 0))))</f>
        <v>1Q-2021</v>
      </c>
      <c r="G5" s="494" t="str">
        <f>IF(INT(MONTH($B$2))=3, "1"&amp;"Q"&amp;"-"&amp;YEAR($B$2)-1, IF(INT(MONTH($B$2))=6, "2"&amp;"Q"&amp;"-"&amp;YEAR($B$2)-1, IF(INT(MONTH($B$2))=9, "3"&amp;"Q"&amp;"-"&amp;YEAR($B$2)-1,IF(INT(MONTH($B$2))=12, "4"&amp;"Q"&amp;"-"&amp;YEAR($B$2)-1, 0))))</f>
        <v>4Q-2020</v>
      </c>
    </row>
    <row r="6" spans="1:7" ht="15">
      <c r="A6" s="380"/>
      <c r="B6" s="381" t="s">
        <v>186</v>
      </c>
      <c r="C6" s="495"/>
      <c r="D6" s="495"/>
      <c r="E6" s="495"/>
      <c r="F6" s="495"/>
      <c r="G6" s="260"/>
    </row>
    <row r="7" spans="1:7" ht="15">
      <c r="A7" s="380"/>
      <c r="B7" s="382" t="s">
        <v>190</v>
      </c>
      <c r="C7" s="495"/>
      <c r="D7" s="495"/>
      <c r="E7" s="495"/>
      <c r="F7" s="495"/>
      <c r="G7" s="260"/>
    </row>
    <row r="8" spans="1:7" ht="15">
      <c r="A8" s="361">
        <v>1</v>
      </c>
      <c r="B8" s="362" t="s">
        <v>23</v>
      </c>
      <c r="C8" s="496">
        <v>189239889</v>
      </c>
      <c r="D8" s="496">
        <v>175613617.65000001</v>
      </c>
      <c r="E8" s="496">
        <v>168291279.65000001</v>
      </c>
      <c r="F8" s="496">
        <v>180388469.65000001</v>
      </c>
      <c r="G8" s="497">
        <v>171026077</v>
      </c>
    </row>
    <row r="9" spans="1:7" ht="15">
      <c r="A9" s="361">
        <v>2</v>
      </c>
      <c r="B9" s="362" t="s">
        <v>89</v>
      </c>
      <c r="C9" s="496">
        <v>272875089</v>
      </c>
      <c r="D9" s="496">
        <v>259929217.65000001</v>
      </c>
      <c r="E9" s="496">
        <v>253619379.65000001</v>
      </c>
      <c r="F9" s="496">
        <v>238389069.65000001</v>
      </c>
      <c r="G9" s="497">
        <v>226728277</v>
      </c>
    </row>
    <row r="10" spans="1:7" ht="15">
      <c r="A10" s="361">
        <v>3</v>
      </c>
      <c r="B10" s="362" t="s">
        <v>88</v>
      </c>
      <c r="C10" s="496">
        <v>322397605</v>
      </c>
      <c r="D10" s="496">
        <v>309904913.64999998</v>
      </c>
      <c r="E10" s="496">
        <v>351699748.64999998</v>
      </c>
      <c r="F10" s="496">
        <v>419211592.64999998</v>
      </c>
      <c r="G10" s="497">
        <v>400582803</v>
      </c>
    </row>
    <row r="11" spans="1:7" ht="15">
      <c r="A11" s="361">
        <v>4</v>
      </c>
      <c r="B11" s="362" t="s">
        <v>615</v>
      </c>
      <c r="C11" s="496">
        <v>136577495.8508997</v>
      </c>
      <c r="D11" s="496">
        <v>138365879.42782193</v>
      </c>
      <c r="E11" s="496">
        <v>145963792.78535116</v>
      </c>
      <c r="F11" s="496">
        <v>159279293.63442346</v>
      </c>
      <c r="G11" s="497">
        <v>140186595.68914956</v>
      </c>
    </row>
    <row r="12" spans="1:7" ht="15">
      <c r="A12" s="361">
        <v>5</v>
      </c>
      <c r="B12" s="362" t="s">
        <v>616</v>
      </c>
      <c r="C12" s="496">
        <v>171373251.16610357</v>
      </c>
      <c r="D12" s="496">
        <v>173604853.06885102</v>
      </c>
      <c r="E12" s="496">
        <v>183360504.28682971</v>
      </c>
      <c r="F12" s="496">
        <v>200349795.65585443</v>
      </c>
      <c r="G12" s="497">
        <v>174966591.98411831</v>
      </c>
    </row>
    <row r="13" spans="1:7" ht="15">
      <c r="A13" s="361">
        <v>6</v>
      </c>
      <c r="B13" s="362" t="s">
        <v>617</v>
      </c>
      <c r="C13" s="496">
        <v>263543735.53833356</v>
      </c>
      <c r="D13" s="496">
        <v>265118839.3574006</v>
      </c>
      <c r="E13" s="496">
        <v>282749317.92180848</v>
      </c>
      <c r="F13" s="496">
        <v>310509572.82126808</v>
      </c>
      <c r="G13" s="497">
        <v>310408552.82748038</v>
      </c>
    </row>
    <row r="14" spans="1:7" ht="15">
      <c r="A14" s="380"/>
      <c r="B14" s="381" t="s">
        <v>619</v>
      </c>
      <c r="C14" s="495"/>
      <c r="D14" s="495"/>
      <c r="E14" s="495"/>
      <c r="F14" s="495"/>
      <c r="G14" s="260"/>
    </row>
    <row r="15" spans="1:7" ht="15" customHeight="1">
      <c r="A15" s="361">
        <v>7</v>
      </c>
      <c r="B15" s="362" t="s">
        <v>618</v>
      </c>
      <c r="C15" s="496">
        <v>1299143576.9453716</v>
      </c>
      <c r="D15" s="496">
        <v>1318377848.5747347</v>
      </c>
      <c r="E15" s="496">
        <v>1364203504.3029904</v>
      </c>
      <c r="F15" s="496">
        <v>1458081188.9781187</v>
      </c>
      <c r="G15" s="497">
        <v>1448539441.0368302</v>
      </c>
    </row>
    <row r="16" spans="1:7" ht="15">
      <c r="A16" s="380"/>
      <c r="B16" s="381" t="s">
        <v>623</v>
      </c>
      <c r="C16" s="495"/>
      <c r="D16" s="495"/>
      <c r="E16" s="495"/>
      <c r="F16" s="495"/>
      <c r="G16" s="260"/>
    </row>
    <row r="17" spans="1:7" ht="15">
      <c r="A17" s="361"/>
      <c r="B17" s="382" t="s">
        <v>604</v>
      </c>
      <c r="C17" s="495"/>
      <c r="D17" s="495"/>
      <c r="E17" s="495"/>
      <c r="F17" s="495"/>
      <c r="G17" s="260"/>
    </row>
    <row r="18" spans="1:7" ht="15">
      <c r="A18" s="361">
        <v>8</v>
      </c>
      <c r="B18" s="362" t="s">
        <v>613</v>
      </c>
      <c r="C18" s="391">
        <v>0.14566510765881072</v>
      </c>
      <c r="D18" s="391">
        <v>0.13320431455963214</v>
      </c>
      <c r="E18" s="391">
        <v>0.1233622983075276</v>
      </c>
      <c r="F18" s="391">
        <v>0.1237163410471151</v>
      </c>
      <c r="G18" s="392">
        <v>0.11806794634296157</v>
      </c>
    </row>
    <row r="19" spans="1:7" ht="15" customHeight="1">
      <c r="A19" s="361">
        <v>9</v>
      </c>
      <c r="B19" s="362" t="s">
        <v>612</v>
      </c>
      <c r="C19" s="391">
        <v>0.21004228773666506</v>
      </c>
      <c r="D19" s="391">
        <v>0.19715836240043247</v>
      </c>
      <c r="E19" s="391">
        <v>0.1859102244276826</v>
      </c>
      <c r="F19" s="391">
        <v>0.16349505874708703</v>
      </c>
      <c r="G19" s="392">
        <v>0.15652199075622911</v>
      </c>
    </row>
    <row r="20" spans="1:7" ht="15">
      <c r="A20" s="361">
        <v>10</v>
      </c>
      <c r="B20" s="362" t="s">
        <v>614</v>
      </c>
      <c r="C20" s="391">
        <v>0.24816164334818297</v>
      </c>
      <c r="D20" s="391">
        <v>0.23506532211917125</v>
      </c>
      <c r="E20" s="391">
        <v>0.25780592671156727</v>
      </c>
      <c r="F20" s="391">
        <v>0.28750908784702184</v>
      </c>
      <c r="G20" s="392">
        <v>0.27654255842234599</v>
      </c>
    </row>
    <row r="21" spans="1:7" ht="15">
      <c r="A21" s="361">
        <v>11</v>
      </c>
      <c r="B21" s="362" t="s">
        <v>615</v>
      </c>
      <c r="C21" s="498">
        <v>0.1051288697220282</v>
      </c>
      <c r="D21" s="498">
        <v>0.10495161123755668</v>
      </c>
      <c r="E21" s="498">
        <v>0.10699561489539504</v>
      </c>
      <c r="F21" s="498">
        <v>0.10923897437155247</v>
      </c>
      <c r="G21" s="499">
        <v>9.6777893454393846E-2</v>
      </c>
    </row>
    <row r="22" spans="1:7" ht="15">
      <c r="A22" s="361">
        <v>12</v>
      </c>
      <c r="B22" s="362" t="s">
        <v>616</v>
      </c>
      <c r="C22" s="498">
        <v>0.1319124800424655</v>
      </c>
      <c r="D22" s="498">
        <v>0.13168065077589924</v>
      </c>
      <c r="E22" s="498">
        <v>0.13440846890399516</v>
      </c>
      <c r="F22" s="498">
        <v>0.13740647446132101</v>
      </c>
      <c r="G22" s="499">
        <v>0.12078828303003016</v>
      </c>
    </row>
    <row r="23" spans="1:7" ht="15">
      <c r="A23" s="361">
        <v>13</v>
      </c>
      <c r="B23" s="362" t="s">
        <v>617</v>
      </c>
      <c r="C23" s="498">
        <v>0.20285959166883943</v>
      </c>
      <c r="D23" s="498">
        <v>0.20109473141103967</v>
      </c>
      <c r="E23" s="498">
        <v>0.20726329834951787</v>
      </c>
      <c r="F23" s="498">
        <v>0.21295767009989722</v>
      </c>
      <c r="G23" s="499">
        <v>0.21429071520848428</v>
      </c>
    </row>
    <row r="24" spans="1:7" ht="15">
      <c r="A24" s="380"/>
      <c r="B24" s="381" t="s">
        <v>6</v>
      </c>
      <c r="C24" s="495"/>
      <c r="D24" s="495"/>
      <c r="E24" s="495"/>
      <c r="F24" s="495"/>
      <c r="G24" s="260"/>
    </row>
    <row r="25" spans="1:7" ht="15" customHeight="1">
      <c r="A25" s="383">
        <v>14</v>
      </c>
      <c r="B25" s="384" t="s">
        <v>7</v>
      </c>
      <c r="C25" s="391">
        <v>6.2673778124179097E-2</v>
      </c>
      <c r="D25" s="391">
        <v>5.8734843791540745E-2</v>
      </c>
      <c r="E25" s="391">
        <v>5.5542293726259066E-2</v>
      </c>
      <c r="F25" s="391">
        <v>4.9308039280143698E-2</v>
      </c>
      <c r="G25" s="500">
        <v>5.7798008621737444E-2</v>
      </c>
    </row>
    <row r="26" spans="1:7" ht="15">
      <c r="A26" s="383">
        <v>15</v>
      </c>
      <c r="B26" s="384" t="s">
        <v>8</v>
      </c>
      <c r="C26" s="391">
        <v>2.6338428477537989E-2</v>
      </c>
      <c r="D26" s="391">
        <v>2.6580411114409629E-2</v>
      </c>
      <c r="E26" s="391">
        <v>2.6655256322156262E-2</v>
      </c>
      <c r="F26" s="391">
        <v>2.5907335762192122E-2</v>
      </c>
      <c r="G26" s="500">
        <v>2.6432057290733939E-2</v>
      </c>
    </row>
    <row r="27" spans="1:7" ht="15">
      <c r="A27" s="383">
        <v>16</v>
      </c>
      <c r="B27" s="384" t="s">
        <v>9</v>
      </c>
      <c r="C27" s="391">
        <v>2.3620151247014328E-2</v>
      </c>
      <c r="D27" s="391">
        <v>2.4212417832762862E-2</v>
      </c>
      <c r="E27" s="391">
        <v>2.4645138820403801E-2</v>
      </c>
      <c r="F27" s="391">
        <v>2.7599250829665765E-2</v>
      </c>
      <c r="G27" s="500">
        <v>1.7974020495611802E-2</v>
      </c>
    </row>
    <row r="28" spans="1:7" ht="15">
      <c r="A28" s="383">
        <v>17</v>
      </c>
      <c r="B28" s="384" t="s">
        <v>224</v>
      </c>
      <c r="C28" s="391">
        <v>3.6335349646641105E-2</v>
      </c>
      <c r="D28" s="391">
        <v>3.2154432677131126E-2</v>
      </c>
      <c r="E28" s="391">
        <v>2.8887037404102808E-2</v>
      </c>
      <c r="F28" s="391">
        <v>2.3400703517951572E-2</v>
      </c>
      <c r="G28" s="500">
        <v>3.1365951331003505E-2</v>
      </c>
    </row>
    <row r="29" spans="1:7" ht="15">
      <c r="A29" s="383">
        <v>18</v>
      </c>
      <c r="B29" s="384" t="s">
        <v>10</v>
      </c>
      <c r="C29" s="391">
        <v>2.524722168252869E-2</v>
      </c>
      <c r="D29" s="391">
        <v>2.2211413514672047E-2</v>
      </c>
      <c r="E29" s="391">
        <v>2.2677858071597234E-2</v>
      </c>
      <c r="F29" s="391">
        <v>2.4210249063772265E-2</v>
      </c>
      <c r="G29" s="500">
        <v>-1.895280121225831E-2</v>
      </c>
    </row>
    <row r="30" spans="1:7" ht="15">
      <c r="A30" s="383">
        <v>19</v>
      </c>
      <c r="B30" s="384" t="s">
        <v>11</v>
      </c>
      <c r="C30" s="391">
        <v>0.1854104744367665</v>
      </c>
      <c r="D30" s="391">
        <v>0.16787117394092582</v>
      </c>
      <c r="E30" s="391">
        <v>0.17453698031898413</v>
      </c>
      <c r="F30" s="391">
        <v>0.18932634371953191</v>
      </c>
      <c r="G30" s="500">
        <v>-0.13653204235450236</v>
      </c>
    </row>
    <row r="31" spans="1:7" ht="15">
      <c r="A31" s="380"/>
      <c r="B31" s="381" t="s">
        <v>12</v>
      </c>
      <c r="C31" s="495"/>
      <c r="D31" s="495"/>
      <c r="E31" s="495"/>
      <c r="F31" s="495"/>
      <c r="G31" s="260"/>
    </row>
    <row r="32" spans="1:7" ht="15">
      <c r="A32" s="383">
        <v>20</v>
      </c>
      <c r="B32" s="384" t="s">
        <v>13</v>
      </c>
      <c r="C32" s="391">
        <v>0.33812745576393999</v>
      </c>
      <c r="D32" s="391">
        <v>0.35630392196599409</v>
      </c>
      <c r="E32" s="391">
        <v>0.35472797783322557</v>
      </c>
      <c r="F32" s="391">
        <v>0.34742919152744028</v>
      </c>
      <c r="G32" s="500">
        <v>0.34985489375950574</v>
      </c>
    </row>
    <row r="33" spans="1:7" ht="15" customHeight="1">
      <c r="A33" s="383">
        <v>21</v>
      </c>
      <c r="B33" s="384" t="s">
        <v>14</v>
      </c>
      <c r="C33" s="391">
        <v>0.16490978842264903</v>
      </c>
      <c r="D33" s="391">
        <v>0.16969773024225895</v>
      </c>
      <c r="E33" s="391">
        <v>0.16766481389724347</v>
      </c>
      <c r="F33" s="391">
        <v>0.16016029623217928</v>
      </c>
      <c r="G33" s="500">
        <v>0.16101958424404253</v>
      </c>
    </row>
    <row r="34" spans="1:7" ht="15">
      <c r="A34" s="383">
        <v>22</v>
      </c>
      <c r="B34" s="384" t="s">
        <v>15</v>
      </c>
      <c r="C34" s="391">
        <v>0.6444377856671768</v>
      </c>
      <c r="D34" s="391">
        <v>0.67609118361544418</v>
      </c>
      <c r="E34" s="391">
        <v>0.67110475618654031</v>
      </c>
      <c r="F34" s="391">
        <v>0.68939866376839776</v>
      </c>
      <c r="G34" s="500">
        <v>0.6614950302500493</v>
      </c>
    </row>
    <row r="35" spans="1:7" ht="15" customHeight="1">
      <c r="A35" s="383">
        <v>23</v>
      </c>
      <c r="B35" s="384" t="s">
        <v>16</v>
      </c>
      <c r="C35" s="391">
        <v>0.65562891198801532</v>
      </c>
      <c r="D35" s="391">
        <v>0.67865249363567326</v>
      </c>
      <c r="E35" s="391">
        <v>0.69225947801502896</v>
      </c>
      <c r="F35" s="391">
        <v>0.70344948211524705</v>
      </c>
      <c r="G35" s="500">
        <v>0.67343143849694653</v>
      </c>
    </row>
    <row r="36" spans="1:7" ht="15">
      <c r="A36" s="383">
        <v>24</v>
      </c>
      <c r="B36" s="384" t="s">
        <v>17</v>
      </c>
      <c r="C36" s="391">
        <v>-0.11443914848653591</v>
      </c>
      <c r="D36" s="391">
        <v>-9.9150915080462032E-2</v>
      </c>
      <c r="E36" s="391">
        <v>-5.6507426203625366E-2</v>
      </c>
      <c r="F36" s="391">
        <v>2.670841919251421E-2</v>
      </c>
      <c r="G36" s="500">
        <v>0.18752038665288917</v>
      </c>
    </row>
    <row r="37" spans="1:7" ht="15" customHeight="1">
      <c r="A37" s="380"/>
      <c r="B37" s="381" t="s">
        <v>18</v>
      </c>
      <c r="C37" s="495"/>
      <c r="D37" s="495"/>
      <c r="E37" s="495"/>
      <c r="F37" s="495"/>
      <c r="G37" s="260"/>
    </row>
    <row r="38" spans="1:7" ht="15" customHeight="1">
      <c r="A38" s="383">
        <v>25</v>
      </c>
      <c r="B38" s="384" t="s">
        <v>19</v>
      </c>
      <c r="C38" s="391">
        <v>0.25449985241213907</v>
      </c>
      <c r="D38" s="391">
        <v>0.29753365588698838</v>
      </c>
      <c r="E38" s="391">
        <v>0.2919400858310241</v>
      </c>
      <c r="F38" s="391">
        <v>0.28325995888446787</v>
      </c>
      <c r="G38" s="500">
        <v>0.27347141396724822</v>
      </c>
    </row>
    <row r="39" spans="1:7" ht="15" customHeight="1">
      <c r="A39" s="383">
        <v>26</v>
      </c>
      <c r="B39" s="384" t="s">
        <v>20</v>
      </c>
      <c r="C39" s="391">
        <v>0.84522257781254639</v>
      </c>
      <c r="D39" s="391">
        <v>0.85097565903823214</v>
      </c>
      <c r="E39" s="391">
        <v>0.86001489400574915</v>
      </c>
      <c r="F39" s="391">
        <v>0.88554498687629501</v>
      </c>
      <c r="G39" s="500">
        <v>0.8639255370211254</v>
      </c>
    </row>
    <row r="40" spans="1:7" ht="15" customHeight="1">
      <c r="A40" s="383">
        <v>27</v>
      </c>
      <c r="B40" s="385" t="s">
        <v>21</v>
      </c>
      <c r="C40" s="391">
        <v>0.30735457621809875</v>
      </c>
      <c r="D40" s="391">
        <v>0.35146013112548596</v>
      </c>
      <c r="E40" s="391">
        <v>0.30285646200244348</v>
      </c>
      <c r="F40" s="391">
        <v>0.29508951140373502</v>
      </c>
      <c r="G40" s="500">
        <v>0.31707029103061257</v>
      </c>
    </row>
    <row r="41" spans="1:7" ht="15" customHeight="1">
      <c r="A41" s="389"/>
      <c r="B41" s="381" t="s">
        <v>525</v>
      </c>
      <c r="C41" s="495"/>
      <c r="D41" s="495"/>
      <c r="E41" s="495"/>
      <c r="F41" s="495"/>
      <c r="G41" s="260"/>
    </row>
    <row r="42" spans="1:7" ht="15" customHeight="1">
      <c r="A42" s="383">
        <v>28</v>
      </c>
      <c r="B42" s="427" t="s">
        <v>509</v>
      </c>
      <c r="C42" s="385">
        <v>341714471.76642001</v>
      </c>
      <c r="D42" s="385">
        <v>366706723.50065273</v>
      </c>
      <c r="E42" s="385">
        <v>396583679.82541364</v>
      </c>
      <c r="F42" s="385">
        <v>401929885.62160707</v>
      </c>
      <c r="G42" s="388">
        <v>364179944.89409655</v>
      </c>
    </row>
    <row r="43" spans="1:7" ht="15">
      <c r="A43" s="383">
        <v>29</v>
      </c>
      <c r="B43" s="384" t="s">
        <v>510</v>
      </c>
      <c r="C43" s="386">
        <v>186391521.88685745</v>
      </c>
      <c r="D43" s="386">
        <v>183443529.42646217</v>
      </c>
      <c r="E43" s="386">
        <v>183554387.7792919</v>
      </c>
      <c r="F43" s="386">
        <v>194922768.10077018</v>
      </c>
      <c r="G43" s="387">
        <v>195000359.53773654</v>
      </c>
    </row>
    <row r="44" spans="1:7" thickBot="1">
      <c r="A44" s="425">
        <v>30</v>
      </c>
      <c r="B44" s="426" t="s">
        <v>508</v>
      </c>
      <c r="C44" s="501">
        <v>1.8333155301658302</v>
      </c>
      <c r="D44" s="501">
        <v>1.9990169435093434</v>
      </c>
      <c r="E44" s="501">
        <v>2.1605785872156367</v>
      </c>
      <c r="F44" s="501">
        <v>2.0619955766984561</v>
      </c>
      <c r="G44" s="502">
        <v>1.8675860175715231</v>
      </c>
    </row>
    <row r="45" spans="1:7" ht="15">
      <c r="A45" s="425"/>
      <c r="B45" s="381" t="s">
        <v>624</v>
      </c>
      <c r="C45" s="495"/>
      <c r="D45" s="495"/>
      <c r="E45" s="495"/>
      <c r="F45" s="495"/>
      <c r="G45" s="260"/>
    </row>
    <row r="46" spans="1:7" ht="15">
      <c r="A46" s="425">
        <v>31</v>
      </c>
      <c r="B46" s="426" t="s">
        <v>631</v>
      </c>
      <c r="C46" s="503">
        <v>899894024.43556547</v>
      </c>
      <c r="D46" s="503">
        <v>932795846.52724504</v>
      </c>
      <c r="E46" s="503">
        <v>966294672.35287499</v>
      </c>
      <c r="F46" s="503">
        <v>1060644682.2611049</v>
      </c>
      <c r="G46" s="504">
        <v>1034490332.6695256</v>
      </c>
    </row>
    <row r="47" spans="1:7" ht="15">
      <c r="A47" s="425">
        <v>32</v>
      </c>
      <c r="B47" s="426" t="s">
        <v>644</v>
      </c>
      <c r="C47" s="505">
        <v>727034249.07264376</v>
      </c>
      <c r="D47" s="505">
        <v>738361347.59228504</v>
      </c>
      <c r="E47" s="505">
        <v>759925219.10264087</v>
      </c>
      <c r="F47" s="505">
        <v>808096025.73969662</v>
      </c>
      <c r="G47" s="506">
        <v>832092658.43730593</v>
      </c>
    </row>
    <row r="48" spans="1:7" thickBot="1">
      <c r="A48" s="110">
        <v>33</v>
      </c>
      <c r="B48" s="213" t="s">
        <v>658</v>
      </c>
      <c r="C48" s="507">
        <v>1.2377601544678398</v>
      </c>
      <c r="D48" s="507">
        <v>1.2633324449728978</v>
      </c>
      <c r="E48" s="507">
        <v>1.2715654752107397</v>
      </c>
      <c r="F48" s="507">
        <v>1.3125230770566358</v>
      </c>
      <c r="G48" s="508">
        <v>1.2432393462193603</v>
      </c>
    </row>
    <row r="49" spans="1:2">
      <c r="A49" s="16"/>
    </row>
    <row r="50" spans="1:2" ht="39.75">
      <c r="B50" s="18" t="s">
        <v>603</v>
      </c>
    </row>
    <row r="51" spans="1:2" ht="65.25">
      <c r="B51" s="301"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30" bestFit="1" customWidth="1"/>
    <col min="2" max="2" width="105.28515625" style="430" bestFit="1" customWidth="1"/>
    <col min="3" max="4" width="17.28515625" style="430" bestFit="1" customWidth="1"/>
    <col min="5" max="5" width="17.42578125" style="430" bestFit="1" customWidth="1"/>
    <col min="6" max="6" width="17.28515625" style="430" bestFit="1" customWidth="1"/>
    <col min="7" max="7" width="30.42578125" style="430" customWidth="1"/>
    <col min="8" max="8" width="18.7109375" style="430" bestFit="1" customWidth="1"/>
    <col min="9" max="16384" width="9.28515625" style="430"/>
  </cols>
  <sheetData>
    <row r="1" spans="1:8">
      <c r="A1" s="429" t="s">
        <v>188</v>
      </c>
      <c r="B1" s="596" t="str">
        <f>'1. key ratios'!B1</f>
        <v>სს "ბანკი ქართუ"</v>
      </c>
    </row>
    <row r="2" spans="1:8" ht="13.5">
      <c r="A2" s="429" t="s">
        <v>189</v>
      </c>
      <c r="B2" s="390">
        <f>'1. key ratios'!B2</f>
        <v>44561</v>
      </c>
    </row>
    <row r="3" spans="1:8">
      <c r="A3" s="431" t="s">
        <v>664</v>
      </c>
      <c r="B3" s="432"/>
    </row>
    <row r="5" spans="1:8">
      <c r="A5" s="731" t="s">
        <v>665</v>
      </c>
      <c r="B5" s="732"/>
      <c r="C5" s="737" t="s">
        <v>666</v>
      </c>
      <c r="D5" s="738"/>
      <c r="E5" s="738"/>
      <c r="F5" s="738"/>
      <c r="G5" s="738"/>
      <c r="H5" s="739"/>
    </row>
    <row r="6" spans="1:8">
      <c r="A6" s="733"/>
      <c r="B6" s="734"/>
      <c r="C6" s="740"/>
      <c r="D6" s="741"/>
      <c r="E6" s="741"/>
      <c r="F6" s="741"/>
      <c r="G6" s="741"/>
      <c r="H6" s="742"/>
    </row>
    <row r="7" spans="1:8" ht="25.5">
      <c r="A7" s="735"/>
      <c r="B7" s="736"/>
      <c r="C7" s="433" t="s">
        <v>667</v>
      </c>
      <c r="D7" s="433" t="s">
        <v>668</v>
      </c>
      <c r="E7" s="433" t="s">
        <v>669</v>
      </c>
      <c r="F7" s="433" t="s">
        <v>670</v>
      </c>
      <c r="G7" s="433" t="s">
        <v>941</v>
      </c>
      <c r="H7" s="433" t="s">
        <v>68</v>
      </c>
    </row>
    <row r="8" spans="1:8">
      <c r="A8" s="434">
        <v>1</v>
      </c>
      <c r="B8" s="435" t="s">
        <v>216</v>
      </c>
      <c r="C8" s="593">
        <v>203907519</v>
      </c>
      <c r="D8" s="593">
        <v>2615725</v>
      </c>
      <c r="E8" s="593">
        <v>9000000</v>
      </c>
      <c r="F8" s="593">
        <v>21053000</v>
      </c>
      <c r="G8" s="593"/>
      <c r="H8" s="594">
        <f>SUM(C8:G8)</f>
        <v>236576244</v>
      </c>
    </row>
    <row r="9" spans="1:8">
      <c r="A9" s="434">
        <v>2</v>
      </c>
      <c r="B9" s="435" t="s">
        <v>217</v>
      </c>
      <c r="C9" s="593"/>
      <c r="D9" s="593"/>
      <c r="E9" s="593"/>
      <c r="F9" s="593"/>
      <c r="G9" s="593"/>
      <c r="H9" s="594">
        <f t="shared" ref="H9:H21" si="0">SUM(C9:G9)</f>
        <v>0</v>
      </c>
    </row>
    <row r="10" spans="1:8">
      <c r="A10" s="434">
        <v>3</v>
      </c>
      <c r="B10" s="435" t="s">
        <v>218</v>
      </c>
      <c r="C10" s="593"/>
      <c r="D10" s="593"/>
      <c r="E10" s="593"/>
      <c r="F10" s="593"/>
      <c r="G10" s="593"/>
      <c r="H10" s="594">
        <f t="shared" si="0"/>
        <v>0</v>
      </c>
    </row>
    <row r="11" spans="1:8">
      <c r="A11" s="434">
        <v>4</v>
      </c>
      <c r="B11" s="435" t="s">
        <v>219</v>
      </c>
      <c r="C11" s="593"/>
      <c r="D11" s="593"/>
      <c r="E11" s="593"/>
      <c r="F11" s="593"/>
      <c r="G11" s="593"/>
      <c r="H11" s="594">
        <f t="shared" si="0"/>
        <v>0</v>
      </c>
    </row>
    <row r="12" spans="1:8">
      <c r="A12" s="434">
        <v>5</v>
      </c>
      <c r="B12" s="435" t="s">
        <v>220</v>
      </c>
      <c r="C12" s="593"/>
      <c r="D12" s="593"/>
      <c r="E12" s="593"/>
      <c r="F12" s="593"/>
      <c r="G12" s="593"/>
      <c r="H12" s="594">
        <f t="shared" si="0"/>
        <v>0</v>
      </c>
    </row>
    <row r="13" spans="1:8">
      <c r="A13" s="434">
        <v>6</v>
      </c>
      <c r="B13" s="435" t="s">
        <v>221</v>
      </c>
      <c r="C13" s="593">
        <v>30580863.809999999</v>
      </c>
      <c r="D13" s="593">
        <v>18649992</v>
      </c>
      <c r="E13" s="593">
        <v>0</v>
      </c>
      <c r="F13" s="593">
        <v>4711460.41</v>
      </c>
      <c r="G13" s="593"/>
      <c r="H13" s="594">
        <f t="shared" si="0"/>
        <v>53942316.219999999</v>
      </c>
    </row>
    <row r="14" spans="1:8">
      <c r="A14" s="434">
        <v>7</v>
      </c>
      <c r="B14" s="435" t="s">
        <v>73</v>
      </c>
      <c r="C14" s="593"/>
      <c r="D14" s="593">
        <v>226397881.968027</v>
      </c>
      <c r="E14" s="593">
        <v>318416401.22695261</v>
      </c>
      <c r="F14" s="593">
        <v>245944848.13982528</v>
      </c>
      <c r="G14" s="593">
        <v>38455367.506242998</v>
      </c>
      <c r="H14" s="594">
        <f t="shared" si="0"/>
        <v>829214498.841048</v>
      </c>
    </row>
    <row r="15" spans="1:8">
      <c r="A15" s="434">
        <v>8</v>
      </c>
      <c r="B15" s="437" t="s">
        <v>74</v>
      </c>
      <c r="C15" s="593"/>
      <c r="D15" s="593"/>
      <c r="E15" s="593"/>
      <c r="F15" s="593"/>
      <c r="G15" s="593"/>
      <c r="H15" s="594">
        <f t="shared" si="0"/>
        <v>0</v>
      </c>
    </row>
    <row r="16" spans="1:8">
      <c r="A16" s="434">
        <v>9</v>
      </c>
      <c r="B16" s="435" t="s">
        <v>75</v>
      </c>
      <c r="C16" s="593"/>
      <c r="D16" s="593"/>
      <c r="E16" s="593"/>
      <c r="F16" s="593"/>
      <c r="G16" s="593"/>
      <c r="H16" s="594">
        <f t="shared" si="0"/>
        <v>0</v>
      </c>
    </row>
    <row r="17" spans="1:8">
      <c r="A17" s="434">
        <v>10</v>
      </c>
      <c r="B17" s="493" t="s">
        <v>692</v>
      </c>
      <c r="C17" s="593"/>
      <c r="D17" s="593">
        <v>12434688.276413001</v>
      </c>
      <c r="E17" s="593">
        <v>26567611.355355006</v>
      </c>
      <c r="F17" s="593">
        <v>28381290.328542002</v>
      </c>
      <c r="G17" s="593">
        <v>38044079.211657003</v>
      </c>
      <c r="H17" s="594">
        <f t="shared" si="0"/>
        <v>105427669.17196701</v>
      </c>
    </row>
    <row r="18" spans="1:8">
      <c r="A18" s="434">
        <v>11</v>
      </c>
      <c r="B18" s="435" t="s">
        <v>70</v>
      </c>
      <c r="C18" s="593"/>
      <c r="D18" s="593"/>
      <c r="E18" s="593"/>
      <c r="F18" s="593"/>
      <c r="G18" s="593"/>
      <c r="H18" s="594">
        <f t="shared" si="0"/>
        <v>0</v>
      </c>
    </row>
    <row r="19" spans="1:8">
      <c r="A19" s="434">
        <v>12</v>
      </c>
      <c r="B19" s="435" t="s">
        <v>71</v>
      </c>
      <c r="C19" s="593"/>
      <c r="D19" s="593"/>
      <c r="E19" s="593"/>
      <c r="F19" s="593"/>
      <c r="G19" s="593"/>
      <c r="H19" s="594">
        <f t="shared" si="0"/>
        <v>0</v>
      </c>
    </row>
    <row r="20" spans="1:8">
      <c r="A20" s="438">
        <v>13</v>
      </c>
      <c r="B20" s="437" t="s">
        <v>72</v>
      </c>
      <c r="C20" s="593"/>
      <c r="D20" s="593"/>
      <c r="E20" s="593"/>
      <c r="F20" s="593"/>
      <c r="G20" s="593"/>
      <c r="H20" s="594">
        <f t="shared" si="0"/>
        <v>0</v>
      </c>
    </row>
    <row r="21" spans="1:8">
      <c r="A21" s="434">
        <v>14</v>
      </c>
      <c r="B21" s="435" t="s">
        <v>671</v>
      </c>
      <c r="C21" s="593">
        <v>26986427</v>
      </c>
      <c r="D21" s="593">
        <v>3894587.9961999999</v>
      </c>
      <c r="E21" s="593">
        <v>3288861.4462900003</v>
      </c>
      <c r="F21" s="593">
        <v>18321586.311168998</v>
      </c>
      <c r="G21" s="593">
        <v>59801302.543619998</v>
      </c>
      <c r="H21" s="594">
        <f t="shared" si="0"/>
        <v>112292765.297279</v>
      </c>
    </row>
    <row r="22" spans="1:8">
      <c r="A22" s="439">
        <v>15</v>
      </c>
      <c r="B22" s="436" t="s">
        <v>68</v>
      </c>
      <c r="C22" s="594">
        <f>SUM(C18:C21)+SUM(C8:C16)</f>
        <v>261474809.81</v>
      </c>
      <c r="D22" s="594">
        <f t="shared" ref="D22:G22" si="1">SUM(D18:D21)+SUM(D8:D16)</f>
        <v>251558186.96422699</v>
      </c>
      <c r="E22" s="594">
        <f t="shared" si="1"/>
        <v>330705262.67324263</v>
      </c>
      <c r="F22" s="594">
        <f t="shared" si="1"/>
        <v>290030894.86099434</v>
      </c>
      <c r="G22" s="594">
        <f t="shared" si="1"/>
        <v>98256670.049862996</v>
      </c>
      <c r="H22" s="594">
        <f>SUM(H18:H21)+SUM(H8:H16)</f>
        <v>1232025824.3583269</v>
      </c>
    </row>
    <row r="26" spans="1:8" ht="38.25">
      <c r="B26" s="492"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40" bestFit="1" customWidth="1"/>
    <col min="2" max="2" width="114.7109375" style="430" customWidth="1"/>
    <col min="3" max="3" width="22.42578125" style="430" customWidth="1"/>
    <col min="4" max="4" width="23.5703125" style="430" customWidth="1"/>
    <col min="5" max="8" width="22.28515625" style="430" customWidth="1"/>
    <col min="9" max="9" width="41.42578125" style="430" customWidth="1"/>
    <col min="10" max="16384" width="9.28515625" style="430"/>
  </cols>
  <sheetData>
    <row r="1" spans="1:9">
      <c r="A1" s="429" t="s">
        <v>188</v>
      </c>
      <c r="B1" s="596" t="str">
        <f>'1. key ratios'!B1</f>
        <v>სს "ბანკი ქართუ"</v>
      </c>
    </row>
    <row r="2" spans="1:9" ht="13.5">
      <c r="A2" s="429" t="s">
        <v>189</v>
      </c>
      <c r="B2" s="390">
        <f>'1. key ratios'!B2</f>
        <v>44561</v>
      </c>
    </row>
    <row r="3" spans="1:9">
      <c r="A3" s="431" t="s">
        <v>672</v>
      </c>
      <c r="B3" s="432"/>
    </row>
    <row r="4" spans="1:9">
      <c r="C4" s="441" t="s">
        <v>673</v>
      </c>
      <c r="D4" s="441" t="s">
        <v>674</v>
      </c>
      <c r="E4" s="441" t="s">
        <v>675</v>
      </c>
      <c r="F4" s="441" t="s">
        <v>676</v>
      </c>
      <c r="G4" s="441" t="s">
        <v>677</v>
      </c>
      <c r="H4" s="441" t="s">
        <v>678</v>
      </c>
      <c r="I4" s="441" t="s">
        <v>679</v>
      </c>
    </row>
    <row r="5" spans="1:9" ht="34.15" customHeight="1">
      <c r="A5" s="731" t="s">
        <v>682</v>
      </c>
      <c r="B5" s="732"/>
      <c r="C5" s="745" t="s">
        <v>683</v>
      </c>
      <c r="D5" s="745"/>
      <c r="E5" s="745" t="s">
        <v>684</v>
      </c>
      <c r="F5" s="745" t="s">
        <v>685</v>
      </c>
      <c r="G5" s="743" t="s">
        <v>686</v>
      </c>
      <c r="H5" s="743" t="s">
        <v>687</v>
      </c>
      <c r="I5" s="442" t="s">
        <v>688</v>
      </c>
    </row>
    <row r="6" spans="1:9" ht="38.25">
      <c r="A6" s="735"/>
      <c r="B6" s="736"/>
      <c r="C6" s="476" t="s">
        <v>689</v>
      </c>
      <c r="D6" s="476" t="s">
        <v>690</v>
      </c>
      <c r="E6" s="745"/>
      <c r="F6" s="745"/>
      <c r="G6" s="744"/>
      <c r="H6" s="744"/>
      <c r="I6" s="442" t="s">
        <v>691</v>
      </c>
    </row>
    <row r="7" spans="1:9">
      <c r="A7" s="443">
        <v>1</v>
      </c>
      <c r="B7" s="435" t="s">
        <v>216</v>
      </c>
      <c r="C7" s="593"/>
      <c r="D7" s="593">
        <v>236443584</v>
      </c>
      <c r="E7" s="593"/>
      <c r="F7" s="593"/>
      <c r="G7" s="593"/>
      <c r="H7" s="593">
        <v>0</v>
      </c>
      <c r="I7" s="597">
        <f t="shared" ref="I7:I23" si="0">C7+D7-E7-F7-G7</f>
        <v>236443584</v>
      </c>
    </row>
    <row r="8" spans="1:9">
      <c r="A8" s="443">
        <v>2</v>
      </c>
      <c r="B8" s="435" t="s">
        <v>217</v>
      </c>
      <c r="C8" s="593"/>
      <c r="D8" s="593"/>
      <c r="E8" s="593"/>
      <c r="F8" s="593"/>
      <c r="G8" s="593"/>
      <c r="H8" s="593">
        <v>0</v>
      </c>
      <c r="I8" s="597">
        <f t="shared" si="0"/>
        <v>0</v>
      </c>
    </row>
    <row r="9" spans="1:9">
      <c r="A9" s="443">
        <v>3</v>
      </c>
      <c r="B9" s="435" t="s">
        <v>218</v>
      </c>
      <c r="C9" s="593"/>
      <c r="D9" s="593"/>
      <c r="E9" s="593"/>
      <c r="F9" s="593"/>
      <c r="G9" s="593"/>
      <c r="H9" s="593">
        <v>0</v>
      </c>
      <c r="I9" s="597">
        <f t="shared" si="0"/>
        <v>0</v>
      </c>
    </row>
    <row r="10" spans="1:9">
      <c r="A10" s="443">
        <v>4</v>
      </c>
      <c r="B10" s="435" t="s">
        <v>219</v>
      </c>
      <c r="C10" s="593"/>
      <c r="D10" s="593"/>
      <c r="E10" s="593"/>
      <c r="F10" s="593"/>
      <c r="G10" s="593"/>
      <c r="H10" s="593">
        <v>0</v>
      </c>
      <c r="I10" s="597">
        <f t="shared" si="0"/>
        <v>0</v>
      </c>
    </row>
    <row r="11" spans="1:9">
      <c r="A11" s="443">
        <v>5</v>
      </c>
      <c r="B11" s="435" t="s">
        <v>220</v>
      </c>
      <c r="C11" s="593"/>
      <c r="D11" s="593"/>
      <c r="E11" s="593"/>
      <c r="F11" s="593"/>
      <c r="G11" s="593"/>
      <c r="H11" s="593">
        <v>0</v>
      </c>
      <c r="I11" s="597">
        <f t="shared" si="0"/>
        <v>0</v>
      </c>
    </row>
    <row r="12" spans="1:9">
      <c r="A12" s="443">
        <v>6</v>
      </c>
      <c r="B12" s="435" t="s">
        <v>221</v>
      </c>
      <c r="C12" s="593"/>
      <c r="D12" s="593">
        <v>53942316</v>
      </c>
      <c r="E12" s="593"/>
      <c r="F12" s="593"/>
      <c r="G12" s="593"/>
      <c r="H12" s="593">
        <v>0</v>
      </c>
      <c r="I12" s="597">
        <f t="shared" si="0"/>
        <v>53942316</v>
      </c>
    </row>
    <row r="13" spans="1:9">
      <c r="A13" s="443">
        <v>7</v>
      </c>
      <c r="B13" s="435" t="s">
        <v>73</v>
      </c>
      <c r="C13" s="593">
        <v>320772691.70000005</v>
      </c>
      <c r="D13" s="593">
        <v>654043734.14999914</v>
      </c>
      <c r="E13" s="593">
        <v>145601926.23182008</v>
      </c>
      <c r="F13" s="593">
        <v>11519254.906316986</v>
      </c>
      <c r="G13" s="593"/>
      <c r="H13" s="593">
        <v>0</v>
      </c>
      <c r="I13" s="597">
        <f t="shared" si="0"/>
        <v>817695244.71186209</v>
      </c>
    </row>
    <row r="14" spans="1:9">
      <c r="A14" s="443">
        <v>8</v>
      </c>
      <c r="B14" s="437" t="s">
        <v>74</v>
      </c>
      <c r="C14" s="593"/>
      <c r="D14" s="593"/>
      <c r="E14" s="593"/>
      <c r="F14" s="593"/>
      <c r="G14" s="593"/>
      <c r="H14" s="593">
        <v>0</v>
      </c>
      <c r="I14" s="597">
        <f t="shared" si="0"/>
        <v>0</v>
      </c>
    </row>
    <row r="15" spans="1:9">
      <c r="A15" s="443">
        <v>9</v>
      </c>
      <c r="B15" s="435" t="s">
        <v>75</v>
      </c>
      <c r="C15" s="593"/>
      <c r="D15" s="593"/>
      <c r="E15" s="593"/>
      <c r="F15" s="593"/>
      <c r="G15" s="593"/>
      <c r="H15" s="593">
        <v>0</v>
      </c>
      <c r="I15" s="597">
        <f t="shared" si="0"/>
        <v>0</v>
      </c>
    </row>
    <row r="16" spans="1:9">
      <c r="A16" s="443">
        <v>10</v>
      </c>
      <c r="B16" s="493" t="s">
        <v>692</v>
      </c>
      <c r="C16" s="593">
        <v>194723815.63999984</v>
      </c>
      <c r="D16" s="593">
        <v>83125.329999999958</v>
      </c>
      <c r="E16" s="593">
        <v>89379271.786133021</v>
      </c>
      <c r="F16" s="593">
        <v>1661.2977140000021</v>
      </c>
      <c r="G16" s="593"/>
      <c r="H16" s="593">
        <v>167942.72000000041</v>
      </c>
      <c r="I16" s="597">
        <f t="shared" si="0"/>
        <v>105426007.88615283</v>
      </c>
    </row>
    <row r="17" spans="1:9">
      <c r="A17" s="443">
        <v>11</v>
      </c>
      <c r="B17" s="435" t="s">
        <v>70</v>
      </c>
      <c r="C17" s="593"/>
      <c r="D17" s="593"/>
      <c r="E17" s="593"/>
      <c r="F17" s="593"/>
      <c r="G17" s="593"/>
      <c r="H17" s="593">
        <v>0</v>
      </c>
      <c r="I17" s="597">
        <f t="shared" si="0"/>
        <v>0</v>
      </c>
    </row>
    <row r="18" spans="1:9">
      <c r="A18" s="443">
        <v>12</v>
      </c>
      <c r="B18" s="435" t="s">
        <v>71</v>
      </c>
      <c r="C18" s="593"/>
      <c r="D18" s="593"/>
      <c r="E18" s="593"/>
      <c r="F18" s="593"/>
      <c r="G18" s="593"/>
      <c r="H18" s="593">
        <v>0</v>
      </c>
      <c r="I18" s="597">
        <f t="shared" si="0"/>
        <v>0</v>
      </c>
    </row>
    <row r="19" spans="1:9">
      <c r="A19" s="445">
        <v>13</v>
      </c>
      <c r="B19" s="437" t="s">
        <v>72</v>
      </c>
      <c r="C19" s="593"/>
      <c r="D19" s="593"/>
      <c r="E19" s="593"/>
      <c r="F19" s="593"/>
      <c r="G19" s="593"/>
      <c r="H19" s="593">
        <v>0</v>
      </c>
      <c r="I19" s="597">
        <f t="shared" si="0"/>
        <v>0</v>
      </c>
    </row>
    <row r="20" spans="1:9">
      <c r="A20" s="443">
        <v>14</v>
      </c>
      <c r="B20" s="435" t="s">
        <v>671</v>
      </c>
      <c r="C20" s="593">
        <v>41471377.950000003</v>
      </c>
      <c r="D20" s="593">
        <v>87895501.84374398</v>
      </c>
      <c r="E20" s="593">
        <v>13170956.111449001</v>
      </c>
      <c r="F20" s="593">
        <v>385761.91900900094</v>
      </c>
      <c r="G20" s="593"/>
      <c r="H20" s="593">
        <v>1242498.8600000003</v>
      </c>
      <c r="I20" s="597">
        <f t="shared" si="0"/>
        <v>115810161.76328598</v>
      </c>
    </row>
    <row r="21" spans="1:9" s="447" customFormat="1">
      <c r="A21" s="446">
        <v>15</v>
      </c>
      <c r="B21" s="436" t="s">
        <v>68</v>
      </c>
      <c r="C21" s="594">
        <f>SUM(C7:C15)+SUM(C17:C20)</f>
        <v>362244069.65000004</v>
      </c>
      <c r="D21" s="594">
        <f t="shared" ref="D21:H21" si="1">SUM(D7:D15)+SUM(D17:D20)</f>
        <v>1032325135.9937432</v>
      </c>
      <c r="E21" s="594">
        <f t="shared" si="1"/>
        <v>158772882.34326908</v>
      </c>
      <c r="F21" s="594">
        <f t="shared" si="1"/>
        <v>11905016.825325986</v>
      </c>
      <c r="G21" s="594">
        <v>0</v>
      </c>
      <c r="H21" s="594">
        <f t="shared" si="1"/>
        <v>1242498.8600000003</v>
      </c>
      <c r="I21" s="597">
        <f t="shared" si="0"/>
        <v>1223891306.4751482</v>
      </c>
    </row>
    <row r="22" spans="1:9">
      <c r="A22" s="448">
        <v>16</v>
      </c>
      <c r="B22" s="449" t="s">
        <v>693</v>
      </c>
      <c r="C22" s="593">
        <v>326408480.64999998</v>
      </c>
      <c r="D22" s="593">
        <v>657347661.1399982</v>
      </c>
      <c r="E22" s="593">
        <v>147631673.34326923</v>
      </c>
      <c r="F22" s="593">
        <v>11534116.825325977</v>
      </c>
      <c r="G22" s="593">
        <v>0</v>
      </c>
      <c r="H22" s="593">
        <v>167942.72000000041</v>
      </c>
      <c r="I22" s="597">
        <f t="shared" si="0"/>
        <v>824590351.62140298</v>
      </c>
    </row>
    <row r="23" spans="1:9">
      <c r="A23" s="448">
        <v>17</v>
      </c>
      <c r="B23" s="449" t="s">
        <v>694</v>
      </c>
      <c r="C23" s="593"/>
      <c r="D23" s="593">
        <v>51534437.549999997</v>
      </c>
      <c r="E23" s="593">
        <v>0</v>
      </c>
      <c r="F23" s="593">
        <v>369760</v>
      </c>
      <c r="G23" s="593">
        <v>0</v>
      </c>
      <c r="H23" s="593">
        <v>0</v>
      </c>
      <c r="I23" s="597">
        <f t="shared" si="0"/>
        <v>51164677.549999997</v>
      </c>
    </row>
    <row r="26" spans="1:9" ht="42.4" customHeight="1">
      <c r="B26" s="492"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Normal="100" workbookViewId="0"/>
  </sheetViews>
  <sheetFormatPr defaultColWidth="9.28515625" defaultRowHeight="12.75"/>
  <cols>
    <col min="1" max="1" width="11" style="430" bestFit="1" customWidth="1"/>
    <col min="2" max="2" width="93.42578125" style="430" customWidth="1"/>
    <col min="3" max="8" width="22" style="430" customWidth="1"/>
    <col min="9" max="9" width="42.28515625" style="430" bestFit="1" customWidth="1"/>
    <col min="10" max="16384" width="9.28515625" style="430"/>
  </cols>
  <sheetData>
    <row r="1" spans="1:9">
      <c r="A1" s="429" t="s">
        <v>188</v>
      </c>
      <c r="B1" s="596" t="str">
        <f>'1. key ratios'!B1</f>
        <v>სს "ბანკი ქართუ"</v>
      </c>
    </row>
    <row r="2" spans="1:9">
      <c r="A2" s="429" t="s">
        <v>189</v>
      </c>
      <c r="B2" s="432">
        <f>'1. key ratios'!B2</f>
        <v>44561</v>
      </c>
    </row>
    <row r="3" spans="1:9">
      <c r="A3" s="431" t="s">
        <v>695</v>
      </c>
      <c r="B3" s="432"/>
    </row>
    <row r="4" spans="1:9">
      <c r="C4" s="441" t="s">
        <v>673</v>
      </c>
      <c r="D4" s="441" t="s">
        <v>674</v>
      </c>
      <c r="E4" s="441" t="s">
        <v>675</v>
      </c>
      <c r="F4" s="441" t="s">
        <v>676</v>
      </c>
      <c r="G4" s="441" t="s">
        <v>677</v>
      </c>
      <c r="H4" s="441" t="s">
        <v>678</v>
      </c>
      <c r="I4" s="441" t="s">
        <v>679</v>
      </c>
    </row>
    <row r="5" spans="1:9" ht="41.65" customHeight="1">
      <c r="A5" s="731" t="s">
        <v>951</v>
      </c>
      <c r="B5" s="732"/>
      <c r="C5" s="745" t="s">
        <v>683</v>
      </c>
      <c r="D5" s="745"/>
      <c r="E5" s="745" t="s">
        <v>684</v>
      </c>
      <c r="F5" s="745" t="s">
        <v>685</v>
      </c>
      <c r="G5" s="743" t="s">
        <v>686</v>
      </c>
      <c r="H5" s="743" t="s">
        <v>687</v>
      </c>
      <c r="I5" s="442" t="s">
        <v>688</v>
      </c>
    </row>
    <row r="6" spans="1:9" ht="41.65" customHeight="1">
      <c r="A6" s="735"/>
      <c r="B6" s="736"/>
      <c r="C6" s="476" t="s">
        <v>689</v>
      </c>
      <c r="D6" s="476" t="s">
        <v>690</v>
      </c>
      <c r="E6" s="745"/>
      <c r="F6" s="745"/>
      <c r="G6" s="744"/>
      <c r="H6" s="744"/>
      <c r="I6" s="442" t="s">
        <v>691</v>
      </c>
    </row>
    <row r="7" spans="1:9">
      <c r="A7" s="444">
        <v>1</v>
      </c>
      <c r="B7" s="450" t="s">
        <v>696</v>
      </c>
      <c r="C7" s="593">
        <v>373128.00000000006</v>
      </c>
      <c r="D7" s="593">
        <v>246714583.69</v>
      </c>
      <c r="E7" s="593">
        <v>103875.40145600001</v>
      </c>
      <c r="F7" s="593">
        <v>204482.38483499989</v>
      </c>
      <c r="G7" s="593">
        <v>0</v>
      </c>
      <c r="H7" s="593">
        <v>0</v>
      </c>
      <c r="I7" s="597">
        <f t="shared" ref="I7:I34" si="0">C7+D7-E7-F7-G7</f>
        <v>246779353.90370899</v>
      </c>
    </row>
    <row r="8" spans="1:9">
      <c r="A8" s="444">
        <v>2</v>
      </c>
      <c r="B8" s="450" t="s">
        <v>697</v>
      </c>
      <c r="C8" s="593">
        <v>273300.23000000004</v>
      </c>
      <c r="D8" s="593">
        <v>57826948.160000004</v>
      </c>
      <c r="E8" s="593">
        <v>95045.146362000014</v>
      </c>
      <c r="F8" s="593">
        <v>74420.735864000017</v>
      </c>
      <c r="G8" s="593">
        <v>0</v>
      </c>
      <c r="H8" s="593">
        <v>588.3900000000001</v>
      </c>
      <c r="I8" s="597">
        <f t="shared" si="0"/>
        <v>57930782.507774003</v>
      </c>
    </row>
    <row r="9" spans="1:9">
      <c r="A9" s="444">
        <v>3</v>
      </c>
      <c r="B9" s="450" t="s">
        <v>698</v>
      </c>
      <c r="C9" s="593">
        <v>0</v>
      </c>
      <c r="D9" s="593">
        <v>0</v>
      </c>
      <c r="E9" s="593">
        <v>0</v>
      </c>
      <c r="F9" s="593">
        <v>0</v>
      </c>
      <c r="G9" s="593">
        <v>0</v>
      </c>
      <c r="H9" s="593">
        <v>0</v>
      </c>
      <c r="I9" s="597">
        <f t="shared" si="0"/>
        <v>0</v>
      </c>
    </row>
    <row r="10" spans="1:9">
      <c r="A10" s="444">
        <v>4</v>
      </c>
      <c r="B10" s="450" t="s">
        <v>699</v>
      </c>
      <c r="C10" s="593">
        <v>42661705.070000008</v>
      </c>
      <c r="D10" s="593">
        <v>44362893.019999988</v>
      </c>
      <c r="E10" s="593">
        <v>16761266.937824994</v>
      </c>
      <c r="F10" s="593">
        <v>838153.48315100011</v>
      </c>
      <c r="G10" s="593">
        <v>0</v>
      </c>
      <c r="H10" s="593">
        <v>999.33</v>
      </c>
      <c r="I10" s="597">
        <f t="shared" si="0"/>
        <v>69425177.669024006</v>
      </c>
    </row>
    <row r="11" spans="1:9">
      <c r="A11" s="444">
        <v>5</v>
      </c>
      <c r="B11" s="450" t="s">
        <v>700</v>
      </c>
      <c r="C11" s="593">
        <v>29494666.140000001</v>
      </c>
      <c r="D11" s="593">
        <v>52408457.890000008</v>
      </c>
      <c r="E11" s="593">
        <v>12132413.383234994</v>
      </c>
      <c r="F11" s="593">
        <v>946725.94873599999</v>
      </c>
      <c r="G11" s="593">
        <v>0</v>
      </c>
      <c r="H11" s="593">
        <v>247.66</v>
      </c>
      <c r="I11" s="597">
        <f t="shared" si="0"/>
        <v>68823984.698029011</v>
      </c>
    </row>
    <row r="12" spans="1:9">
      <c r="A12" s="444">
        <v>6</v>
      </c>
      <c r="B12" s="450" t="s">
        <v>701</v>
      </c>
      <c r="C12" s="593">
        <v>7086755</v>
      </c>
      <c r="D12" s="593">
        <v>58477301.449999996</v>
      </c>
      <c r="E12" s="593">
        <v>3997528.1355689997</v>
      </c>
      <c r="F12" s="593">
        <v>1090969.0366699998</v>
      </c>
      <c r="G12" s="593">
        <v>0</v>
      </c>
      <c r="H12" s="593">
        <v>0</v>
      </c>
      <c r="I12" s="597">
        <f t="shared" si="0"/>
        <v>60475559.277760997</v>
      </c>
    </row>
    <row r="13" spans="1:9">
      <c r="A13" s="444">
        <v>7</v>
      </c>
      <c r="B13" s="450" t="s">
        <v>702</v>
      </c>
      <c r="C13" s="593">
        <v>6591643.3699999973</v>
      </c>
      <c r="D13" s="593">
        <v>6503908.6000000015</v>
      </c>
      <c r="E13" s="593">
        <v>2857401.5793779995</v>
      </c>
      <c r="F13" s="593">
        <v>84425.943568999995</v>
      </c>
      <c r="G13" s="593">
        <v>0</v>
      </c>
      <c r="H13" s="593">
        <v>0</v>
      </c>
      <c r="I13" s="597">
        <f t="shared" si="0"/>
        <v>10153724.447052998</v>
      </c>
    </row>
    <row r="14" spans="1:9">
      <c r="A14" s="444">
        <v>8</v>
      </c>
      <c r="B14" s="450" t="s">
        <v>703</v>
      </c>
      <c r="C14" s="593">
        <v>26888715.609999999</v>
      </c>
      <c r="D14" s="593">
        <v>15681096.529999997</v>
      </c>
      <c r="E14" s="593">
        <v>12958156.744498998</v>
      </c>
      <c r="F14" s="593">
        <v>285877.35314599995</v>
      </c>
      <c r="G14" s="593">
        <v>0</v>
      </c>
      <c r="H14" s="593">
        <v>0</v>
      </c>
      <c r="I14" s="597">
        <f t="shared" si="0"/>
        <v>29325778.042355001</v>
      </c>
    </row>
    <row r="15" spans="1:9">
      <c r="A15" s="444">
        <v>9</v>
      </c>
      <c r="B15" s="450" t="s">
        <v>704</v>
      </c>
      <c r="C15" s="593">
        <v>63790092.539999999</v>
      </c>
      <c r="D15" s="593">
        <v>79804488.099999979</v>
      </c>
      <c r="E15" s="593">
        <v>33618857.136253007</v>
      </c>
      <c r="F15" s="593">
        <v>1352054.55785</v>
      </c>
      <c r="G15" s="593">
        <v>0</v>
      </c>
      <c r="H15" s="593">
        <v>2291.14</v>
      </c>
      <c r="I15" s="597">
        <f t="shared" si="0"/>
        <v>108623668.94589698</v>
      </c>
    </row>
    <row r="16" spans="1:9">
      <c r="A16" s="444">
        <v>10</v>
      </c>
      <c r="B16" s="450" t="s">
        <v>705</v>
      </c>
      <c r="C16" s="593">
        <v>63780.23</v>
      </c>
      <c r="D16" s="593">
        <v>1575312.7799999998</v>
      </c>
      <c r="E16" s="593">
        <v>19134.070347999997</v>
      </c>
      <c r="F16" s="593">
        <v>31395.149651000003</v>
      </c>
      <c r="G16" s="593">
        <v>0</v>
      </c>
      <c r="H16" s="593">
        <v>0</v>
      </c>
      <c r="I16" s="597">
        <f t="shared" si="0"/>
        <v>1588563.7900009998</v>
      </c>
    </row>
    <row r="17" spans="1:9">
      <c r="A17" s="444">
        <v>11</v>
      </c>
      <c r="B17" s="450" t="s">
        <v>706</v>
      </c>
      <c r="C17" s="593">
        <v>0</v>
      </c>
      <c r="D17" s="593">
        <v>340179.96</v>
      </c>
      <c r="E17" s="593">
        <v>0</v>
      </c>
      <c r="F17" s="593">
        <v>6780.1937470000003</v>
      </c>
      <c r="G17" s="593">
        <v>0</v>
      </c>
      <c r="H17" s="593">
        <v>0</v>
      </c>
      <c r="I17" s="597">
        <f t="shared" si="0"/>
        <v>333399.76625300001</v>
      </c>
    </row>
    <row r="18" spans="1:9">
      <c r="A18" s="444">
        <v>12</v>
      </c>
      <c r="B18" s="450" t="s">
        <v>707</v>
      </c>
      <c r="C18" s="593">
        <v>24051913.980000004</v>
      </c>
      <c r="D18" s="593">
        <v>7406454.7399999993</v>
      </c>
      <c r="E18" s="593">
        <v>7368786.1669149986</v>
      </c>
      <c r="F18" s="593">
        <v>131322.15899699999</v>
      </c>
      <c r="G18" s="593">
        <v>0</v>
      </c>
      <c r="H18" s="593">
        <v>0</v>
      </c>
      <c r="I18" s="597">
        <f t="shared" si="0"/>
        <v>23958260.394088004</v>
      </c>
    </row>
    <row r="19" spans="1:9">
      <c r="A19" s="444">
        <v>13</v>
      </c>
      <c r="B19" s="450" t="s">
        <v>708</v>
      </c>
      <c r="C19" s="593">
        <v>4376781.8</v>
      </c>
      <c r="D19" s="593">
        <v>25140333.090000004</v>
      </c>
      <c r="E19" s="593">
        <v>1698171.7568080002</v>
      </c>
      <c r="F19" s="593">
        <v>497410.70994099998</v>
      </c>
      <c r="G19" s="593">
        <v>0</v>
      </c>
      <c r="H19" s="593">
        <v>0</v>
      </c>
      <c r="I19" s="597">
        <f t="shared" si="0"/>
        <v>27321532.423251003</v>
      </c>
    </row>
    <row r="20" spans="1:9">
      <c r="A20" s="444">
        <v>14</v>
      </c>
      <c r="B20" s="450" t="s">
        <v>709</v>
      </c>
      <c r="C20" s="593">
        <v>37235160.169999994</v>
      </c>
      <c r="D20" s="593">
        <v>27961981.540000003</v>
      </c>
      <c r="E20" s="593">
        <v>15873647.663626997</v>
      </c>
      <c r="F20" s="593">
        <v>475276.04242199997</v>
      </c>
      <c r="G20" s="593">
        <v>0</v>
      </c>
      <c r="H20" s="593">
        <v>0</v>
      </c>
      <c r="I20" s="597">
        <f t="shared" si="0"/>
        <v>48848218.003950998</v>
      </c>
    </row>
    <row r="21" spans="1:9">
      <c r="A21" s="444">
        <v>15</v>
      </c>
      <c r="B21" s="450" t="s">
        <v>710</v>
      </c>
      <c r="C21" s="593">
        <v>4355468.4800000004</v>
      </c>
      <c r="D21" s="593">
        <v>317751.52</v>
      </c>
      <c r="E21" s="593">
        <v>1327564.3038070002</v>
      </c>
      <c r="F21" s="593">
        <v>1608.1215179999999</v>
      </c>
      <c r="G21" s="593">
        <v>0</v>
      </c>
      <c r="H21" s="593">
        <v>0</v>
      </c>
      <c r="I21" s="597">
        <f t="shared" si="0"/>
        <v>3344047.5746749998</v>
      </c>
    </row>
    <row r="22" spans="1:9">
      <c r="A22" s="444">
        <v>16</v>
      </c>
      <c r="B22" s="450" t="s">
        <v>711</v>
      </c>
      <c r="C22" s="593">
        <v>73073.16</v>
      </c>
      <c r="D22" s="593">
        <v>52055876.080000006</v>
      </c>
      <c r="E22" s="593">
        <v>36536.5792</v>
      </c>
      <c r="F22" s="593">
        <v>1033634.440105</v>
      </c>
      <c r="G22" s="593">
        <v>0</v>
      </c>
      <c r="H22" s="593">
        <v>0</v>
      </c>
      <c r="I22" s="597">
        <f t="shared" si="0"/>
        <v>51058778.220695004</v>
      </c>
    </row>
    <row r="23" spans="1:9">
      <c r="A23" s="444">
        <v>17</v>
      </c>
      <c r="B23" s="450" t="s">
        <v>712</v>
      </c>
      <c r="C23" s="593">
        <v>137280.99</v>
      </c>
      <c r="D23" s="593">
        <v>25417392.320000004</v>
      </c>
      <c r="E23" s="593">
        <v>1023196.806035</v>
      </c>
      <c r="F23" s="593">
        <v>309457.02680200001</v>
      </c>
      <c r="G23" s="593">
        <v>0</v>
      </c>
      <c r="H23" s="593">
        <v>0</v>
      </c>
      <c r="I23" s="597">
        <f t="shared" si="0"/>
        <v>24222019.477163002</v>
      </c>
    </row>
    <row r="24" spans="1:9">
      <c r="A24" s="444">
        <v>18</v>
      </c>
      <c r="B24" s="450" t="s">
        <v>713</v>
      </c>
      <c r="C24" s="593">
        <v>2075392</v>
      </c>
      <c r="D24" s="593">
        <v>1591034.79</v>
      </c>
      <c r="E24" s="593">
        <v>1093226.064973</v>
      </c>
      <c r="F24" s="593">
        <v>4094.6108829999998</v>
      </c>
      <c r="G24" s="593">
        <v>0</v>
      </c>
      <c r="H24" s="593">
        <v>0</v>
      </c>
      <c r="I24" s="597">
        <f t="shared" si="0"/>
        <v>2569106.1141440002</v>
      </c>
    </row>
    <row r="25" spans="1:9">
      <c r="A25" s="444">
        <v>19</v>
      </c>
      <c r="B25" s="450" t="s">
        <v>714</v>
      </c>
      <c r="C25" s="593">
        <v>33376786.530000001</v>
      </c>
      <c r="D25" s="593">
        <v>859008.5199999999</v>
      </c>
      <c r="E25" s="593">
        <v>10582177.677887999</v>
      </c>
      <c r="F25" s="593">
        <v>17103.463698</v>
      </c>
      <c r="G25" s="593">
        <v>0</v>
      </c>
      <c r="H25" s="593">
        <v>0</v>
      </c>
      <c r="I25" s="597">
        <f t="shared" si="0"/>
        <v>23636513.908414006</v>
      </c>
    </row>
    <row r="26" spans="1:9">
      <c r="A26" s="444">
        <v>20</v>
      </c>
      <c r="B26" s="450" t="s">
        <v>715</v>
      </c>
      <c r="C26" s="593">
        <v>497683.03</v>
      </c>
      <c r="D26" s="593">
        <v>58389605.630000003</v>
      </c>
      <c r="E26" s="593">
        <v>1540376.8593039999</v>
      </c>
      <c r="F26" s="593">
        <v>873283.6121990002</v>
      </c>
      <c r="G26" s="593">
        <v>0</v>
      </c>
      <c r="H26" s="593">
        <v>0</v>
      </c>
      <c r="I26" s="597">
        <f t="shared" si="0"/>
        <v>56473628.188496999</v>
      </c>
    </row>
    <row r="27" spans="1:9">
      <c r="A27" s="444">
        <v>21</v>
      </c>
      <c r="B27" s="450" t="s">
        <v>716</v>
      </c>
      <c r="C27" s="593">
        <v>0</v>
      </c>
      <c r="D27" s="593">
        <v>2916722.4099999997</v>
      </c>
      <c r="E27" s="593">
        <v>0</v>
      </c>
      <c r="F27" s="593">
        <v>58143.234645000004</v>
      </c>
      <c r="G27" s="593">
        <v>0</v>
      </c>
      <c r="H27" s="593">
        <v>59.27</v>
      </c>
      <c r="I27" s="597">
        <f t="shared" si="0"/>
        <v>2858579.1753549995</v>
      </c>
    </row>
    <row r="28" spans="1:9">
      <c r="A28" s="444">
        <v>22</v>
      </c>
      <c r="B28" s="450" t="s">
        <v>717</v>
      </c>
      <c r="C28" s="593">
        <v>6947878.3700000001</v>
      </c>
      <c r="D28" s="593">
        <v>50321856.569999993</v>
      </c>
      <c r="E28" s="593">
        <v>6501786.9446909996</v>
      </c>
      <c r="F28" s="593">
        <v>936322.11199999996</v>
      </c>
      <c r="G28" s="593">
        <v>0</v>
      </c>
      <c r="H28" s="593">
        <v>0</v>
      </c>
      <c r="I28" s="597">
        <f t="shared" si="0"/>
        <v>49831625.883308984</v>
      </c>
    </row>
    <row r="29" spans="1:9">
      <c r="A29" s="444">
        <v>23</v>
      </c>
      <c r="B29" s="450" t="s">
        <v>718</v>
      </c>
      <c r="C29" s="593">
        <v>17425381.820000004</v>
      </c>
      <c r="D29" s="593">
        <v>75216899.280000016</v>
      </c>
      <c r="E29" s="593">
        <v>7342031.4533479987</v>
      </c>
      <c r="F29" s="593">
        <v>1491858.7467199997</v>
      </c>
      <c r="G29" s="593">
        <v>0</v>
      </c>
      <c r="H29" s="593">
        <v>0</v>
      </c>
      <c r="I29" s="597">
        <f t="shared" si="0"/>
        <v>83808390.899932027</v>
      </c>
    </row>
    <row r="30" spans="1:9">
      <c r="A30" s="444">
        <v>24</v>
      </c>
      <c r="B30" s="450" t="s">
        <v>719</v>
      </c>
      <c r="C30" s="593">
        <v>14558409.200000003</v>
      </c>
      <c r="D30" s="593">
        <v>40421516.110000014</v>
      </c>
      <c r="E30" s="593">
        <v>9089858.9565280024</v>
      </c>
      <c r="F30" s="593">
        <v>551163.72577899985</v>
      </c>
      <c r="G30" s="593">
        <v>0</v>
      </c>
      <c r="H30" s="593">
        <v>0</v>
      </c>
      <c r="I30" s="597">
        <f t="shared" si="0"/>
        <v>45338902.62769302</v>
      </c>
    </row>
    <row r="31" spans="1:9">
      <c r="A31" s="444">
        <v>25</v>
      </c>
      <c r="B31" s="450" t="s">
        <v>720</v>
      </c>
      <c r="C31" s="593">
        <v>4059664.21</v>
      </c>
      <c r="D31" s="593">
        <v>33504482.259999998</v>
      </c>
      <c r="E31" s="593">
        <v>1601443.8376800003</v>
      </c>
      <c r="F31" s="593">
        <v>583912.25248200016</v>
      </c>
      <c r="G31" s="593">
        <v>0</v>
      </c>
      <c r="H31" s="593">
        <v>150.24</v>
      </c>
      <c r="I31" s="597">
        <f t="shared" si="0"/>
        <v>35378790.379838005</v>
      </c>
    </row>
    <row r="32" spans="1:9">
      <c r="A32" s="444">
        <v>26</v>
      </c>
      <c r="B32" s="450" t="s">
        <v>721</v>
      </c>
      <c r="C32" s="593">
        <v>13820.72</v>
      </c>
      <c r="D32" s="593">
        <v>1515848.5200000009</v>
      </c>
      <c r="E32" s="593">
        <v>9189.7375400000001</v>
      </c>
      <c r="F32" s="593">
        <v>24001.779916000032</v>
      </c>
      <c r="G32" s="593">
        <v>0</v>
      </c>
      <c r="H32" s="593">
        <v>163606.69000000041</v>
      </c>
      <c r="I32" s="597">
        <f t="shared" si="0"/>
        <v>1496477.7225440009</v>
      </c>
    </row>
    <row r="33" spans="1:9">
      <c r="A33" s="444">
        <v>27</v>
      </c>
      <c r="B33" s="444" t="s">
        <v>165</v>
      </c>
      <c r="C33" s="593">
        <v>35835589</v>
      </c>
      <c r="D33" s="593">
        <v>65593202.433743998</v>
      </c>
      <c r="E33" s="593">
        <v>11141209</v>
      </c>
      <c r="F33" s="593">
        <v>1140</v>
      </c>
      <c r="G33" s="593">
        <v>0</v>
      </c>
      <c r="H33" s="593">
        <v>1074556.1400000001</v>
      </c>
      <c r="I33" s="597">
        <f t="shared" si="0"/>
        <v>90286442.433743998</v>
      </c>
    </row>
    <row r="34" spans="1:9">
      <c r="A34" s="444">
        <v>28</v>
      </c>
      <c r="B34" s="436" t="s">
        <v>68</v>
      </c>
      <c r="C34" s="594">
        <f>SUM(C7:C33)</f>
        <v>362244069.64999998</v>
      </c>
      <c r="D34" s="594">
        <f t="shared" ref="D34:H34" si="1">SUM(D7:D33)</f>
        <v>1032325135.9937438</v>
      </c>
      <c r="E34" s="594">
        <f t="shared" si="1"/>
        <v>158772882.34326899</v>
      </c>
      <c r="F34" s="594">
        <f t="shared" si="1"/>
        <v>11905016.825325999</v>
      </c>
      <c r="G34" s="594">
        <v>0</v>
      </c>
      <c r="H34" s="594">
        <f t="shared" si="1"/>
        <v>1242498.8600000006</v>
      </c>
      <c r="I34" s="597">
        <f t="shared" si="0"/>
        <v>1223891306.4751487</v>
      </c>
    </row>
    <row r="36" spans="1:9">
      <c r="B36" s="451"/>
    </row>
    <row r="42" spans="1:9">
      <c r="A42" s="447"/>
      <c r="B42" s="447"/>
    </row>
    <row r="43" spans="1:9">
      <c r="A43" s="447"/>
      <c r="B43" s="44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30" bestFit="1" customWidth="1"/>
    <col min="2" max="2" width="108" style="430" bestFit="1" customWidth="1"/>
    <col min="3" max="3" width="35.5703125" style="430" customWidth="1"/>
    <col min="4" max="4" width="38.42578125" style="430" customWidth="1"/>
    <col min="5" max="16384" width="9.28515625" style="430"/>
  </cols>
  <sheetData>
    <row r="1" spans="1:4">
      <c r="A1" s="429" t="s">
        <v>188</v>
      </c>
      <c r="B1" s="596" t="str">
        <f>'1. key ratios'!B1</f>
        <v>სს "ბანკი ქართუ"</v>
      </c>
    </row>
    <row r="2" spans="1:4">
      <c r="A2" s="429" t="s">
        <v>189</v>
      </c>
      <c r="B2" s="432">
        <f>'1. key ratios'!B2</f>
        <v>44561</v>
      </c>
    </row>
    <row r="3" spans="1:4">
      <c r="A3" s="431" t="s">
        <v>722</v>
      </c>
      <c r="B3" s="432"/>
    </row>
    <row r="5" spans="1:4" ht="51">
      <c r="A5" s="746" t="s">
        <v>723</v>
      </c>
      <c r="B5" s="746"/>
      <c r="C5" s="433" t="s">
        <v>724</v>
      </c>
      <c r="D5" s="433" t="s">
        <v>725</v>
      </c>
    </row>
    <row r="6" spans="1:4">
      <c r="A6" s="452">
        <v>1</v>
      </c>
      <c r="B6" s="453" t="s">
        <v>726</v>
      </c>
      <c r="C6" s="594">
        <v>166614563.20575881</v>
      </c>
      <c r="D6" s="594">
        <v>372280</v>
      </c>
    </row>
    <row r="7" spans="1:4">
      <c r="A7" s="454">
        <v>2</v>
      </c>
      <c r="B7" s="453" t="s">
        <v>727</v>
      </c>
      <c r="C7" s="593">
        <v>34190031.988192029</v>
      </c>
      <c r="D7" s="593">
        <f>SUM(D8:D11)</f>
        <v>0</v>
      </c>
    </row>
    <row r="8" spans="1:4">
      <c r="A8" s="454">
        <v>2.1</v>
      </c>
      <c r="B8" s="455" t="s">
        <v>728</v>
      </c>
      <c r="C8" s="593">
        <v>27822501.930372119</v>
      </c>
      <c r="D8" s="593"/>
    </row>
    <row r="9" spans="1:4">
      <c r="A9" s="454">
        <v>2.2000000000000002</v>
      </c>
      <c r="B9" s="455" t="s">
        <v>729</v>
      </c>
      <c r="C9" s="593">
        <v>6367530.0578199094</v>
      </c>
      <c r="D9" s="593"/>
    </row>
    <row r="10" spans="1:4">
      <c r="A10" s="454">
        <v>2.2999999999999998</v>
      </c>
      <c r="B10" s="455" t="s">
        <v>730</v>
      </c>
      <c r="C10" s="593">
        <v>3.1481344319600479E-13</v>
      </c>
      <c r="D10" s="593"/>
    </row>
    <row r="11" spans="1:4">
      <c r="A11" s="454">
        <v>2.4</v>
      </c>
      <c r="B11" s="455" t="s">
        <v>731</v>
      </c>
      <c r="C11" s="593">
        <v>0</v>
      </c>
      <c r="D11" s="593"/>
    </row>
    <row r="12" spans="1:4">
      <c r="A12" s="452">
        <v>3</v>
      </c>
      <c r="B12" s="453" t="s">
        <v>732</v>
      </c>
      <c r="C12" s="594">
        <f>SUM(C13:C18)</f>
        <v>41638804.254813805</v>
      </c>
      <c r="D12" s="593">
        <f>SUM(D13:D18)</f>
        <v>2520</v>
      </c>
    </row>
    <row r="13" spans="1:4">
      <c r="A13" s="454">
        <v>3.1</v>
      </c>
      <c r="B13" s="455" t="s">
        <v>733</v>
      </c>
      <c r="C13" s="593">
        <v>167957.454016</v>
      </c>
      <c r="D13" s="593"/>
    </row>
    <row r="14" spans="1:4">
      <c r="A14" s="454">
        <v>3.2</v>
      </c>
      <c r="B14" s="455" t="s">
        <v>734</v>
      </c>
      <c r="C14" s="593">
        <v>1978887.7497317502</v>
      </c>
      <c r="D14" s="593"/>
    </row>
    <row r="15" spans="1:4">
      <c r="A15" s="454">
        <v>3.3</v>
      </c>
      <c r="B15" s="455" t="s">
        <v>735</v>
      </c>
      <c r="C15" s="593">
        <v>32667893.314920012</v>
      </c>
      <c r="D15" s="593"/>
    </row>
    <row r="16" spans="1:4">
      <c r="A16" s="454">
        <v>3.4</v>
      </c>
      <c r="B16" s="455" t="s">
        <v>736</v>
      </c>
      <c r="C16" s="593">
        <v>5907405.721117191</v>
      </c>
      <c r="D16" s="593"/>
    </row>
    <row r="17" spans="1:4">
      <c r="A17" s="454">
        <v>3.5</v>
      </c>
      <c r="B17" s="455" t="s">
        <v>737</v>
      </c>
      <c r="C17" s="593">
        <v>916660.01502885227</v>
      </c>
      <c r="D17" s="593">
        <v>2520</v>
      </c>
    </row>
    <row r="18" spans="1:4">
      <c r="A18" s="454">
        <v>3.6</v>
      </c>
      <c r="B18" s="455" t="s">
        <v>738</v>
      </c>
      <c r="C18" s="593">
        <v>0</v>
      </c>
      <c r="D18" s="593"/>
    </row>
    <row r="19" spans="1:4">
      <c r="A19" s="456">
        <v>4</v>
      </c>
      <c r="B19" s="453" t="s">
        <v>739</v>
      </c>
      <c r="C19" s="594">
        <f>C6+C7-C12</f>
        <v>159165790.93913704</v>
      </c>
      <c r="D19" s="594">
        <f>D6+D7-D12</f>
        <v>369760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30" bestFit="1" customWidth="1"/>
    <col min="2" max="2" width="124.7109375" style="430" customWidth="1"/>
    <col min="3" max="3" width="21.5703125" style="430" customWidth="1"/>
    <col min="4" max="4" width="49.28515625" style="430" customWidth="1"/>
    <col min="5" max="16384" width="9.28515625" style="430"/>
  </cols>
  <sheetData>
    <row r="1" spans="1:4">
      <c r="A1" s="429" t="s">
        <v>188</v>
      </c>
      <c r="B1" s="596" t="str">
        <f>'1. key ratios'!B1</f>
        <v>სს "ბანკი ქართუ"</v>
      </c>
    </row>
    <row r="2" spans="1:4">
      <c r="A2" s="429" t="s">
        <v>189</v>
      </c>
      <c r="B2" s="432">
        <f>'1. key ratios'!B2</f>
        <v>44561</v>
      </c>
    </row>
    <row r="3" spans="1:4">
      <c r="A3" s="431" t="s">
        <v>740</v>
      </c>
      <c r="B3" s="432"/>
    </row>
    <row r="4" spans="1:4">
      <c r="A4" s="431"/>
    </row>
    <row r="5" spans="1:4" ht="15" customHeight="1">
      <c r="A5" s="747" t="s">
        <v>741</v>
      </c>
      <c r="B5" s="748"/>
      <c r="C5" s="737" t="s">
        <v>742</v>
      </c>
      <c r="D5" s="751" t="s">
        <v>743</v>
      </c>
    </row>
    <row r="6" spans="1:4" ht="22.5" customHeight="1">
      <c r="A6" s="749"/>
      <c r="B6" s="750"/>
      <c r="C6" s="740"/>
      <c r="D6" s="751"/>
    </row>
    <row r="7" spans="1:4">
      <c r="A7" s="436">
        <v>1</v>
      </c>
      <c r="B7" s="436" t="s">
        <v>744</v>
      </c>
      <c r="C7" s="594">
        <v>349830391.99779958</v>
      </c>
      <c r="D7" s="598"/>
    </row>
    <row r="8" spans="1:4">
      <c r="A8" s="444">
        <v>2</v>
      </c>
      <c r="B8" s="444" t="s">
        <v>745</v>
      </c>
      <c r="C8" s="593">
        <v>73913308.829333127</v>
      </c>
      <c r="D8" s="598"/>
    </row>
    <row r="9" spans="1:4">
      <c r="A9" s="444">
        <v>3</v>
      </c>
      <c r="B9" s="457" t="s">
        <v>746</v>
      </c>
      <c r="C9" s="593">
        <v>2.4800000283448753E-2</v>
      </c>
      <c r="D9" s="598"/>
    </row>
    <row r="10" spans="1:4">
      <c r="A10" s="444">
        <v>4</v>
      </c>
      <c r="B10" s="444" t="s">
        <v>747</v>
      </c>
      <c r="C10" s="593">
        <f>SUM(C11:C18)</f>
        <v>97393608.709533125</v>
      </c>
      <c r="D10" s="598"/>
    </row>
    <row r="11" spans="1:4">
      <c r="A11" s="444">
        <v>5</v>
      </c>
      <c r="B11" s="458" t="s">
        <v>748</v>
      </c>
      <c r="C11" s="593">
        <v>3415030.6</v>
      </c>
      <c r="D11" s="598"/>
    </row>
    <row r="12" spans="1:4">
      <c r="A12" s="444">
        <v>6</v>
      </c>
      <c r="B12" s="458" t="s">
        <v>749</v>
      </c>
      <c r="C12" s="593">
        <v>7552344.9200000009</v>
      </c>
      <c r="D12" s="598"/>
    </row>
    <row r="13" spans="1:4">
      <c r="A13" s="444">
        <v>7</v>
      </c>
      <c r="B13" s="458" t="s">
        <v>750</v>
      </c>
      <c r="C13" s="593">
        <v>72207248.352268308</v>
      </c>
      <c r="D13" s="598"/>
    </row>
    <row r="14" spans="1:4">
      <c r="A14" s="444">
        <v>8</v>
      </c>
      <c r="B14" s="458" t="s">
        <v>751</v>
      </c>
      <c r="C14" s="593">
        <v>12147817.744128</v>
      </c>
      <c r="D14" s="593">
        <v>12849477.08</v>
      </c>
    </row>
    <row r="15" spans="1:4">
      <c r="A15" s="444">
        <v>9</v>
      </c>
      <c r="B15" s="458" t="s">
        <v>752</v>
      </c>
      <c r="C15" s="593">
        <v>0</v>
      </c>
      <c r="D15" s="593"/>
    </row>
    <row r="16" spans="1:4">
      <c r="A16" s="444">
        <v>10</v>
      </c>
      <c r="B16" s="458" t="s">
        <v>753</v>
      </c>
      <c r="C16" s="593">
        <v>167957.454016</v>
      </c>
      <c r="D16" s="598"/>
    </row>
    <row r="17" spans="1:4">
      <c r="A17" s="444">
        <v>11</v>
      </c>
      <c r="B17" s="458" t="s">
        <v>754</v>
      </c>
      <c r="C17" s="593">
        <v>0</v>
      </c>
      <c r="D17" s="593"/>
    </row>
    <row r="18" spans="1:4" ht="25.5">
      <c r="A18" s="444">
        <v>12</v>
      </c>
      <c r="B18" s="458" t="s">
        <v>755</v>
      </c>
      <c r="C18" s="593">
        <v>1903209.6391208104</v>
      </c>
      <c r="D18" s="598"/>
    </row>
    <row r="19" spans="1:4">
      <c r="A19" s="436">
        <v>13</v>
      </c>
      <c r="B19" s="459" t="s">
        <v>756</v>
      </c>
      <c r="C19" s="594">
        <f>C7+C8+C9-C10</f>
        <v>326350092.14239955</v>
      </c>
      <c r="D19" s="599"/>
    </row>
    <row r="22" spans="1:4">
      <c r="B22" s="429"/>
    </row>
    <row r="23" spans="1:4">
      <c r="B23" s="429"/>
    </row>
    <row r="24" spans="1:4">
      <c r="B24" s="4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430" bestFit="1" customWidth="1"/>
    <col min="2" max="2" width="80.7109375" style="430" customWidth="1"/>
    <col min="3" max="3" width="15.5703125" style="430" customWidth="1"/>
    <col min="4" max="5" width="22.28515625" style="430" customWidth="1"/>
    <col min="6" max="6" width="23.42578125" style="430" customWidth="1"/>
    <col min="7" max="14" width="22.28515625" style="430" customWidth="1"/>
    <col min="15" max="15" width="23.28515625" style="430" bestFit="1" customWidth="1"/>
    <col min="16" max="16" width="21.85546875" style="430" bestFit="1" customWidth="1"/>
    <col min="17" max="19" width="19.140625" style="430" bestFit="1" customWidth="1"/>
    <col min="20" max="20" width="16.28515625" style="430" customWidth="1"/>
    <col min="21" max="21" width="13.28515625" style="430" bestFit="1" customWidth="1"/>
    <col min="22" max="22" width="20" style="430" customWidth="1"/>
    <col min="23" max="16384" width="9.28515625" style="430"/>
  </cols>
  <sheetData>
    <row r="1" spans="1:22">
      <c r="A1" s="429" t="s">
        <v>188</v>
      </c>
      <c r="B1" s="596" t="str">
        <f>'1. key ratios'!B1</f>
        <v>სს "ბანკი ქართუ"</v>
      </c>
    </row>
    <row r="2" spans="1:22">
      <c r="A2" s="429" t="s">
        <v>189</v>
      </c>
      <c r="B2" s="595">
        <f>'1. key ratios'!B2</f>
        <v>44561</v>
      </c>
      <c r="C2" s="440"/>
    </row>
    <row r="3" spans="1:22">
      <c r="A3" s="431" t="s">
        <v>757</v>
      </c>
      <c r="B3" s="432"/>
    </row>
    <row r="5" spans="1:22" ht="15" customHeight="1">
      <c r="A5" s="737" t="s">
        <v>758</v>
      </c>
      <c r="B5" s="739"/>
      <c r="C5" s="754" t="s">
        <v>759</v>
      </c>
      <c r="D5" s="755"/>
      <c r="E5" s="755"/>
      <c r="F5" s="755"/>
      <c r="G5" s="755"/>
      <c r="H5" s="755"/>
      <c r="I5" s="755"/>
      <c r="J5" s="755"/>
      <c r="K5" s="755"/>
      <c r="L5" s="755"/>
      <c r="M5" s="755"/>
      <c r="N5" s="755"/>
      <c r="O5" s="755"/>
      <c r="P5" s="755"/>
      <c r="Q5" s="755"/>
      <c r="R5" s="755"/>
      <c r="S5" s="755"/>
      <c r="T5" s="755"/>
      <c r="U5" s="756"/>
      <c r="V5" s="460"/>
    </row>
    <row r="6" spans="1:22">
      <c r="A6" s="752"/>
      <c r="B6" s="753"/>
      <c r="C6" s="757" t="s">
        <v>68</v>
      </c>
      <c r="D6" s="759" t="s">
        <v>760</v>
      </c>
      <c r="E6" s="759"/>
      <c r="F6" s="744"/>
      <c r="G6" s="760" t="s">
        <v>761</v>
      </c>
      <c r="H6" s="761"/>
      <c r="I6" s="761"/>
      <c r="J6" s="761"/>
      <c r="K6" s="762"/>
      <c r="L6" s="461"/>
      <c r="M6" s="763" t="s">
        <v>762</v>
      </c>
      <c r="N6" s="763"/>
      <c r="O6" s="744"/>
      <c r="P6" s="744"/>
      <c r="Q6" s="744"/>
      <c r="R6" s="744"/>
      <c r="S6" s="744"/>
      <c r="T6" s="744"/>
      <c r="U6" s="744"/>
      <c r="V6" s="461"/>
    </row>
    <row r="7" spans="1:22" ht="25.5">
      <c r="A7" s="740"/>
      <c r="B7" s="742"/>
      <c r="C7" s="758"/>
      <c r="D7" s="462"/>
      <c r="E7" s="442" t="s">
        <v>763</v>
      </c>
      <c r="F7" s="442" t="s">
        <v>764</v>
      </c>
      <c r="G7" s="440"/>
      <c r="H7" s="442" t="s">
        <v>763</v>
      </c>
      <c r="I7" s="442" t="s">
        <v>790</v>
      </c>
      <c r="J7" s="442" t="s">
        <v>765</v>
      </c>
      <c r="K7" s="442" t="s">
        <v>766</v>
      </c>
      <c r="L7" s="463"/>
      <c r="M7" s="476" t="s">
        <v>767</v>
      </c>
      <c r="N7" s="442" t="s">
        <v>765</v>
      </c>
      <c r="O7" s="442" t="s">
        <v>768</v>
      </c>
      <c r="P7" s="442" t="s">
        <v>769</v>
      </c>
      <c r="Q7" s="442" t="s">
        <v>770</v>
      </c>
      <c r="R7" s="442" t="s">
        <v>771</v>
      </c>
      <c r="S7" s="442" t="s">
        <v>772</v>
      </c>
      <c r="T7" s="464" t="s">
        <v>773</v>
      </c>
      <c r="U7" s="442" t="s">
        <v>774</v>
      </c>
      <c r="V7" s="460"/>
    </row>
    <row r="8" spans="1:22">
      <c r="A8" s="465">
        <v>1</v>
      </c>
      <c r="B8" s="436" t="s">
        <v>775</v>
      </c>
      <c r="C8" s="594">
        <f>SUM(C9:C14)</f>
        <v>965168853.17349935</v>
      </c>
      <c r="D8" s="594">
        <f t="shared" ref="D8:U8" si="0">SUM(D9:D14)</f>
        <v>578096348.35109997</v>
      </c>
      <c r="E8" s="594">
        <f t="shared" si="0"/>
        <v>0</v>
      </c>
      <c r="F8" s="594">
        <f t="shared" si="0"/>
        <v>83551.833999999886</v>
      </c>
      <c r="G8" s="594">
        <f t="shared" si="0"/>
        <v>60722412.68000003</v>
      </c>
      <c r="H8" s="594">
        <f t="shared" si="0"/>
        <v>3335899.55</v>
      </c>
      <c r="I8" s="594">
        <f t="shared" si="0"/>
        <v>6186942.6600000001</v>
      </c>
      <c r="J8" s="594">
        <f t="shared" si="0"/>
        <v>461749.14</v>
      </c>
      <c r="K8" s="594">
        <f t="shared" si="0"/>
        <v>60.44</v>
      </c>
      <c r="L8" s="594">
        <f t="shared" si="0"/>
        <v>326350092.14239979</v>
      </c>
      <c r="M8" s="594">
        <f t="shared" si="0"/>
        <v>1900899.82</v>
      </c>
      <c r="N8" s="594">
        <f t="shared" si="0"/>
        <v>201344</v>
      </c>
      <c r="O8" s="594">
        <f t="shared" si="0"/>
        <v>15239649.379999999</v>
      </c>
      <c r="P8" s="594">
        <f t="shared" si="0"/>
        <v>2631809.04</v>
      </c>
      <c r="Q8" s="594">
        <f t="shared" si="0"/>
        <v>42926002.950000003</v>
      </c>
      <c r="R8" s="594">
        <f t="shared" si="0"/>
        <v>85659623.10239999</v>
      </c>
      <c r="S8" s="594">
        <f t="shared" si="0"/>
        <v>20391906.989999998</v>
      </c>
      <c r="T8" s="594">
        <f t="shared" si="0"/>
        <v>19246365.339999996</v>
      </c>
      <c r="U8" s="594">
        <f t="shared" si="0"/>
        <v>34470561.560000002</v>
      </c>
    </row>
    <row r="9" spans="1:22">
      <c r="A9" s="444">
        <v>1.1000000000000001</v>
      </c>
      <c r="B9" s="466" t="s">
        <v>776</v>
      </c>
      <c r="C9" s="600"/>
      <c r="D9" s="593"/>
      <c r="E9" s="593"/>
      <c r="F9" s="593"/>
      <c r="G9" s="593"/>
      <c r="H9" s="593"/>
      <c r="I9" s="593"/>
      <c r="J9" s="593"/>
      <c r="K9" s="593"/>
      <c r="L9" s="593"/>
      <c r="M9" s="593"/>
      <c r="N9" s="593"/>
      <c r="O9" s="593"/>
      <c r="P9" s="593"/>
      <c r="Q9" s="593"/>
      <c r="R9" s="593"/>
      <c r="S9" s="593"/>
      <c r="T9" s="593"/>
      <c r="U9" s="593"/>
    </row>
    <row r="10" spans="1:22">
      <c r="A10" s="444">
        <v>1.2</v>
      </c>
      <c r="B10" s="466" t="s">
        <v>777</v>
      </c>
      <c r="C10" s="600"/>
      <c r="D10" s="593"/>
      <c r="E10" s="593"/>
      <c r="F10" s="593"/>
      <c r="G10" s="593"/>
      <c r="H10" s="593"/>
      <c r="I10" s="593"/>
      <c r="J10" s="593"/>
      <c r="K10" s="593"/>
      <c r="L10" s="593"/>
      <c r="M10" s="593"/>
      <c r="N10" s="593"/>
      <c r="O10" s="593"/>
      <c r="P10" s="593"/>
      <c r="Q10" s="593"/>
      <c r="R10" s="593"/>
      <c r="S10" s="593"/>
      <c r="T10" s="593"/>
      <c r="U10" s="593"/>
    </row>
    <row r="11" spans="1:22">
      <c r="A11" s="444">
        <v>1.3</v>
      </c>
      <c r="B11" s="466" t="s">
        <v>778</v>
      </c>
      <c r="C11" s="600"/>
      <c r="D11" s="593"/>
      <c r="E11" s="593"/>
      <c r="F11" s="593"/>
      <c r="G11" s="593"/>
      <c r="H11" s="593"/>
      <c r="I11" s="593"/>
      <c r="J11" s="593"/>
      <c r="K11" s="593"/>
      <c r="L11" s="593"/>
      <c r="M11" s="593"/>
      <c r="N11" s="593"/>
      <c r="O11" s="593"/>
      <c r="P11" s="593"/>
      <c r="Q11" s="593"/>
      <c r="R11" s="593"/>
      <c r="S11" s="593"/>
      <c r="T11" s="593"/>
      <c r="U11" s="593"/>
    </row>
    <row r="12" spans="1:22">
      <c r="A12" s="444">
        <v>1.4</v>
      </c>
      <c r="B12" s="466" t="s">
        <v>779</v>
      </c>
      <c r="C12" s="600">
        <v>92000</v>
      </c>
      <c r="D12" s="593">
        <v>92000</v>
      </c>
      <c r="E12" s="593">
        <v>0</v>
      </c>
      <c r="F12" s="593">
        <v>0</v>
      </c>
      <c r="G12" s="593">
        <v>0</v>
      </c>
      <c r="H12" s="593">
        <v>0</v>
      </c>
      <c r="I12" s="593">
        <v>0</v>
      </c>
      <c r="J12" s="593">
        <v>0</v>
      </c>
      <c r="K12" s="593">
        <v>0</v>
      </c>
      <c r="L12" s="593">
        <v>0</v>
      </c>
      <c r="M12" s="593">
        <v>0</v>
      </c>
      <c r="N12" s="593">
        <v>0</v>
      </c>
      <c r="O12" s="593">
        <v>0</v>
      </c>
      <c r="P12" s="593">
        <v>0</v>
      </c>
      <c r="Q12" s="593">
        <v>0</v>
      </c>
      <c r="R12" s="593">
        <v>0</v>
      </c>
      <c r="S12" s="593">
        <v>0</v>
      </c>
      <c r="T12" s="593">
        <v>0</v>
      </c>
      <c r="U12" s="593">
        <v>0</v>
      </c>
    </row>
    <row r="13" spans="1:22">
      <c r="A13" s="444">
        <v>1.5</v>
      </c>
      <c r="B13" s="466" t="s">
        <v>780</v>
      </c>
      <c r="C13" s="600">
        <v>876592064.82729924</v>
      </c>
      <c r="D13" s="593">
        <v>526794731.74199998</v>
      </c>
      <c r="E13" s="593">
        <v>0</v>
      </c>
      <c r="F13" s="593">
        <v>14265.7991</v>
      </c>
      <c r="G13" s="593">
        <v>54071758.980000027</v>
      </c>
      <c r="H13" s="593">
        <v>3335899.55</v>
      </c>
      <c r="I13" s="593">
        <v>4182153.7</v>
      </c>
      <c r="J13" s="593">
        <v>461749.14</v>
      </c>
      <c r="K13" s="593">
        <v>60.44</v>
      </c>
      <c r="L13" s="593">
        <v>295725574.10529983</v>
      </c>
      <c r="M13" s="593">
        <v>1378714.07</v>
      </c>
      <c r="N13" s="593">
        <v>0</v>
      </c>
      <c r="O13" s="593">
        <v>13420614.889999999</v>
      </c>
      <c r="P13" s="593">
        <v>2023364.8499999999</v>
      </c>
      <c r="Q13" s="593">
        <v>33836829.079999998</v>
      </c>
      <c r="R13" s="593">
        <v>84110284.925299987</v>
      </c>
      <c r="S13" s="593">
        <v>11035490.870000001</v>
      </c>
      <c r="T13" s="593">
        <v>19173292.179999996</v>
      </c>
      <c r="U13" s="593">
        <v>34269515.18</v>
      </c>
    </row>
    <row r="14" spans="1:22">
      <c r="A14" s="444">
        <v>1.6</v>
      </c>
      <c r="B14" s="466" t="s">
        <v>781</v>
      </c>
      <c r="C14" s="600">
        <v>88484788.346200049</v>
      </c>
      <c r="D14" s="593">
        <v>51209616.609100014</v>
      </c>
      <c r="E14" s="593">
        <v>0</v>
      </c>
      <c r="F14" s="593">
        <v>69286.034899999882</v>
      </c>
      <c r="G14" s="593">
        <v>6650653.7000000002</v>
      </c>
      <c r="H14" s="593">
        <v>0</v>
      </c>
      <c r="I14" s="593">
        <v>2004788.96</v>
      </c>
      <c r="J14" s="593">
        <v>0</v>
      </c>
      <c r="K14" s="593">
        <v>0</v>
      </c>
      <c r="L14" s="593">
        <v>30624518.037099984</v>
      </c>
      <c r="M14" s="593">
        <v>522185.75</v>
      </c>
      <c r="N14" s="593">
        <v>201344</v>
      </c>
      <c r="O14" s="593">
        <v>1819034.49</v>
      </c>
      <c r="P14" s="593">
        <v>608444.18999999994</v>
      </c>
      <c r="Q14" s="593">
        <v>9089173.870000001</v>
      </c>
      <c r="R14" s="593">
        <v>1549338.1771</v>
      </c>
      <c r="S14" s="593">
        <v>9356416.1199999973</v>
      </c>
      <c r="T14" s="593">
        <v>73073.16</v>
      </c>
      <c r="U14" s="593">
        <v>201046.37999999998</v>
      </c>
    </row>
    <row r="15" spans="1:22">
      <c r="A15" s="465">
        <v>2</v>
      </c>
      <c r="B15" s="436" t="s">
        <v>782</v>
      </c>
      <c r="C15" s="594">
        <f>SUM(C16:C21)</f>
        <v>50022340</v>
      </c>
      <c r="D15" s="594">
        <f t="shared" ref="D15:U15" si="1">SUM(D16:D21)</f>
        <v>50022340</v>
      </c>
      <c r="E15" s="594">
        <f t="shared" si="1"/>
        <v>0</v>
      </c>
      <c r="F15" s="594">
        <f t="shared" si="1"/>
        <v>0</v>
      </c>
      <c r="G15" s="594">
        <f t="shared" si="1"/>
        <v>0</v>
      </c>
      <c r="H15" s="594">
        <f t="shared" si="1"/>
        <v>0</v>
      </c>
      <c r="I15" s="594">
        <f t="shared" si="1"/>
        <v>0</v>
      </c>
      <c r="J15" s="594">
        <f t="shared" si="1"/>
        <v>0</v>
      </c>
      <c r="K15" s="594">
        <f t="shared" si="1"/>
        <v>0</v>
      </c>
      <c r="L15" s="594">
        <f t="shared" si="1"/>
        <v>0</v>
      </c>
      <c r="M15" s="594">
        <f t="shared" si="1"/>
        <v>0</v>
      </c>
      <c r="N15" s="594">
        <f t="shared" si="1"/>
        <v>0</v>
      </c>
      <c r="O15" s="594">
        <f t="shared" si="1"/>
        <v>0</v>
      </c>
      <c r="P15" s="594">
        <f t="shared" si="1"/>
        <v>0</v>
      </c>
      <c r="Q15" s="594">
        <f t="shared" si="1"/>
        <v>0</v>
      </c>
      <c r="R15" s="594">
        <f t="shared" si="1"/>
        <v>0</v>
      </c>
      <c r="S15" s="594">
        <f t="shared" si="1"/>
        <v>0</v>
      </c>
      <c r="T15" s="594">
        <f t="shared" si="1"/>
        <v>0</v>
      </c>
      <c r="U15" s="594">
        <f t="shared" si="1"/>
        <v>0</v>
      </c>
    </row>
    <row r="16" spans="1:22">
      <c r="A16" s="444">
        <v>2.1</v>
      </c>
      <c r="B16" s="466" t="s">
        <v>776</v>
      </c>
      <c r="C16" s="600">
        <v>0</v>
      </c>
      <c r="D16" s="593">
        <v>0</v>
      </c>
      <c r="E16" s="593"/>
      <c r="F16" s="593"/>
      <c r="G16" s="593"/>
      <c r="H16" s="593"/>
      <c r="I16" s="593"/>
      <c r="J16" s="593"/>
      <c r="K16" s="593"/>
      <c r="L16" s="593"/>
      <c r="M16" s="593"/>
      <c r="N16" s="593"/>
      <c r="O16" s="593"/>
      <c r="P16" s="593"/>
      <c r="Q16" s="593"/>
      <c r="R16" s="593"/>
      <c r="S16" s="593"/>
      <c r="T16" s="593"/>
      <c r="U16" s="593"/>
    </row>
    <row r="17" spans="1:21">
      <c r="A17" s="444">
        <v>2.2000000000000002</v>
      </c>
      <c r="B17" s="466" t="s">
        <v>777</v>
      </c>
      <c r="C17" s="600">
        <v>31534340</v>
      </c>
      <c r="D17" s="593">
        <v>31534340</v>
      </c>
      <c r="E17" s="593"/>
      <c r="F17" s="593"/>
      <c r="G17" s="593"/>
      <c r="H17" s="593"/>
      <c r="I17" s="593"/>
      <c r="J17" s="593"/>
      <c r="K17" s="593"/>
      <c r="L17" s="593"/>
      <c r="M17" s="593"/>
      <c r="N17" s="593"/>
      <c r="O17" s="593"/>
      <c r="P17" s="593"/>
      <c r="Q17" s="593"/>
      <c r="R17" s="593"/>
      <c r="S17" s="593"/>
      <c r="T17" s="593"/>
      <c r="U17" s="593"/>
    </row>
    <row r="18" spans="1:21">
      <c r="A18" s="444">
        <v>2.2999999999999998</v>
      </c>
      <c r="B18" s="466" t="s">
        <v>778</v>
      </c>
      <c r="C18" s="600"/>
      <c r="D18" s="593"/>
      <c r="E18" s="593"/>
      <c r="F18" s="593"/>
      <c r="G18" s="593"/>
      <c r="H18" s="593"/>
      <c r="I18" s="593"/>
      <c r="J18" s="593"/>
      <c r="K18" s="593"/>
      <c r="L18" s="593"/>
      <c r="M18" s="593"/>
      <c r="N18" s="593"/>
      <c r="O18" s="593"/>
      <c r="P18" s="593"/>
      <c r="Q18" s="593"/>
      <c r="R18" s="593"/>
      <c r="S18" s="593"/>
      <c r="T18" s="593"/>
      <c r="U18" s="593"/>
    </row>
    <row r="19" spans="1:21">
      <c r="A19" s="444">
        <v>2.4</v>
      </c>
      <c r="B19" s="466" t="s">
        <v>779</v>
      </c>
      <c r="C19" s="600"/>
      <c r="D19" s="593"/>
      <c r="E19" s="593"/>
      <c r="F19" s="593"/>
      <c r="G19" s="593"/>
      <c r="H19" s="593"/>
      <c r="I19" s="593"/>
      <c r="J19" s="593"/>
      <c r="K19" s="593"/>
      <c r="L19" s="593"/>
      <c r="M19" s="593"/>
      <c r="N19" s="593"/>
      <c r="O19" s="593"/>
      <c r="P19" s="593"/>
      <c r="Q19" s="593"/>
      <c r="R19" s="593"/>
      <c r="S19" s="593"/>
      <c r="T19" s="593"/>
      <c r="U19" s="593"/>
    </row>
    <row r="20" spans="1:21">
      <c r="A20" s="444">
        <v>2.5</v>
      </c>
      <c r="B20" s="466" t="s">
        <v>780</v>
      </c>
      <c r="C20" s="600">
        <v>18488000</v>
      </c>
      <c r="D20" s="593">
        <v>18488000</v>
      </c>
      <c r="E20" s="593">
        <v>0</v>
      </c>
      <c r="F20" s="593">
        <v>0</v>
      </c>
      <c r="G20" s="593">
        <v>0</v>
      </c>
      <c r="H20" s="593">
        <v>0</v>
      </c>
      <c r="I20" s="593">
        <v>0</v>
      </c>
      <c r="J20" s="593">
        <v>0</v>
      </c>
      <c r="K20" s="593">
        <v>0</v>
      </c>
      <c r="L20" s="593">
        <v>0</v>
      </c>
      <c r="M20" s="593">
        <v>0</v>
      </c>
      <c r="N20" s="593">
        <v>0</v>
      </c>
      <c r="O20" s="593">
        <v>0</v>
      </c>
      <c r="P20" s="593">
        <v>0</v>
      </c>
      <c r="Q20" s="593">
        <v>0</v>
      </c>
      <c r="R20" s="593">
        <v>0</v>
      </c>
      <c r="S20" s="593">
        <v>0</v>
      </c>
      <c r="T20" s="593">
        <v>0</v>
      </c>
      <c r="U20" s="593">
        <v>0</v>
      </c>
    </row>
    <row r="21" spans="1:21">
      <c r="A21" s="444">
        <v>2.6</v>
      </c>
      <c r="B21" s="466" t="s">
        <v>781</v>
      </c>
      <c r="C21" s="600"/>
      <c r="D21" s="593"/>
      <c r="E21" s="593"/>
      <c r="F21" s="593"/>
      <c r="G21" s="593"/>
      <c r="H21" s="593"/>
      <c r="I21" s="593"/>
      <c r="J21" s="593"/>
      <c r="K21" s="593"/>
      <c r="L21" s="593"/>
      <c r="M21" s="593"/>
      <c r="N21" s="593"/>
      <c r="O21" s="593"/>
      <c r="P21" s="593"/>
      <c r="Q21" s="593"/>
      <c r="R21" s="593"/>
      <c r="S21" s="593"/>
      <c r="T21" s="593"/>
      <c r="U21" s="593"/>
    </row>
    <row r="22" spans="1:21">
      <c r="A22" s="465">
        <v>3</v>
      </c>
      <c r="B22" s="436" t="s">
        <v>783</v>
      </c>
      <c r="C22" s="594">
        <f>SUM(C23:C28)</f>
        <v>66235938.819900014</v>
      </c>
      <c r="D22" s="594">
        <f t="shared" ref="D22:L22" si="2">SUM(D23:D28)</f>
        <v>26233867.629999995</v>
      </c>
      <c r="E22" s="682"/>
      <c r="F22" s="682"/>
      <c r="G22" s="594">
        <f t="shared" si="2"/>
        <v>325000</v>
      </c>
      <c r="H22" s="682"/>
      <c r="I22" s="682"/>
      <c r="J22" s="682"/>
      <c r="K22" s="682"/>
      <c r="L22" s="594">
        <f t="shared" si="2"/>
        <v>4354976.6000000006</v>
      </c>
      <c r="M22" s="601"/>
      <c r="N22" s="601"/>
      <c r="O22" s="601"/>
      <c r="P22" s="601"/>
      <c r="Q22" s="601"/>
      <c r="R22" s="601"/>
      <c r="S22" s="601"/>
      <c r="T22" s="601"/>
      <c r="U22" s="593">
        <f t="shared" ref="U22" si="3">SUM(U23:U28)</f>
        <v>0</v>
      </c>
    </row>
    <row r="23" spans="1:21">
      <c r="A23" s="444">
        <v>3.1</v>
      </c>
      <c r="B23" s="466" t="s">
        <v>776</v>
      </c>
      <c r="C23" s="600"/>
      <c r="D23" s="593"/>
      <c r="E23" s="601"/>
      <c r="F23" s="601"/>
      <c r="G23" s="593"/>
      <c r="H23" s="601"/>
      <c r="I23" s="601"/>
      <c r="J23" s="601"/>
      <c r="K23" s="601"/>
      <c r="L23" s="593"/>
      <c r="M23" s="601"/>
      <c r="N23" s="601"/>
      <c r="O23" s="601"/>
      <c r="P23" s="601"/>
      <c r="Q23" s="601"/>
      <c r="R23" s="601"/>
      <c r="S23" s="601"/>
      <c r="T23" s="601"/>
      <c r="U23" s="593"/>
    </row>
    <row r="24" spans="1:21">
      <c r="A24" s="444">
        <v>3.2</v>
      </c>
      <c r="B24" s="466" t="s">
        <v>777</v>
      </c>
      <c r="C24" s="600"/>
      <c r="D24" s="593"/>
      <c r="E24" s="601"/>
      <c r="F24" s="601"/>
      <c r="G24" s="593"/>
      <c r="H24" s="601"/>
      <c r="I24" s="601"/>
      <c r="J24" s="601"/>
      <c r="K24" s="601"/>
      <c r="L24" s="593"/>
      <c r="M24" s="601"/>
      <c r="N24" s="601"/>
      <c r="O24" s="601"/>
      <c r="P24" s="601"/>
      <c r="Q24" s="601"/>
      <c r="R24" s="601"/>
      <c r="S24" s="601"/>
      <c r="T24" s="601"/>
      <c r="U24" s="593"/>
    </row>
    <row r="25" spans="1:21">
      <c r="A25" s="444">
        <v>3.3</v>
      </c>
      <c r="B25" s="466" t="s">
        <v>778</v>
      </c>
      <c r="C25" s="600"/>
      <c r="D25" s="593"/>
      <c r="E25" s="601"/>
      <c r="F25" s="601"/>
      <c r="G25" s="593"/>
      <c r="H25" s="601"/>
      <c r="I25" s="601"/>
      <c r="J25" s="601"/>
      <c r="K25" s="601"/>
      <c r="L25" s="593"/>
      <c r="M25" s="601"/>
      <c r="N25" s="601"/>
      <c r="O25" s="601"/>
      <c r="P25" s="601"/>
      <c r="Q25" s="601"/>
      <c r="R25" s="601"/>
      <c r="S25" s="601"/>
      <c r="T25" s="601"/>
      <c r="U25" s="593"/>
    </row>
    <row r="26" spans="1:21">
      <c r="A26" s="444">
        <v>3.4</v>
      </c>
      <c r="B26" s="466" t="s">
        <v>779</v>
      </c>
      <c r="C26" s="600">
        <v>5553715.5800000001</v>
      </c>
      <c r="D26" s="593">
        <v>535715.57999999996</v>
      </c>
      <c r="E26" s="601"/>
      <c r="F26" s="601"/>
      <c r="G26" s="593">
        <v>0</v>
      </c>
      <c r="H26" s="601"/>
      <c r="I26" s="601"/>
      <c r="J26" s="601"/>
      <c r="K26" s="601"/>
      <c r="L26" s="593">
        <v>0</v>
      </c>
      <c r="M26" s="601"/>
      <c r="N26" s="601"/>
      <c r="O26" s="601"/>
      <c r="P26" s="601"/>
      <c r="Q26" s="601"/>
      <c r="R26" s="601"/>
      <c r="S26" s="601"/>
      <c r="T26" s="601"/>
      <c r="U26" s="593">
        <v>0</v>
      </c>
    </row>
    <row r="27" spans="1:21">
      <c r="A27" s="444">
        <v>3.5</v>
      </c>
      <c r="B27" s="466" t="s">
        <v>780</v>
      </c>
      <c r="C27" s="600">
        <v>57977503.860000014</v>
      </c>
      <c r="D27" s="593">
        <v>25697152.049999997</v>
      </c>
      <c r="E27" s="601"/>
      <c r="F27" s="601"/>
      <c r="G27" s="593">
        <v>325000</v>
      </c>
      <c r="H27" s="601"/>
      <c r="I27" s="601"/>
      <c r="J27" s="601"/>
      <c r="K27" s="601"/>
      <c r="L27" s="593">
        <v>4354976.6000000006</v>
      </c>
      <c r="M27" s="601"/>
      <c r="N27" s="601"/>
      <c r="O27" s="601"/>
      <c r="P27" s="601"/>
      <c r="Q27" s="601"/>
      <c r="R27" s="601"/>
      <c r="S27" s="601"/>
      <c r="T27" s="601"/>
      <c r="U27" s="593">
        <v>0</v>
      </c>
    </row>
    <row r="28" spans="1:21">
      <c r="A28" s="444">
        <v>3.6</v>
      </c>
      <c r="B28" s="466" t="s">
        <v>781</v>
      </c>
      <c r="C28" s="600">
        <v>2704719.3799000033</v>
      </c>
      <c r="D28" s="593">
        <v>1000</v>
      </c>
      <c r="E28" s="601"/>
      <c r="F28" s="601"/>
      <c r="G28" s="593">
        <v>0</v>
      </c>
      <c r="H28" s="601"/>
      <c r="I28" s="601"/>
      <c r="J28" s="601"/>
      <c r="K28" s="601"/>
      <c r="L28" s="593">
        <v>0</v>
      </c>
      <c r="M28" s="601"/>
      <c r="N28" s="601"/>
      <c r="O28" s="601"/>
      <c r="P28" s="601"/>
      <c r="Q28" s="601"/>
      <c r="R28" s="601"/>
      <c r="S28" s="601"/>
      <c r="T28" s="601"/>
      <c r="U28" s="59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430" bestFit="1" customWidth="1"/>
    <col min="2" max="2" width="90.28515625" style="430" bestFit="1" customWidth="1"/>
    <col min="3" max="3" width="20.28515625" style="430" customWidth="1"/>
    <col min="4" max="4" width="22.28515625" style="430" customWidth="1"/>
    <col min="5" max="5" width="17.140625" style="430" customWidth="1"/>
    <col min="6" max="7" width="22.28515625" style="430" customWidth="1"/>
    <col min="8" max="8" width="17.140625" style="430" customWidth="1"/>
    <col min="9" max="14" width="22.28515625" style="430" customWidth="1"/>
    <col min="15" max="15" width="23.28515625" style="430" bestFit="1" customWidth="1"/>
    <col min="16" max="16" width="21.7109375" style="430" bestFit="1" customWidth="1"/>
    <col min="17" max="19" width="19" style="430" bestFit="1" customWidth="1"/>
    <col min="20" max="20" width="15.28515625" style="430" customWidth="1"/>
    <col min="21" max="21" width="20" style="430" customWidth="1"/>
    <col min="22" max="16384" width="9.28515625" style="430"/>
  </cols>
  <sheetData>
    <row r="1" spans="1:21">
      <c r="A1" s="429" t="s">
        <v>188</v>
      </c>
      <c r="B1" s="596" t="str">
        <f>'1. key ratios'!B1</f>
        <v>სს "ბანკი ქართუ"</v>
      </c>
    </row>
    <row r="2" spans="1:21">
      <c r="A2" s="429" t="s">
        <v>189</v>
      </c>
      <c r="B2" s="432">
        <f>'1. key ratios'!B2</f>
        <v>44561</v>
      </c>
    </row>
    <row r="3" spans="1:21">
      <c r="A3" s="431" t="s">
        <v>784</v>
      </c>
      <c r="B3" s="432"/>
      <c r="C3" s="432"/>
    </row>
    <row r="4" spans="1:21">
      <c r="A4" s="431"/>
      <c r="B4" s="432"/>
      <c r="C4" s="432"/>
    </row>
    <row r="5" spans="1:21" ht="13.5" customHeight="1">
      <c r="A5" s="764" t="s">
        <v>785</v>
      </c>
      <c r="B5" s="765"/>
      <c r="C5" s="770" t="s">
        <v>786</v>
      </c>
      <c r="D5" s="771"/>
      <c r="E5" s="771"/>
      <c r="F5" s="771"/>
      <c r="G5" s="771"/>
      <c r="H5" s="771"/>
      <c r="I5" s="771"/>
      <c r="J5" s="771"/>
      <c r="K5" s="771"/>
      <c r="L5" s="771"/>
      <c r="M5" s="771"/>
      <c r="N5" s="771"/>
      <c r="O5" s="771"/>
      <c r="P5" s="771"/>
      <c r="Q5" s="771"/>
      <c r="R5" s="771"/>
      <c r="S5" s="771"/>
      <c r="T5" s="772"/>
      <c r="U5" s="460"/>
    </row>
    <row r="6" spans="1:21">
      <c r="A6" s="766"/>
      <c r="B6" s="767"/>
      <c r="C6" s="751" t="s">
        <v>68</v>
      </c>
      <c r="D6" s="770" t="s">
        <v>787</v>
      </c>
      <c r="E6" s="771"/>
      <c r="F6" s="772"/>
      <c r="G6" s="770" t="s">
        <v>788</v>
      </c>
      <c r="H6" s="771"/>
      <c r="I6" s="771"/>
      <c r="J6" s="771"/>
      <c r="K6" s="772"/>
      <c r="L6" s="773" t="s">
        <v>789</v>
      </c>
      <c r="M6" s="774"/>
      <c r="N6" s="774"/>
      <c r="O6" s="774"/>
      <c r="P6" s="774"/>
      <c r="Q6" s="774"/>
      <c r="R6" s="774"/>
      <c r="S6" s="774"/>
      <c r="T6" s="775"/>
      <c r="U6" s="461"/>
    </row>
    <row r="7" spans="1:21" ht="25.5">
      <c r="A7" s="768"/>
      <c r="B7" s="769"/>
      <c r="C7" s="751"/>
      <c r="E7" s="476" t="s">
        <v>763</v>
      </c>
      <c r="F7" s="442" t="s">
        <v>764</v>
      </c>
      <c r="H7" s="476" t="s">
        <v>763</v>
      </c>
      <c r="I7" s="442" t="s">
        <v>790</v>
      </c>
      <c r="J7" s="442" t="s">
        <v>765</v>
      </c>
      <c r="K7" s="442" t="s">
        <v>766</v>
      </c>
      <c r="L7" s="467"/>
      <c r="M7" s="476" t="s">
        <v>767</v>
      </c>
      <c r="N7" s="442" t="s">
        <v>765</v>
      </c>
      <c r="O7" s="442" t="s">
        <v>768</v>
      </c>
      <c r="P7" s="442" t="s">
        <v>769</v>
      </c>
      <c r="Q7" s="442" t="s">
        <v>770</v>
      </c>
      <c r="R7" s="442" t="s">
        <v>771</v>
      </c>
      <c r="S7" s="442" t="s">
        <v>772</v>
      </c>
      <c r="T7" s="464" t="s">
        <v>773</v>
      </c>
      <c r="U7" s="460"/>
    </row>
    <row r="8" spans="1:21">
      <c r="A8" s="467">
        <v>1</v>
      </c>
      <c r="B8" s="459" t="s">
        <v>775</v>
      </c>
      <c r="C8" s="602">
        <v>965168853.17350078</v>
      </c>
      <c r="D8" s="593">
        <v>578096348.35109901</v>
      </c>
      <c r="E8" s="593">
        <v>0</v>
      </c>
      <c r="F8" s="593">
        <v>83551.83399999993</v>
      </c>
      <c r="G8" s="593">
        <v>60722412.680000022</v>
      </c>
      <c r="H8" s="593">
        <v>3335899.55</v>
      </c>
      <c r="I8" s="593">
        <v>6186942.6600000001</v>
      </c>
      <c r="J8" s="593">
        <v>461749.14</v>
      </c>
      <c r="K8" s="593">
        <v>60.44</v>
      </c>
      <c r="L8" s="593">
        <v>326350092.14239985</v>
      </c>
      <c r="M8" s="593">
        <v>1900899.82</v>
      </c>
      <c r="N8" s="593">
        <v>201344</v>
      </c>
      <c r="O8" s="593">
        <v>15239649.379999997</v>
      </c>
      <c r="P8" s="593">
        <v>2631809.0399999996</v>
      </c>
      <c r="Q8" s="593">
        <v>42926002.950000003</v>
      </c>
      <c r="R8" s="593">
        <v>85659623.102399975</v>
      </c>
      <c r="S8" s="593">
        <v>20391906.990000002</v>
      </c>
      <c r="T8" s="593">
        <v>19246365.339999996</v>
      </c>
    </row>
    <row r="9" spans="1:21">
      <c r="A9" s="466">
        <v>1.1000000000000001</v>
      </c>
      <c r="B9" s="466" t="s">
        <v>791</v>
      </c>
      <c r="C9" s="600">
        <v>934416640.75960004</v>
      </c>
      <c r="D9" s="593">
        <v>547397113.76959896</v>
      </c>
      <c r="E9" s="593">
        <v>0</v>
      </c>
      <c r="F9" s="593">
        <v>0</v>
      </c>
      <c r="G9" s="593">
        <v>60699164.780000031</v>
      </c>
      <c r="H9" s="593">
        <v>3335899.55</v>
      </c>
      <c r="I9" s="593">
        <v>6186942.6600000001</v>
      </c>
      <c r="J9" s="593">
        <v>461749.14</v>
      </c>
      <c r="K9" s="593">
        <v>0</v>
      </c>
      <c r="L9" s="593">
        <v>326320362.2099998</v>
      </c>
      <c r="M9" s="593">
        <v>1900899.82</v>
      </c>
      <c r="N9" s="593">
        <v>201344</v>
      </c>
      <c r="O9" s="593">
        <v>15235549.379999997</v>
      </c>
      <c r="P9" s="593">
        <v>2630389.0999999996</v>
      </c>
      <c r="Q9" s="593">
        <v>42918347.969999999</v>
      </c>
      <c r="R9" s="593">
        <v>85658879.389999971</v>
      </c>
      <c r="S9" s="593">
        <v>20391906.990000002</v>
      </c>
      <c r="T9" s="593">
        <v>19246365.339999996</v>
      </c>
    </row>
    <row r="10" spans="1:21">
      <c r="A10" s="468" t="s">
        <v>252</v>
      </c>
      <c r="B10" s="468" t="s">
        <v>792</v>
      </c>
      <c r="C10" s="603">
        <v>884359149.11960018</v>
      </c>
      <c r="D10" s="593">
        <v>506772235.61959976</v>
      </c>
      <c r="E10" s="593">
        <v>0</v>
      </c>
      <c r="F10" s="593">
        <v>0</v>
      </c>
      <c r="G10" s="593">
        <v>60691814.690000027</v>
      </c>
      <c r="H10" s="593">
        <v>3335899.55</v>
      </c>
      <c r="I10" s="593">
        <v>6186942.6600000001</v>
      </c>
      <c r="J10" s="593">
        <v>461749.14</v>
      </c>
      <c r="K10" s="593">
        <v>0</v>
      </c>
      <c r="L10" s="593">
        <v>316895098.80999976</v>
      </c>
      <c r="M10" s="593">
        <v>1900899.82</v>
      </c>
      <c r="N10" s="593">
        <v>201344</v>
      </c>
      <c r="O10" s="593">
        <v>15007261.779999997</v>
      </c>
      <c r="P10" s="593">
        <v>2630389.0999999996</v>
      </c>
      <c r="Q10" s="593">
        <v>42918347.969999999</v>
      </c>
      <c r="R10" s="593">
        <v>83361930.159999967</v>
      </c>
      <c r="S10" s="593">
        <v>20343286.460000001</v>
      </c>
      <c r="T10" s="593">
        <v>19173292.179999996</v>
      </c>
    </row>
    <row r="11" spans="1:21">
      <c r="A11" s="469" t="s">
        <v>793</v>
      </c>
      <c r="B11" s="469" t="s">
        <v>794</v>
      </c>
      <c r="C11" s="604">
        <v>421136449.36999917</v>
      </c>
      <c r="D11" s="593">
        <v>251560571.4300001</v>
      </c>
      <c r="E11" s="593">
        <v>0</v>
      </c>
      <c r="F11" s="593">
        <v>0</v>
      </c>
      <c r="G11" s="593">
        <v>57441924.630000032</v>
      </c>
      <c r="H11" s="593">
        <v>3335899.55</v>
      </c>
      <c r="I11" s="593">
        <v>6186942.6600000001</v>
      </c>
      <c r="J11" s="593">
        <v>461749.14</v>
      </c>
      <c r="K11" s="593">
        <v>0</v>
      </c>
      <c r="L11" s="593">
        <v>112133953.30999997</v>
      </c>
      <c r="M11" s="593">
        <v>1900899.82</v>
      </c>
      <c r="N11" s="593">
        <v>201344</v>
      </c>
      <c r="O11" s="593">
        <v>3719197.1399999997</v>
      </c>
      <c r="P11" s="593">
        <v>1283288.05</v>
      </c>
      <c r="Q11" s="593">
        <v>12247774.98</v>
      </c>
      <c r="R11" s="593">
        <v>37668699.899999999</v>
      </c>
      <c r="S11" s="593">
        <v>7909827.459999999</v>
      </c>
      <c r="T11" s="593">
        <v>19173292.179999996</v>
      </c>
    </row>
    <row r="12" spans="1:21">
      <c r="A12" s="469" t="s">
        <v>795</v>
      </c>
      <c r="B12" s="469" t="s">
        <v>796</v>
      </c>
      <c r="C12" s="604">
        <v>123711796.19999997</v>
      </c>
      <c r="D12" s="593">
        <v>111073393.44999999</v>
      </c>
      <c r="E12" s="593">
        <v>0</v>
      </c>
      <c r="F12" s="593">
        <v>0</v>
      </c>
      <c r="G12" s="593">
        <v>2361087.2000000002</v>
      </c>
      <c r="H12" s="593">
        <v>0</v>
      </c>
      <c r="I12" s="593">
        <v>0</v>
      </c>
      <c r="J12" s="593">
        <v>0</v>
      </c>
      <c r="K12" s="593">
        <v>0</v>
      </c>
      <c r="L12" s="593">
        <v>10277315.550000001</v>
      </c>
      <c r="M12" s="593">
        <v>0</v>
      </c>
      <c r="N12" s="593">
        <v>0</v>
      </c>
      <c r="O12" s="593">
        <v>2466877.6</v>
      </c>
      <c r="P12" s="593">
        <v>0</v>
      </c>
      <c r="Q12" s="593">
        <v>1174497.17</v>
      </c>
      <c r="R12" s="593">
        <v>6543266.8100000005</v>
      </c>
      <c r="S12" s="593">
        <v>0</v>
      </c>
      <c r="T12" s="593">
        <v>0</v>
      </c>
    </row>
    <row r="13" spans="1:21">
      <c r="A13" s="469" t="s">
        <v>797</v>
      </c>
      <c r="B13" s="469" t="s">
        <v>798</v>
      </c>
      <c r="C13" s="604">
        <v>110141522.63999999</v>
      </c>
      <c r="D13" s="593">
        <v>50453333.870000005</v>
      </c>
      <c r="E13" s="593">
        <v>0</v>
      </c>
      <c r="F13" s="593">
        <v>0</v>
      </c>
      <c r="G13" s="593">
        <v>860828.80999999994</v>
      </c>
      <c r="H13" s="593">
        <v>0</v>
      </c>
      <c r="I13" s="593">
        <v>0</v>
      </c>
      <c r="J13" s="593">
        <v>0</v>
      </c>
      <c r="K13" s="593">
        <v>0</v>
      </c>
      <c r="L13" s="593">
        <v>58827359.960000008</v>
      </c>
      <c r="M13" s="593">
        <v>0</v>
      </c>
      <c r="N13" s="593">
        <v>0</v>
      </c>
      <c r="O13" s="593">
        <v>0</v>
      </c>
      <c r="P13" s="593">
        <v>0</v>
      </c>
      <c r="Q13" s="593">
        <v>4350171.95</v>
      </c>
      <c r="R13" s="593">
        <v>16396566.089999998</v>
      </c>
      <c r="S13" s="593">
        <v>0</v>
      </c>
      <c r="T13" s="593">
        <v>0</v>
      </c>
    </row>
    <row r="14" spans="1:21">
      <c r="A14" s="469" t="s">
        <v>799</v>
      </c>
      <c r="B14" s="469" t="s">
        <v>800</v>
      </c>
      <c r="C14" s="604">
        <v>229369380.90959999</v>
      </c>
      <c r="D14" s="593">
        <v>93684936.869599998</v>
      </c>
      <c r="E14" s="593">
        <v>0</v>
      </c>
      <c r="F14" s="593">
        <v>0</v>
      </c>
      <c r="G14" s="593">
        <v>27974.05</v>
      </c>
      <c r="H14" s="593">
        <v>0</v>
      </c>
      <c r="I14" s="593">
        <v>0</v>
      </c>
      <c r="J14" s="593">
        <v>0</v>
      </c>
      <c r="K14" s="593">
        <v>0</v>
      </c>
      <c r="L14" s="593">
        <v>135656469.98999998</v>
      </c>
      <c r="M14" s="593">
        <v>0</v>
      </c>
      <c r="N14" s="593">
        <v>0</v>
      </c>
      <c r="O14" s="593">
        <v>8821187.0399999991</v>
      </c>
      <c r="P14" s="593">
        <v>1347101.05</v>
      </c>
      <c r="Q14" s="593">
        <v>25145903.870000001</v>
      </c>
      <c r="R14" s="593">
        <v>22753397.359999999</v>
      </c>
      <c r="S14" s="593">
        <v>12433459</v>
      </c>
      <c r="T14" s="593">
        <v>0</v>
      </c>
    </row>
    <row r="15" spans="1:21">
      <c r="A15" s="470">
        <v>1.2</v>
      </c>
      <c r="B15" s="470" t="s">
        <v>801</v>
      </c>
      <c r="C15" s="600">
        <v>158542375.66648734</v>
      </c>
      <c r="D15" s="593">
        <v>10931500.223781986</v>
      </c>
      <c r="E15" s="593">
        <v>0</v>
      </c>
      <c r="F15" s="593">
        <v>0</v>
      </c>
      <c r="G15" s="593">
        <v>6069916.4757540012</v>
      </c>
      <c r="H15" s="593">
        <v>333589.954509</v>
      </c>
      <c r="I15" s="593">
        <v>618694.26657299977</v>
      </c>
      <c r="J15" s="593">
        <v>46174.913882000001</v>
      </c>
      <c r="K15" s="593">
        <v>0</v>
      </c>
      <c r="L15" s="593">
        <v>141540958.96695116</v>
      </c>
      <c r="M15" s="593">
        <v>570269.94823099999</v>
      </c>
      <c r="N15" s="593">
        <v>60403.199999999997</v>
      </c>
      <c r="O15" s="593">
        <v>9095931.6134090014</v>
      </c>
      <c r="P15" s="593">
        <v>831189.29266500007</v>
      </c>
      <c r="Q15" s="593">
        <v>17272298.495801002</v>
      </c>
      <c r="R15" s="593">
        <v>39326502.126848996</v>
      </c>
      <c r="S15" s="593">
        <v>10750292.670221997</v>
      </c>
      <c r="T15" s="593">
        <v>9479434.7108159978</v>
      </c>
    </row>
    <row r="16" spans="1:21">
      <c r="A16" s="466">
        <v>1.3</v>
      </c>
      <c r="B16" s="470" t="s">
        <v>802</v>
      </c>
      <c r="C16" s="605"/>
      <c r="D16" s="605"/>
      <c r="E16" s="605"/>
      <c r="F16" s="605"/>
      <c r="G16" s="605"/>
      <c r="H16" s="605"/>
      <c r="I16" s="605"/>
      <c r="J16" s="605"/>
      <c r="K16" s="605"/>
      <c r="L16" s="605"/>
      <c r="M16" s="605"/>
      <c r="N16" s="605"/>
      <c r="O16" s="605"/>
      <c r="P16" s="605"/>
      <c r="Q16" s="605"/>
      <c r="R16" s="605"/>
      <c r="S16" s="605"/>
      <c r="T16" s="605"/>
    </row>
    <row r="17" spans="1:20" ht="25.5">
      <c r="A17" s="471" t="s">
        <v>803</v>
      </c>
      <c r="B17" s="472" t="s">
        <v>804</v>
      </c>
      <c r="C17" s="606">
        <v>825822026.02137065</v>
      </c>
      <c r="D17" s="593">
        <v>478361778.34772235</v>
      </c>
      <c r="E17" s="593">
        <v>0</v>
      </c>
      <c r="F17" s="593">
        <v>0</v>
      </c>
      <c r="G17" s="593">
        <v>60699164.780000031</v>
      </c>
      <c r="H17" s="593">
        <v>3335899.55</v>
      </c>
      <c r="I17" s="593">
        <v>6186942.6600000001</v>
      </c>
      <c r="J17" s="593">
        <v>461749.14</v>
      </c>
      <c r="K17" s="593">
        <v>0</v>
      </c>
      <c r="L17" s="593">
        <v>286761082.89364743</v>
      </c>
      <c r="M17" s="593">
        <v>1900899.82</v>
      </c>
      <c r="N17" s="593">
        <v>201344</v>
      </c>
      <c r="O17" s="593">
        <v>12327596.474481324</v>
      </c>
      <c r="P17" s="593">
        <v>2610155.08</v>
      </c>
      <c r="Q17" s="593">
        <v>34991427.93356622</v>
      </c>
      <c r="R17" s="593">
        <v>77006923.352468833</v>
      </c>
      <c r="S17" s="593">
        <v>13137530.217586167</v>
      </c>
      <c r="T17" s="593">
        <v>19246365.339999996</v>
      </c>
    </row>
    <row r="18" spans="1:20" ht="25.5">
      <c r="A18" s="473" t="s">
        <v>805</v>
      </c>
      <c r="B18" s="473" t="s">
        <v>806</v>
      </c>
      <c r="C18" s="607">
        <v>731257609.69210184</v>
      </c>
      <c r="D18" s="593">
        <v>408321967.06707186</v>
      </c>
      <c r="E18" s="593">
        <v>0</v>
      </c>
      <c r="F18" s="593">
        <v>0</v>
      </c>
      <c r="G18" s="593">
        <v>60691814.690000027</v>
      </c>
      <c r="H18" s="593">
        <v>3335899.55</v>
      </c>
      <c r="I18" s="593">
        <v>6186942.6600000001</v>
      </c>
      <c r="J18" s="593">
        <v>461749.14</v>
      </c>
      <c r="K18" s="593">
        <v>0</v>
      </c>
      <c r="L18" s="593">
        <v>262243827.93502948</v>
      </c>
      <c r="M18" s="593">
        <v>1900899.82</v>
      </c>
      <c r="N18" s="593">
        <v>201344</v>
      </c>
      <c r="O18" s="593">
        <v>8300302.8354289904</v>
      </c>
      <c r="P18" s="593">
        <v>2610155.08</v>
      </c>
      <c r="Q18" s="593">
        <v>32277848.160622369</v>
      </c>
      <c r="R18" s="593">
        <v>65967286.710543193</v>
      </c>
      <c r="S18" s="593">
        <v>12793587.653687861</v>
      </c>
      <c r="T18" s="593">
        <v>19173292.179999996</v>
      </c>
    </row>
    <row r="19" spans="1:20">
      <c r="A19" s="471" t="s">
        <v>807</v>
      </c>
      <c r="B19" s="471" t="s">
        <v>808</v>
      </c>
      <c r="C19" s="608">
        <v>1002807326.995322</v>
      </c>
      <c r="D19" s="593">
        <v>729183536.48653746</v>
      </c>
      <c r="E19" s="593">
        <v>0</v>
      </c>
      <c r="F19" s="593">
        <v>0</v>
      </c>
      <c r="G19" s="593">
        <v>83595743.42802453</v>
      </c>
      <c r="H19" s="593">
        <v>3727684.5236237873</v>
      </c>
      <c r="I19" s="593">
        <v>4605854.4693470728</v>
      </c>
      <c r="J19" s="593">
        <v>696615.54282532958</v>
      </c>
      <c r="K19" s="593">
        <v>0</v>
      </c>
      <c r="L19" s="593">
        <v>190028047.08075982</v>
      </c>
      <c r="M19" s="593">
        <v>1976369.3906028103</v>
      </c>
      <c r="N19" s="593">
        <v>105193.40483937564</v>
      </c>
      <c r="O19" s="593">
        <v>4467643.5504854387</v>
      </c>
      <c r="P19" s="593">
        <v>3903331.5253040995</v>
      </c>
      <c r="Q19" s="593">
        <v>17756071.836969189</v>
      </c>
      <c r="R19" s="593">
        <v>47533892.342775218</v>
      </c>
      <c r="S19" s="593">
        <v>11025330.563986678</v>
      </c>
      <c r="T19" s="593">
        <v>17503298.551525429</v>
      </c>
    </row>
    <row r="20" spans="1:20">
      <c r="A20" s="473" t="s">
        <v>809</v>
      </c>
      <c r="B20" s="473" t="s">
        <v>810</v>
      </c>
      <c r="C20" s="607">
        <v>646587682.93590009</v>
      </c>
      <c r="D20" s="593">
        <v>420857686.00767779</v>
      </c>
      <c r="E20" s="593">
        <v>0</v>
      </c>
      <c r="F20" s="593">
        <v>0</v>
      </c>
      <c r="G20" s="593">
        <v>57240165.689008176</v>
      </c>
      <c r="H20" s="593">
        <v>1756706.3418408451</v>
      </c>
      <c r="I20" s="593">
        <v>1961382.5468090719</v>
      </c>
      <c r="J20" s="593">
        <v>566334.18009646051</v>
      </c>
      <c r="K20" s="593">
        <v>0</v>
      </c>
      <c r="L20" s="593">
        <v>168489831.23921543</v>
      </c>
      <c r="M20" s="593">
        <v>1856732.0901063576</v>
      </c>
      <c r="N20" s="593">
        <v>105193.40483937564</v>
      </c>
      <c r="O20" s="593">
        <v>2805934.8238632479</v>
      </c>
      <c r="P20" s="593">
        <v>3614495.1662430982</v>
      </c>
      <c r="Q20" s="593">
        <v>16981398.279572975</v>
      </c>
      <c r="R20" s="593">
        <v>39821916.474956706</v>
      </c>
      <c r="S20" s="593">
        <v>9158929.028182026</v>
      </c>
      <c r="T20" s="593">
        <v>17194421.881016951</v>
      </c>
    </row>
    <row r="21" spans="1:20">
      <c r="A21" s="474">
        <v>1.4</v>
      </c>
      <c r="B21" s="490" t="s">
        <v>942</v>
      </c>
      <c r="C21" s="609">
        <v>11245526.070392003</v>
      </c>
      <c r="D21" s="593">
        <v>6012217.9949999992</v>
      </c>
      <c r="E21" s="593">
        <v>0</v>
      </c>
      <c r="F21" s="593">
        <v>0</v>
      </c>
      <c r="G21" s="593">
        <v>1643010.8491920002</v>
      </c>
      <c r="H21" s="593">
        <v>0</v>
      </c>
      <c r="I21" s="593">
        <v>0</v>
      </c>
      <c r="J21" s="593">
        <v>200394.57</v>
      </c>
      <c r="K21" s="593">
        <v>0</v>
      </c>
      <c r="L21" s="593">
        <v>3590297.2262000004</v>
      </c>
      <c r="M21" s="593">
        <v>0</v>
      </c>
      <c r="N21" s="593">
        <v>0</v>
      </c>
      <c r="O21" s="593">
        <v>0</v>
      </c>
      <c r="P21" s="593">
        <v>0</v>
      </c>
      <c r="Q21" s="593">
        <v>0</v>
      </c>
      <c r="R21" s="593">
        <v>980969.65119999996</v>
      </c>
      <c r="S21" s="593">
        <v>2477024.96</v>
      </c>
      <c r="T21" s="593">
        <v>0</v>
      </c>
    </row>
    <row r="22" spans="1:20">
      <c r="A22" s="474">
        <v>1.5</v>
      </c>
      <c r="B22" s="490" t="s">
        <v>943</v>
      </c>
      <c r="C22" s="609">
        <v>0</v>
      </c>
      <c r="D22" s="593">
        <v>0</v>
      </c>
      <c r="E22" s="593">
        <v>0</v>
      </c>
      <c r="F22" s="593">
        <v>0</v>
      </c>
      <c r="G22" s="593">
        <v>0</v>
      </c>
      <c r="H22" s="593">
        <v>0</v>
      </c>
      <c r="I22" s="593">
        <v>0</v>
      </c>
      <c r="J22" s="593">
        <v>0</v>
      </c>
      <c r="K22" s="593">
        <v>0</v>
      </c>
      <c r="L22" s="593">
        <v>0</v>
      </c>
      <c r="M22" s="593">
        <v>0</v>
      </c>
      <c r="N22" s="593">
        <v>0</v>
      </c>
      <c r="O22" s="593">
        <v>0</v>
      </c>
      <c r="P22" s="593">
        <v>0</v>
      </c>
      <c r="Q22" s="593">
        <v>0</v>
      </c>
      <c r="R22" s="593">
        <v>0</v>
      </c>
      <c r="S22" s="593">
        <v>0</v>
      </c>
      <c r="T22" s="593">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heetViews>
  <sheetFormatPr defaultColWidth="9.28515625" defaultRowHeight="12.75"/>
  <cols>
    <col min="1" max="1" width="11.7109375" style="430" bestFit="1" customWidth="1"/>
    <col min="2" max="2" width="93.42578125" style="430" customWidth="1"/>
    <col min="3" max="3" width="14.7109375" style="430" customWidth="1"/>
    <col min="4" max="4" width="14.85546875" style="430" bestFit="1" customWidth="1"/>
    <col min="5" max="5" width="13.85546875" style="430" bestFit="1" customWidth="1"/>
    <col min="6" max="6" width="17.85546875" style="460" bestFit="1" customWidth="1"/>
    <col min="7" max="7" width="13.42578125" style="460" bestFit="1" customWidth="1"/>
    <col min="8" max="8" width="13" style="430" bestFit="1" customWidth="1"/>
    <col min="9" max="9" width="10.7109375" style="430" bestFit="1" customWidth="1"/>
    <col min="10" max="10" width="14.85546875" style="460" bestFit="1" customWidth="1"/>
    <col min="11" max="11" width="13.85546875" style="460" bestFit="1" customWidth="1"/>
    <col min="12" max="12" width="17.85546875" style="460" bestFit="1" customWidth="1"/>
    <col min="13" max="13" width="13.42578125" style="460" bestFit="1" customWidth="1"/>
    <col min="14" max="14" width="13" style="460" bestFit="1" customWidth="1"/>
    <col min="15" max="15" width="18.85546875" style="430" bestFit="1" customWidth="1"/>
    <col min="16" max="16384" width="9.28515625" style="430"/>
  </cols>
  <sheetData>
    <row r="1" spans="1:15">
      <c r="A1" s="429" t="s">
        <v>188</v>
      </c>
      <c r="B1" s="596" t="str">
        <f>'1. key ratios'!B1</f>
        <v>სს "ბანკი ქართუ"</v>
      </c>
      <c r="F1" s="430"/>
      <c r="G1" s="430"/>
      <c r="J1" s="430"/>
      <c r="K1" s="430"/>
      <c r="L1" s="430"/>
      <c r="M1" s="430"/>
      <c r="N1" s="430"/>
    </row>
    <row r="2" spans="1:15">
      <c r="A2" s="429" t="s">
        <v>189</v>
      </c>
      <c r="B2" s="432">
        <f>'1. key ratios'!B2</f>
        <v>44561</v>
      </c>
      <c r="F2" s="430"/>
      <c r="G2" s="430"/>
      <c r="J2" s="430"/>
      <c r="K2" s="430"/>
      <c r="L2" s="430"/>
      <c r="M2" s="430"/>
      <c r="N2" s="430"/>
    </row>
    <row r="3" spans="1:15">
      <c r="A3" s="431" t="s">
        <v>813</v>
      </c>
      <c r="B3" s="432"/>
      <c r="F3" s="430"/>
      <c r="G3" s="430"/>
      <c r="J3" s="430"/>
      <c r="K3" s="430"/>
      <c r="L3" s="430"/>
      <c r="M3" s="430"/>
      <c r="N3" s="430"/>
    </row>
    <row r="4" spans="1:15">
      <c r="F4" s="430"/>
      <c r="G4" s="430"/>
      <c r="J4" s="430"/>
      <c r="K4" s="430"/>
      <c r="L4" s="430"/>
      <c r="M4" s="430"/>
      <c r="N4" s="430"/>
    </row>
    <row r="5" spans="1:15" ht="37.5" customHeight="1">
      <c r="A5" s="731" t="s">
        <v>814</v>
      </c>
      <c r="B5" s="732"/>
      <c r="C5" s="776" t="s">
        <v>815</v>
      </c>
      <c r="D5" s="777"/>
      <c r="E5" s="777"/>
      <c r="F5" s="777"/>
      <c r="G5" s="777"/>
      <c r="H5" s="778"/>
      <c r="I5" s="776" t="s">
        <v>816</v>
      </c>
      <c r="J5" s="779"/>
      <c r="K5" s="779"/>
      <c r="L5" s="779"/>
      <c r="M5" s="779"/>
      <c r="N5" s="780"/>
      <c r="O5" s="781" t="s">
        <v>686</v>
      </c>
    </row>
    <row r="6" spans="1:15" ht="39.4" customHeight="1">
      <c r="A6" s="735"/>
      <c r="B6" s="736"/>
      <c r="C6" s="475"/>
      <c r="D6" s="476" t="s">
        <v>817</v>
      </c>
      <c r="E6" s="476" t="s">
        <v>818</v>
      </c>
      <c r="F6" s="476" t="s">
        <v>819</v>
      </c>
      <c r="G6" s="476" t="s">
        <v>820</v>
      </c>
      <c r="H6" s="476" t="s">
        <v>821</v>
      </c>
      <c r="I6" s="463"/>
      <c r="J6" s="476" t="s">
        <v>817</v>
      </c>
      <c r="K6" s="476" t="s">
        <v>818</v>
      </c>
      <c r="L6" s="476" t="s">
        <v>819</v>
      </c>
      <c r="M6" s="476" t="s">
        <v>820</v>
      </c>
      <c r="N6" s="476" t="s">
        <v>821</v>
      </c>
      <c r="O6" s="782"/>
    </row>
    <row r="7" spans="1:15">
      <c r="A7" s="444">
        <v>1</v>
      </c>
      <c r="B7" s="450" t="s">
        <v>696</v>
      </c>
      <c r="C7" s="610">
        <v>10578122.08</v>
      </c>
      <c r="D7" s="593">
        <v>10224119.25</v>
      </c>
      <c r="E7" s="593">
        <v>18898.07</v>
      </c>
      <c r="F7" s="611">
        <v>333027.38</v>
      </c>
      <c r="G7" s="611">
        <v>0</v>
      </c>
      <c r="H7" s="593">
        <v>2077.38</v>
      </c>
      <c r="I7" s="593">
        <v>308357.78629099979</v>
      </c>
      <c r="J7" s="611">
        <v>204482.38483499989</v>
      </c>
      <c r="K7" s="611">
        <v>1889.807</v>
      </c>
      <c r="L7" s="611">
        <v>99908.214455999987</v>
      </c>
      <c r="M7" s="611">
        <v>0</v>
      </c>
      <c r="N7" s="611">
        <v>2077.38</v>
      </c>
      <c r="O7" s="593">
        <v>0</v>
      </c>
    </row>
    <row r="8" spans="1:15">
      <c r="A8" s="444">
        <v>2</v>
      </c>
      <c r="B8" s="450" t="s">
        <v>697</v>
      </c>
      <c r="C8" s="610">
        <v>4130892.9502999978</v>
      </c>
      <c r="D8" s="593">
        <v>3727036.7802999984</v>
      </c>
      <c r="E8" s="593">
        <v>130558.52999999998</v>
      </c>
      <c r="F8" s="611">
        <v>273297.64</v>
      </c>
      <c r="G8" s="611">
        <v>0</v>
      </c>
      <c r="H8" s="593">
        <v>0</v>
      </c>
      <c r="I8" s="593">
        <v>169465.88222600019</v>
      </c>
      <c r="J8" s="611">
        <v>74420.735864000046</v>
      </c>
      <c r="K8" s="611">
        <v>13055.853281999998</v>
      </c>
      <c r="L8" s="611">
        <v>81989.293079999989</v>
      </c>
      <c r="M8" s="611">
        <v>0</v>
      </c>
      <c r="N8" s="611">
        <v>0</v>
      </c>
      <c r="O8" s="593">
        <v>0</v>
      </c>
    </row>
    <row r="9" spans="1:15">
      <c r="A9" s="444">
        <v>3</v>
      </c>
      <c r="B9" s="450" t="s">
        <v>698</v>
      </c>
      <c r="C9" s="610">
        <v>0</v>
      </c>
      <c r="D9" s="593">
        <v>0</v>
      </c>
      <c r="E9" s="593">
        <v>0</v>
      </c>
      <c r="F9" s="612">
        <v>0</v>
      </c>
      <c r="G9" s="612">
        <v>0</v>
      </c>
      <c r="H9" s="593">
        <v>0</v>
      </c>
      <c r="I9" s="593">
        <v>0</v>
      </c>
      <c r="J9" s="612">
        <v>0</v>
      </c>
      <c r="K9" s="612">
        <v>0</v>
      </c>
      <c r="L9" s="612">
        <v>0</v>
      </c>
      <c r="M9" s="612">
        <v>0</v>
      </c>
      <c r="N9" s="612">
        <v>0</v>
      </c>
      <c r="O9" s="593">
        <v>0</v>
      </c>
    </row>
    <row r="10" spans="1:15">
      <c r="A10" s="444">
        <v>4</v>
      </c>
      <c r="B10" s="450" t="s">
        <v>699</v>
      </c>
      <c r="C10" s="610">
        <v>85885560.24999997</v>
      </c>
      <c r="D10" s="593">
        <v>41907674.139999978</v>
      </c>
      <c r="E10" s="593">
        <v>1317053.6299999999</v>
      </c>
      <c r="F10" s="612">
        <v>23212396.280000001</v>
      </c>
      <c r="G10" s="612">
        <v>19355508.199999999</v>
      </c>
      <c r="H10" s="593">
        <v>92928</v>
      </c>
      <c r="I10" s="593">
        <v>17599420.420975983</v>
      </c>
      <c r="J10" s="612">
        <v>838153.48315100011</v>
      </c>
      <c r="K10" s="612">
        <v>131705.36300000001</v>
      </c>
      <c r="L10" s="612">
        <v>6963718.8850950003</v>
      </c>
      <c r="M10" s="612">
        <v>9572914.6897299998</v>
      </c>
      <c r="N10" s="612">
        <v>92928</v>
      </c>
      <c r="O10" s="593">
        <v>0</v>
      </c>
    </row>
    <row r="11" spans="1:15">
      <c r="A11" s="444">
        <v>5</v>
      </c>
      <c r="B11" s="450" t="s">
        <v>700</v>
      </c>
      <c r="C11" s="610">
        <v>79399680.219999999</v>
      </c>
      <c r="D11" s="593">
        <v>47336297.43999999</v>
      </c>
      <c r="E11" s="593">
        <v>2568716.64</v>
      </c>
      <c r="F11" s="612">
        <v>15044393.310000001</v>
      </c>
      <c r="G11" s="612">
        <v>13246642.979999997</v>
      </c>
      <c r="H11" s="593">
        <v>1203629.8499999999</v>
      </c>
      <c r="I11" s="593">
        <v>13079139.331970992</v>
      </c>
      <c r="J11" s="612">
        <v>946725.94873599999</v>
      </c>
      <c r="K11" s="612">
        <v>256871.66433300002</v>
      </c>
      <c r="L11" s="612">
        <v>4513317.9938679999</v>
      </c>
      <c r="M11" s="612">
        <v>6623321.4899999984</v>
      </c>
      <c r="N11" s="612">
        <v>738902.23503400001</v>
      </c>
      <c r="O11" s="593">
        <v>0</v>
      </c>
    </row>
    <row r="12" spans="1:15">
      <c r="A12" s="444">
        <v>6</v>
      </c>
      <c r="B12" s="450" t="s">
        <v>701</v>
      </c>
      <c r="C12" s="610">
        <v>61635206.839999996</v>
      </c>
      <c r="D12" s="593">
        <v>54548451.840000004</v>
      </c>
      <c r="E12" s="593">
        <v>0</v>
      </c>
      <c r="F12" s="612">
        <v>2833342.17</v>
      </c>
      <c r="G12" s="612">
        <v>0</v>
      </c>
      <c r="H12" s="593">
        <v>4253412.83</v>
      </c>
      <c r="I12" s="593">
        <v>5088497.1722390018</v>
      </c>
      <c r="J12" s="612">
        <v>1090969.0366699998</v>
      </c>
      <c r="K12" s="612">
        <v>0</v>
      </c>
      <c r="L12" s="612">
        <v>850002.64926699991</v>
      </c>
      <c r="M12" s="612">
        <v>0</v>
      </c>
      <c r="N12" s="612">
        <v>3147525.486302</v>
      </c>
      <c r="O12" s="593">
        <v>0</v>
      </c>
    </row>
    <row r="13" spans="1:15">
      <c r="A13" s="444">
        <v>7</v>
      </c>
      <c r="B13" s="450" t="s">
        <v>702</v>
      </c>
      <c r="C13" s="610">
        <v>13072046.429999998</v>
      </c>
      <c r="D13" s="593">
        <v>4221297.18</v>
      </c>
      <c r="E13" s="593">
        <v>2261942.8000000003</v>
      </c>
      <c r="F13" s="612">
        <v>744436.96</v>
      </c>
      <c r="G13" s="612">
        <v>5844369.4899999984</v>
      </c>
      <c r="H13" s="593">
        <v>0</v>
      </c>
      <c r="I13" s="593">
        <v>2941827.5229469994</v>
      </c>
      <c r="J13" s="612">
        <v>84425.943568999995</v>
      </c>
      <c r="K13" s="612">
        <v>226194.28000000003</v>
      </c>
      <c r="L13" s="612">
        <v>223331.08921400004</v>
      </c>
      <c r="M13" s="612">
        <v>2407876.2101639998</v>
      </c>
      <c r="N13" s="612">
        <v>0</v>
      </c>
      <c r="O13" s="593">
        <v>0</v>
      </c>
    </row>
    <row r="14" spans="1:15">
      <c r="A14" s="444">
        <v>8</v>
      </c>
      <c r="B14" s="450" t="s">
        <v>703</v>
      </c>
      <c r="C14" s="610">
        <v>42490444.557900012</v>
      </c>
      <c r="D14" s="593">
        <v>14293867.660000002</v>
      </c>
      <c r="E14" s="593">
        <v>1307861.29</v>
      </c>
      <c r="F14" s="612">
        <v>3084935.9499999993</v>
      </c>
      <c r="G14" s="612">
        <v>23803779.657899998</v>
      </c>
      <c r="H14" s="593">
        <v>0</v>
      </c>
      <c r="I14" s="593">
        <v>13244034.097645007</v>
      </c>
      <c r="J14" s="612">
        <v>285877.35314599995</v>
      </c>
      <c r="K14" s="612">
        <v>130786.12912</v>
      </c>
      <c r="L14" s="612">
        <v>925480.78740500007</v>
      </c>
      <c r="M14" s="612">
        <v>11901889.827973999</v>
      </c>
      <c r="N14" s="612">
        <v>0</v>
      </c>
      <c r="O14" s="593">
        <v>0</v>
      </c>
    </row>
    <row r="15" spans="1:15">
      <c r="A15" s="444">
        <v>9</v>
      </c>
      <c r="B15" s="450" t="s">
        <v>704</v>
      </c>
      <c r="C15" s="610">
        <v>139749845.63759997</v>
      </c>
      <c r="D15" s="593">
        <v>64602727.897599988</v>
      </c>
      <c r="E15" s="593">
        <v>11357025.200000003</v>
      </c>
      <c r="F15" s="612">
        <v>7866640.7400000012</v>
      </c>
      <c r="G15" s="612">
        <v>49870751.220000006</v>
      </c>
      <c r="H15" s="593">
        <v>6052700.5800000001</v>
      </c>
      <c r="I15" s="593">
        <v>34910911.694102988</v>
      </c>
      <c r="J15" s="612">
        <v>1292054.55785</v>
      </c>
      <c r="K15" s="612">
        <v>1135702.5176750002</v>
      </c>
      <c r="L15" s="612">
        <v>2359992.2195669999</v>
      </c>
      <c r="M15" s="612">
        <v>24070461.823011003</v>
      </c>
      <c r="N15" s="612">
        <v>6052700.5760000004</v>
      </c>
      <c r="O15" s="593">
        <v>0</v>
      </c>
    </row>
    <row r="16" spans="1:15">
      <c r="A16" s="444">
        <v>10</v>
      </c>
      <c r="B16" s="450" t="s">
        <v>705</v>
      </c>
      <c r="C16" s="610">
        <v>1633537.7</v>
      </c>
      <c r="D16" s="593">
        <v>1569757.47</v>
      </c>
      <c r="E16" s="593">
        <v>0</v>
      </c>
      <c r="F16" s="612">
        <v>63780.23</v>
      </c>
      <c r="G16" s="612">
        <v>0</v>
      </c>
      <c r="H16" s="593">
        <v>0</v>
      </c>
      <c r="I16" s="593">
        <v>50529.219999000008</v>
      </c>
      <c r="J16" s="612">
        <v>31395.149651000003</v>
      </c>
      <c r="K16" s="612">
        <v>0</v>
      </c>
      <c r="L16" s="612">
        <v>19134.070347999997</v>
      </c>
      <c r="M16" s="612">
        <v>0</v>
      </c>
      <c r="N16" s="612">
        <v>0</v>
      </c>
      <c r="O16" s="593">
        <v>0</v>
      </c>
    </row>
    <row r="17" spans="1:15">
      <c r="A17" s="444">
        <v>11</v>
      </c>
      <c r="B17" s="450" t="s">
        <v>706</v>
      </c>
      <c r="C17" s="610">
        <v>339009.69</v>
      </c>
      <c r="D17" s="593">
        <v>339009.69</v>
      </c>
      <c r="E17" s="593">
        <v>0</v>
      </c>
      <c r="F17" s="612">
        <v>0</v>
      </c>
      <c r="G17" s="612">
        <v>0</v>
      </c>
      <c r="H17" s="593">
        <v>0</v>
      </c>
      <c r="I17" s="593">
        <v>6780.1937470000003</v>
      </c>
      <c r="J17" s="612">
        <v>6780.1937470000003</v>
      </c>
      <c r="K17" s="612">
        <v>0</v>
      </c>
      <c r="L17" s="612">
        <v>0</v>
      </c>
      <c r="M17" s="612">
        <v>0</v>
      </c>
      <c r="N17" s="612">
        <v>0</v>
      </c>
      <c r="O17" s="593">
        <v>0</v>
      </c>
    </row>
    <row r="18" spans="1:15">
      <c r="A18" s="444">
        <v>12</v>
      </c>
      <c r="B18" s="450" t="s">
        <v>707</v>
      </c>
      <c r="C18" s="610">
        <v>30617319.7126</v>
      </c>
      <c r="D18" s="593">
        <v>6566107.9526000014</v>
      </c>
      <c r="E18" s="593">
        <v>0</v>
      </c>
      <c r="F18" s="612">
        <v>23284098.550000004</v>
      </c>
      <c r="G18" s="612">
        <v>767113.20999999985</v>
      </c>
      <c r="H18" s="593">
        <v>0</v>
      </c>
      <c r="I18" s="593">
        <v>7500108.3259119997</v>
      </c>
      <c r="J18" s="612">
        <v>131322.15899700002</v>
      </c>
      <c r="K18" s="612">
        <v>0</v>
      </c>
      <c r="L18" s="612">
        <v>6985229.5640349993</v>
      </c>
      <c r="M18" s="612">
        <v>383556.60287999996</v>
      </c>
      <c r="N18" s="612">
        <v>0</v>
      </c>
      <c r="O18" s="593">
        <v>0</v>
      </c>
    </row>
    <row r="19" spans="1:15">
      <c r="A19" s="444">
        <v>13</v>
      </c>
      <c r="B19" s="450" t="s">
        <v>708</v>
      </c>
      <c r="C19" s="610">
        <v>29305027.100000001</v>
      </c>
      <c r="D19" s="593">
        <v>24870535.490000002</v>
      </c>
      <c r="E19" s="593">
        <v>57709.81</v>
      </c>
      <c r="F19" s="612">
        <v>3112227.67</v>
      </c>
      <c r="G19" s="612">
        <v>0</v>
      </c>
      <c r="H19" s="593">
        <v>1264554.1299999999</v>
      </c>
      <c r="I19" s="593">
        <v>2195582.4667489999</v>
      </c>
      <c r="J19" s="612">
        <v>497410.70994099998</v>
      </c>
      <c r="K19" s="612">
        <v>5770.9809999999998</v>
      </c>
      <c r="L19" s="612">
        <v>933668.30031400011</v>
      </c>
      <c r="M19" s="612">
        <v>0</v>
      </c>
      <c r="N19" s="612">
        <v>758732.47549400001</v>
      </c>
      <c r="O19" s="593">
        <v>0</v>
      </c>
    </row>
    <row r="20" spans="1:15">
      <c r="A20" s="444">
        <v>14</v>
      </c>
      <c r="B20" s="450" t="s">
        <v>709</v>
      </c>
      <c r="C20" s="610">
        <v>64776837.589999974</v>
      </c>
      <c r="D20" s="593">
        <v>23763802.140000012</v>
      </c>
      <c r="E20" s="593">
        <v>3778694.4400000004</v>
      </c>
      <c r="F20" s="612">
        <v>13298387.390000001</v>
      </c>
      <c r="G20" s="612">
        <v>23935953.620000001</v>
      </c>
      <c r="H20" s="593">
        <v>0</v>
      </c>
      <c r="I20" s="593">
        <v>16348923.70604899</v>
      </c>
      <c r="J20" s="612">
        <v>475276.04242199997</v>
      </c>
      <c r="K20" s="612">
        <v>377869.443983</v>
      </c>
      <c r="L20" s="612">
        <v>3989516.2113190009</v>
      </c>
      <c r="M20" s="612">
        <v>11506262.008324997</v>
      </c>
      <c r="N20" s="612">
        <v>0</v>
      </c>
      <c r="O20" s="593">
        <v>0</v>
      </c>
    </row>
    <row r="21" spans="1:15">
      <c r="A21" s="444">
        <v>15</v>
      </c>
      <c r="B21" s="450" t="s">
        <v>710</v>
      </c>
      <c r="C21" s="610">
        <v>4645112.1399999997</v>
      </c>
      <c r="D21" s="593">
        <v>80406.080000000002</v>
      </c>
      <c r="E21" s="593">
        <v>209237.58</v>
      </c>
      <c r="F21" s="612">
        <v>4355468.4800000004</v>
      </c>
      <c r="G21" s="612">
        <v>0</v>
      </c>
      <c r="H21" s="593">
        <v>0</v>
      </c>
      <c r="I21" s="593">
        <v>1329172.4253250002</v>
      </c>
      <c r="J21" s="612">
        <v>1608.1215179999999</v>
      </c>
      <c r="K21" s="612">
        <v>20923.758310000001</v>
      </c>
      <c r="L21" s="612">
        <v>1306640.5454970002</v>
      </c>
      <c r="M21" s="612">
        <v>0</v>
      </c>
      <c r="N21" s="612">
        <v>0</v>
      </c>
      <c r="O21" s="593">
        <v>0</v>
      </c>
    </row>
    <row r="22" spans="1:15">
      <c r="A22" s="444">
        <v>16</v>
      </c>
      <c r="B22" s="450" t="s">
        <v>711</v>
      </c>
      <c r="C22" s="610">
        <v>51754795.169999994</v>
      </c>
      <c r="D22" s="593">
        <v>51681722.009999998</v>
      </c>
      <c r="E22" s="593">
        <v>0</v>
      </c>
      <c r="F22" s="612">
        <v>0</v>
      </c>
      <c r="G22" s="612">
        <v>73073.16</v>
      </c>
      <c r="H22" s="593">
        <v>0</v>
      </c>
      <c r="I22" s="593">
        <v>1070171.0193050001</v>
      </c>
      <c r="J22" s="612">
        <v>1033634.440105</v>
      </c>
      <c r="K22" s="612">
        <v>0</v>
      </c>
      <c r="L22" s="612">
        <v>0</v>
      </c>
      <c r="M22" s="612">
        <v>36536.5792</v>
      </c>
      <c r="N22" s="612">
        <v>0</v>
      </c>
      <c r="O22" s="593">
        <v>0</v>
      </c>
    </row>
    <row r="23" spans="1:15">
      <c r="A23" s="444">
        <v>17</v>
      </c>
      <c r="B23" s="450" t="s">
        <v>712</v>
      </c>
      <c r="C23" s="610">
        <v>25430257.430000003</v>
      </c>
      <c r="D23" s="593">
        <v>15472851.34</v>
      </c>
      <c r="E23" s="593">
        <v>9820125.0999999996</v>
      </c>
      <c r="F23" s="612">
        <v>137280.99</v>
      </c>
      <c r="G23" s="612">
        <v>0</v>
      </c>
      <c r="H23" s="593">
        <v>0</v>
      </c>
      <c r="I23" s="593">
        <v>1332653.8328370003</v>
      </c>
      <c r="J23" s="612">
        <v>309457.02680200001</v>
      </c>
      <c r="K23" s="612">
        <v>982012.51035500003</v>
      </c>
      <c r="L23" s="612">
        <v>41184.295680000003</v>
      </c>
      <c r="M23" s="612">
        <v>0</v>
      </c>
      <c r="N23" s="612">
        <v>0</v>
      </c>
      <c r="O23" s="593">
        <v>0</v>
      </c>
    </row>
    <row r="24" spans="1:15">
      <c r="A24" s="444">
        <v>18</v>
      </c>
      <c r="B24" s="450" t="s">
        <v>713</v>
      </c>
      <c r="C24" s="610">
        <v>3657525.8</v>
      </c>
      <c r="D24" s="593">
        <v>1026833.15</v>
      </c>
      <c r="E24" s="593">
        <v>555300.65</v>
      </c>
      <c r="F24" s="612">
        <v>0</v>
      </c>
      <c r="G24" s="612">
        <v>2075392</v>
      </c>
      <c r="H24" s="593">
        <v>0</v>
      </c>
      <c r="I24" s="593">
        <v>1097320.675856</v>
      </c>
      <c r="J24" s="612">
        <v>4094.6108829999998</v>
      </c>
      <c r="K24" s="612">
        <v>55530.064973</v>
      </c>
      <c r="L24" s="612">
        <v>0</v>
      </c>
      <c r="M24" s="612">
        <v>1037696</v>
      </c>
      <c r="N24" s="612">
        <v>0</v>
      </c>
      <c r="O24" s="593">
        <v>0</v>
      </c>
    </row>
    <row r="25" spans="1:15">
      <c r="A25" s="444">
        <v>19</v>
      </c>
      <c r="B25" s="450" t="s">
        <v>714</v>
      </c>
      <c r="C25" s="610">
        <v>34231959.719999999</v>
      </c>
      <c r="D25" s="593">
        <v>855173.19</v>
      </c>
      <c r="E25" s="593">
        <v>0</v>
      </c>
      <c r="F25" s="612">
        <v>30531077.940000001</v>
      </c>
      <c r="G25" s="612">
        <v>2845708.59</v>
      </c>
      <c r="H25" s="593">
        <v>0</v>
      </c>
      <c r="I25" s="593">
        <v>10599281.141586</v>
      </c>
      <c r="J25" s="612">
        <v>17103.463698</v>
      </c>
      <c r="K25" s="612">
        <v>0</v>
      </c>
      <c r="L25" s="612">
        <v>9159323.3834879994</v>
      </c>
      <c r="M25" s="612">
        <v>1422854.2944</v>
      </c>
      <c r="N25" s="612">
        <v>0</v>
      </c>
      <c r="O25" s="593">
        <v>0</v>
      </c>
    </row>
    <row r="26" spans="1:15">
      <c r="A26" s="444">
        <v>20</v>
      </c>
      <c r="B26" s="450" t="s">
        <v>715</v>
      </c>
      <c r="C26" s="610">
        <v>58072583.150000028</v>
      </c>
      <c r="D26" s="593">
        <v>43664180.610000022</v>
      </c>
      <c r="E26" s="593">
        <v>13910719.51</v>
      </c>
      <c r="F26" s="612">
        <v>497683.03</v>
      </c>
      <c r="G26" s="612">
        <v>0</v>
      </c>
      <c r="H26" s="593">
        <v>0</v>
      </c>
      <c r="I26" s="593">
        <v>2413660.4715029998</v>
      </c>
      <c r="J26" s="612">
        <v>873283.6121990002</v>
      </c>
      <c r="K26" s="612">
        <v>1391071.9507599999</v>
      </c>
      <c r="L26" s="612">
        <v>149304.90854400001</v>
      </c>
      <c r="M26" s="612">
        <v>0</v>
      </c>
      <c r="N26" s="612">
        <v>0</v>
      </c>
      <c r="O26" s="593">
        <v>0</v>
      </c>
    </row>
    <row r="27" spans="1:15">
      <c r="A27" s="444">
        <v>21</v>
      </c>
      <c r="B27" s="450" t="s">
        <v>716</v>
      </c>
      <c r="C27" s="610">
        <v>2907161.7262999997</v>
      </c>
      <c r="D27" s="593">
        <v>2907161.7262999997</v>
      </c>
      <c r="E27" s="593">
        <v>0</v>
      </c>
      <c r="F27" s="612">
        <v>0</v>
      </c>
      <c r="G27" s="612">
        <v>0</v>
      </c>
      <c r="H27" s="593">
        <v>0</v>
      </c>
      <c r="I27" s="593">
        <v>58143.234645000004</v>
      </c>
      <c r="J27" s="612">
        <v>58143.234645000004</v>
      </c>
      <c r="K27" s="612">
        <v>0</v>
      </c>
      <c r="L27" s="612">
        <v>0</v>
      </c>
      <c r="M27" s="612">
        <v>0</v>
      </c>
      <c r="N27" s="612">
        <v>0</v>
      </c>
      <c r="O27" s="593">
        <v>0</v>
      </c>
    </row>
    <row r="28" spans="1:15">
      <c r="A28" s="444">
        <v>22</v>
      </c>
      <c r="B28" s="450" t="s">
        <v>717</v>
      </c>
      <c r="C28" s="610">
        <v>38275983.970000006</v>
      </c>
      <c r="D28" s="593">
        <v>31328105.600000001</v>
      </c>
      <c r="E28" s="593">
        <v>0</v>
      </c>
      <c r="F28" s="612">
        <v>503291.2</v>
      </c>
      <c r="G28" s="612">
        <v>187575.17</v>
      </c>
      <c r="H28" s="593">
        <v>6257012</v>
      </c>
      <c r="I28" s="593">
        <v>7128349.0566909993</v>
      </c>
      <c r="J28" s="612">
        <v>626562.11199999996</v>
      </c>
      <c r="K28" s="612">
        <v>0</v>
      </c>
      <c r="L28" s="612">
        <v>150987.36069100001</v>
      </c>
      <c r="M28" s="612">
        <v>93787.584000000003</v>
      </c>
      <c r="N28" s="612">
        <v>6257012</v>
      </c>
      <c r="O28" s="593">
        <v>0</v>
      </c>
    </row>
    <row r="29" spans="1:15">
      <c r="A29" s="444">
        <v>23</v>
      </c>
      <c r="B29" s="450" t="s">
        <v>718</v>
      </c>
      <c r="C29" s="610">
        <v>92179976.570000008</v>
      </c>
      <c r="D29" s="593">
        <v>74592937.330000058</v>
      </c>
      <c r="E29" s="593">
        <v>162960.21999999997</v>
      </c>
      <c r="F29" s="612">
        <v>10054486.549999999</v>
      </c>
      <c r="G29" s="612">
        <v>1123660.1600000001</v>
      </c>
      <c r="H29" s="593">
        <v>6245932.3099999996</v>
      </c>
      <c r="I29" s="593">
        <v>8833890.2000680026</v>
      </c>
      <c r="J29" s="612">
        <v>1491858.7467199997</v>
      </c>
      <c r="K29" s="612">
        <v>16296.022338000002</v>
      </c>
      <c r="L29" s="612">
        <v>3016345.9660759997</v>
      </c>
      <c r="M29" s="612">
        <v>561830.08076799999</v>
      </c>
      <c r="N29" s="612">
        <v>3747559.3841659999</v>
      </c>
      <c r="O29" s="593">
        <v>0</v>
      </c>
    </row>
    <row r="30" spans="1:15">
      <c r="A30" s="444">
        <v>24</v>
      </c>
      <c r="B30" s="450" t="s">
        <v>719</v>
      </c>
      <c r="C30" s="610">
        <v>54811535.69000002</v>
      </c>
      <c r="D30" s="593">
        <v>27558186.269999996</v>
      </c>
      <c r="E30" s="593">
        <v>12702370.539999997</v>
      </c>
      <c r="F30" s="612">
        <v>4834634.2200000016</v>
      </c>
      <c r="G30" s="612">
        <v>631571.17999999993</v>
      </c>
      <c r="H30" s="593">
        <v>9084773.4800000004</v>
      </c>
      <c r="I30" s="593">
        <v>9641022.6823070049</v>
      </c>
      <c r="J30" s="612">
        <v>551163.72577899985</v>
      </c>
      <c r="K30" s="612">
        <v>1270237.0535859999</v>
      </c>
      <c r="L30" s="612">
        <v>1450390.2692259999</v>
      </c>
      <c r="M30" s="612">
        <v>315785.59091199999</v>
      </c>
      <c r="N30" s="612">
        <v>6053446.042804</v>
      </c>
      <c r="O30" s="593">
        <v>0</v>
      </c>
    </row>
    <row r="31" spans="1:15">
      <c r="A31" s="444">
        <v>25</v>
      </c>
      <c r="B31" s="450" t="s">
        <v>720</v>
      </c>
      <c r="C31" s="610">
        <v>34378908.821199983</v>
      </c>
      <c r="D31" s="593">
        <v>29758017.118499991</v>
      </c>
      <c r="E31" s="593">
        <v>563238.67000000004</v>
      </c>
      <c r="F31" s="612">
        <v>2429682.7253</v>
      </c>
      <c r="G31" s="612">
        <v>1623510.3073999998</v>
      </c>
      <c r="H31" s="593">
        <v>4460</v>
      </c>
      <c r="I31" s="593">
        <v>2185356.0901620011</v>
      </c>
      <c r="J31" s="612">
        <v>583912.25248199992</v>
      </c>
      <c r="K31" s="612">
        <v>56323.865822999993</v>
      </c>
      <c r="L31" s="612">
        <v>728904.81890100008</v>
      </c>
      <c r="M31" s="612">
        <v>811755.15295599995</v>
      </c>
      <c r="N31" s="612">
        <v>4460</v>
      </c>
      <c r="O31" s="593">
        <v>0</v>
      </c>
    </row>
    <row r="32" spans="1:15">
      <c r="A32" s="444">
        <v>26</v>
      </c>
      <c r="B32" s="450" t="s">
        <v>822</v>
      </c>
      <c r="C32" s="610">
        <v>1209522.2276000008</v>
      </c>
      <c r="D32" s="593">
        <v>1200088.9958000006</v>
      </c>
      <c r="E32" s="593">
        <v>0</v>
      </c>
      <c r="F32" s="612">
        <v>336.89179999999999</v>
      </c>
      <c r="G32" s="612">
        <v>15.34</v>
      </c>
      <c r="H32" s="593">
        <v>9081</v>
      </c>
      <c r="I32" s="593">
        <v>33191.517455999994</v>
      </c>
      <c r="J32" s="612">
        <v>24001.779916000032</v>
      </c>
      <c r="K32" s="612">
        <v>0</v>
      </c>
      <c r="L32" s="612">
        <v>101.06753999999999</v>
      </c>
      <c r="M32" s="612">
        <v>7.67</v>
      </c>
      <c r="N32" s="612">
        <v>9081</v>
      </c>
      <c r="O32" s="593">
        <v>0</v>
      </c>
    </row>
    <row r="33" spans="1:15">
      <c r="A33" s="444">
        <v>27</v>
      </c>
      <c r="B33" s="477" t="s">
        <v>68</v>
      </c>
      <c r="C33" s="613">
        <f>SUM(C7:C32)</f>
        <v>965168853.17349994</v>
      </c>
      <c r="D33" s="593">
        <f t="shared" ref="D33:N33" si="0">SUM(D7:D32)</f>
        <v>578096348.35109997</v>
      </c>
      <c r="E33" s="593">
        <f t="shared" si="0"/>
        <v>60722412.68</v>
      </c>
      <c r="F33" s="612">
        <f t="shared" si="0"/>
        <v>146494906.29710001</v>
      </c>
      <c r="G33" s="612">
        <f t="shared" si="0"/>
        <v>145384624.28529996</v>
      </c>
      <c r="H33" s="593">
        <f t="shared" si="0"/>
        <v>34470561.560000002</v>
      </c>
      <c r="I33" s="593">
        <f t="shared" si="0"/>
        <v>159165790.16859499</v>
      </c>
      <c r="J33" s="612">
        <f t="shared" si="0"/>
        <v>11534116.825325999</v>
      </c>
      <c r="K33" s="612">
        <f t="shared" si="0"/>
        <v>6072241.2655379996</v>
      </c>
      <c r="L33" s="612">
        <f t="shared" si="0"/>
        <v>43948471.893611006</v>
      </c>
      <c r="M33" s="612">
        <f t="shared" si="0"/>
        <v>70746535.604320005</v>
      </c>
      <c r="N33" s="612">
        <f t="shared" si="0"/>
        <v>26864424.579799995</v>
      </c>
      <c r="O33" s="593">
        <v>0</v>
      </c>
    </row>
    <row r="35" spans="1:15">
      <c r="B35" s="451"/>
      <c r="C35" s="451"/>
    </row>
    <row r="41" spans="1:15">
      <c r="A41" s="447"/>
      <c r="B41" s="447"/>
      <c r="C41" s="447"/>
    </row>
    <row r="42" spans="1:15">
      <c r="A42" s="447"/>
      <c r="B42" s="447"/>
      <c r="C42" s="44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78" bestFit="1" customWidth="1"/>
    <col min="2" max="2" width="80.28515625" style="478" customWidth="1"/>
    <col min="3" max="11" width="28.28515625" style="478" customWidth="1"/>
    <col min="12" max="16384" width="8.7109375" style="478"/>
  </cols>
  <sheetData>
    <row r="1" spans="1:11" s="430" customFormat="1" ht="12.75">
      <c r="A1" s="429" t="s">
        <v>188</v>
      </c>
      <c r="B1" s="596" t="str">
        <f>'1. key ratios'!B1</f>
        <v>სს "ბანკი ქართუ"</v>
      </c>
    </row>
    <row r="2" spans="1:11" s="430" customFormat="1" ht="12.75">
      <c r="A2" s="429" t="s">
        <v>189</v>
      </c>
      <c r="B2" s="432">
        <f>'1. key ratios'!B2</f>
        <v>44561</v>
      </c>
    </row>
    <row r="3" spans="1:11" s="430" customFormat="1" ht="12.75">
      <c r="A3" s="431" t="s">
        <v>823</v>
      </c>
      <c r="B3" s="432"/>
    </row>
    <row r="4" spans="1:11">
      <c r="C4" s="479" t="s">
        <v>673</v>
      </c>
      <c r="D4" s="479" t="s">
        <v>674</v>
      </c>
      <c r="E4" s="479" t="s">
        <v>675</v>
      </c>
      <c r="F4" s="479" t="s">
        <v>676</v>
      </c>
      <c r="G4" s="479" t="s">
        <v>677</v>
      </c>
      <c r="H4" s="479" t="s">
        <v>678</v>
      </c>
      <c r="I4" s="479" t="s">
        <v>679</v>
      </c>
      <c r="J4" s="479" t="s">
        <v>680</v>
      </c>
      <c r="K4" s="479" t="s">
        <v>681</v>
      </c>
    </row>
    <row r="5" spans="1:11" ht="103.9" customHeight="1">
      <c r="A5" s="783" t="s">
        <v>824</v>
      </c>
      <c r="B5" s="784"/>
      <c r="C5" s="433" t="s">
        <v>825</v>
      </c>
      <c r="D5" s="433" t="s">
        <v>811</v>
      </c>
      <c r="E5" s="433" t="s">
        <v>812</v>
      </c>
      <c r="F5" s="433" t="s">
        <v>826</v>
      </c>
      <c r="G5" s="433" t="s">
        <v>827</v>
      </c>
      <c r="H5" s="433" t="s">
        <v>828</v>
      </c>
      <c r="I5" s="433" t="s">
        <v>829</v>
      </c>
      <c r="J5" s="433" t="s">
        <v>830</v>
      </c>
      <c r="K5" s="433" t="s">
        <v>831</v>
      </c>
    </row>
    <row r="6" spans="1:11" ht="12.75">
      <c r="A6" s="444">
        <v>1</v>
      </c>
      <c r="B6" s="444" t="s">
        <v>832</v>
      </c>
      <c r="C6" s="593">
        <v>39192779.146060407</v>
      </c>
      <c r="D6" s="593">
        <v>11245526.070392003</v>
      </c>
      <c r="E6" s="593">
        <v>0</v>
      </c>
      <c r="F6" s="593">
        <v>0</v>
      </c>
      <c r="G6" s="593">
        <v>721021093.86316311</v>
      </c>
      <c r="H6" s="593">
        <v>8320744.0758648263</v>
      </c>
      <c r="I6" s="593">
        <v>114010583.81230609</v>
      </c>
      <c r="J6" s="593">
        <v>22220922.493216626</v>
      </c>
      <c r="K6" s="593">
        <v>49157203.712496556</v>
      </c>
    </row>
    <row r="7" spans="1:11" ht="12.75">
      <c r="A7" s="444">
        <v>2</v>
      </c>
      <c r="B7" s="444" t="s">
        <v>833</v>
      </c>
      <c r="C7" s="593">
        <v>0</v>
      </c>
      <c r="D7" s="593">
        <v>0</v>
      </c>
      <c r="E7" s="593">
        <v>0</v>
      </c>
      <c r="F7" s="593">
        <v>0</v>
      </c>
      <c r="G7" s="593">
        <v>0</v>
      </c>
      <c r="H7" s="593">
        <v>0</v>
      </c>
      <c r="I7" s="593">
        <v>0</v>
      </c>
      <c r="J7" s="593">
        <v>0</v>
      </c>
      <c r="K7" s="593">
        <v>18488000</v>
      </c>
    </row>
    <row r="8" spans="1:11" ht="12.75">
      <c r="A8" s="444">
        <v>3</v>
      </c>
      <c r="B8" s="444" t="s">
        <v>783</v>
      </c>
      <c r="C8" s="593">
        <v>4282694.8761475906</v>
      </c>
      <c r="D8" s="593">
        <v>0</v>
      </c>
      <c r="E8" s="593">
        <v>0</v>
      </c>
      <c r="F8" s="593">
        <v>0</v>
      </c>
      <c r="G8" s="593">
        <v>43682689.835986421</v>
      </c>
      <c r="H8" s="593">
        <v>583958.76381214568</v>
      </c>
      <c r="I8" s="593">
        <v>12952155.789801033</v>
      </c>
      <c r="J8" s="593">
        <v>3446116.4446528219</v>
      </c>
      <c r="K8" s="593">
        <v>1288323.1095000003</v>
      </c>
    </row>
    <row r="9" spans="1:11" ht="12.75">
      <c r="A9" s="444">
        <v>4</v>
      </c>
      <c r="B9" s="466" t="s">
        <v>834</v>
      </c>
      <c r="C9" s="593">
        <v>6838154.7054953044</v>
      </c>
      <c r="D9" s="593">
        <v>3590297.2262000004</v>
      </c>
      <c r="E9" s="593">
        <v>0</v>
      </c>
      <c r="F9" s="593">
        <v>0</v>
      </c>
      <c r="G9" s="593">
        <v>260384250.77072188</v>
      </c>
      <c r="H9" s="593">
        <v>4050834.3206204041</v>
      </c>
      <c r="I9" s="593">
        <v>23915720.58394704</v>
      </c>
      <c r="J9" s="593">
        <v>9396616.5690359343</v>
      </c>
      <c r="K9" s="593">
        <v>18174217.966379322</v>
      </c>
    </row>
    <row r="10" spans="1:11" ht="12.75">
      <c r="A10" s="444">
        <v>5</v>
      </c>
      <c r="B10" s="466" t="s">
        <v>835</v>
      </c>
      <c r="C10" s="593">
        <v>0</v>
      </c>
      <c r="D10" s="593">
        <v>0</v>
      </c>
      <c r="E10" s="593">
        <v>0</v>
      </c>
      <c r="F10" s="593">
        <v>0</v>
      </c>
      <c r="G10" s="593">
        <v>0</v>
      </c>
      <c r="H10" s="593">
        <v>0</v>
      </c>
      <c r="I10" s="593">
        <v>0</v>
      </c>
      <c r="J10" s="593">
        <v>0</v>
      </c>
      <c r="K10" s="593">
        <v>0</v>
      </c>
    </row>
    <row r="11" spans="1:11" ht="12.75">
      <c r="A11" s="444">
        <v>6</v>
      </c>
      <c r="B11" s="466" t="s">
        <v>836</v>
      </c>
      <c r="C11" s="593">
        <v>0</v>
      </c>
      <c r="D11" s="593">
        <v>0</v>
      </c>
      <c r="E11" s="593">
        <v>0</v>
      </c>
      <c r="F11" s="593">
        <v>0</v>
      </c>
      <c r="G11" s="593">
        <v>4315569.131298379</v>
      </c>
      <c r="H11" s="593">
        <v>39407.468701621227</v>
      </c>
      <c r="I11" s="593">
        <v>0</v>
      </c>
      <c r="J11" s="593">
        <v>0</v>
      </c>
      <c r="K11" s="593">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29" t="s">
        <v>188</v>
      </c>
      <c r="B1" s="596" t="str">
        <f>'1. key ratios'!B1</f>
        <v>სს "ბანკი ქართუ"</v>
      </c>
    </row>
    <row r="2" spans="1:19">
      <c r="A2" s="429" t="s">
        <v>189</v>
      </c>
      <c r="B2" s="432">
        <f>'1. key ratios'!B2</f>
        <v>44561</v>
      </c>
    </row>
    <row r="3" spans="1:19">
      <c r="A3" s="431" t="s">
        <v>998</v>
      </c>
      <c r="B3" s="430"/>
    </row>
    <row r="4" spans="1:19">
      <c r="A4" s="431"/>
      <c r="B4" s="430"/>
    </row>
    <row r="5" spans="1:19" ht="24" customHeight="1">
      <c r="A5" s="786" t="s">
        <v>999</v>
      </c>
      <c r="B5" s="786"/>
      <c r="C5" s="787" t="s">
        <v>786</v>
      </c>
      <c r="D5" s="787"/>
      <c r="E5" s="787"/>
      <c r="F5" s="787"/>
      <c r="G5" s="787"/>
      <c r="H5" s="787"/>
      <c r="I5" s="787" t="s">
        <v>1000</v>
      </c>
      <c r="J5" s="787"/>
      <c r="K5" s="787"/>
      <c r="L5" s="787"/>
      <c r="M5" s="787"/>
      <c r="N5" s="787"/>
      <c r="O5" s="785" t="s">
        <v>1001</v>
      </c>
      <c r="P5" s="785" t="s">
        <v>1002</v>
      </c>
      <c r="Q5" s="785" t="s">
        <v>1003</v>
      </c>
      <c r="R5" s="785" t="s">
        <v>1004</v>
      </c>
      <c r="S5" s="785" t="s">
        <v>1005</v>
      </c>
    </row>
    <row r="6" spans="1:19" ht="36" customHeight="1">
      <c r="A6" s="786"/>
      <c r="B6" s="786"/>
      <c r="C6" s="614"/>
      <c r="D6" s="476" t="s">
        <v>817</v>
      </c>
      <c r="E6" s="476" t="s">
        <v>818</v>
      </c>
      <c r="F6" s="476" t="s">
        <v>819</v>
      </c>
      <c r="G6" s="476" t="s">
        <v>820</v>
      </c>
      <c r="H6" s="476" t="s">
        <v>821</v>
      </c>
      <c r="I6" s="614"/>
      <c r="J6" s="476" t="s">
        <v>817</v>
      </c>
      <c r="K6" s="476" t="s">
        <v>818</v>
      </c>
      <c r="L6" s="476" t="s">
        <v>819</v>
      </c>
      <c r="M6" s="476" t="s">
        <v>820</v>
      </c>
      <c r="N6" s="476" t="s">
        <v>821</v>
      </c>
      <c r="O6" s="785"/>
      <c r="P6" s="785"/>
      <c r="Q6" s="785"/>
      <c r="R6" s="785"/>
      <c r="S6" s="785"/>
    </row>
    <row r="7" spans="1:19">
      <c r="A7" s="615">
        <v>1</v>
      </c>
      <c r="B7" s="616" t="s">
        <v>1006</v>
      </c>
      <c r="C7" s="674">
        <v>279137.46000000002</v>
      </c>
      <c r="D7" s="674">
        <v>217646.15000000002</v>
      </c>
      <c r="E7" s="674">
        <v>0</v>
      </c>
      <c r="F7" s="674">
        <v>59413.93</v>
      </c>
      <c r="G7" s="674">
        <v>0</v>
      </c>
      <c r="H7" s="674">
        <v>2077.38</v>
      </c>
      <c r="I7" s="674">
        <v>24254.481981000004</v>
      </c>
      <c r="J7" s="674">
        <v>4352.9229809999997</v>
      </c>
      <c r="K7" s="674">
        <v>0</v>
      </c>
      <c r="L7" s="674">
        <v>17824.179</v>
      </c>
      <c r="M7" s="674">
        <v>0</v>
      </c>
      <c r="N7" s="674">
        <v>2077.38</v>
      </c>
      <c r="O7" s="674">
        <v>17</v>
      </c>
      <c r="P7" s="676">
        <v>0.14570188133140377</v>
      </c>
      <c r="Q7" s="676">
        <v>0.15584929472849096</v>
      </c>
      <c r="R7" s="676">
        <v>0.12709689640007471</v>
      </c>
      <c r="S7" s="672">
        <v>59.38446997875193</v>
      </c>
    </row>
    <row r="8" spans="1:19">
      <c r="A8" s="615">
        <v>2</v>
      </c>
      <c r="B8" s="618" t="s">
        <v>1007</v>
      </c>
      <c r="C8" s="674">
        <v>8691760.8600000031</v>
      </c>
      <c r="D8" s="674">
        <v>5544119.4900000002</v>
      </c>
      <c r="E8" s="674">
        <v>1120298.46</v>
      </c>
      <c r="F8" s="674">
        <v>1315049.2</v>
      </c>
      <c r="G8" s="674">
        <v>707833.71</v>
      </c>
      <c r="H8" s="674">
        <v>4460</v>
      </c>
      <c r="I8" s="674">
        <v>966287.33412799949</v>
      </c>
      <c r="J8" s="674">
        <v>101365.87465199995</v>
      </c>
      <c r="K8" s="674">
        <v>112029.84595800002</v>
      </c>
      <c r="L8" s="674">
        <v>394514.76078199997</v>
      </c>
      <c r="M8" s="674">
        <v>353916.85273599997</v>
      </c>
      <c r="N8" s="674">
        <v>4460</v>
      </c>
      <c r="O8" s="674">
        <v>141</v>
      </c>
      <c r="P8" s="676">
        <v>0.13214782243928255</v>
      </c>
      <c r="Q8" s="676">
        <v>0.14065714371042914</v>
      </c>
      <c r="R8" s="676">
        <v>0.10165611362609435</v>
      </c>
      <c r="S8" s="672">
        <v>73.817085610810139</v>
      </c>
    </row>
    <row r="9" spans="1:19">
      <c r="A9" s="615">
        <v>3</v>
      </c>
      <c r="B9" s="618" t="s">
        <v>1008</v>
      </c>
      <c r="C9" s="674">
        <v>0</v>
      </c>
      <c r="D9" s="674">
        <v>0</v>
      </c>
      <c r="E9" s="674">
        <v>0</v>
      </c>
      <c r="F9" s="674">
        <v>0</v>
      </c>
      <c r="G9" s="674">
        <v>0</v>
      </c>
      <c r="H9" s="674">
        <v>0</v>
      </c>
      <c r="I9" s="674">
        <v>0</v>
      </c>
      <c r="J9" s="674">
        <v>0</v>
      </c>
      <c r="K9" s="674">
        <v>0</v>
      </c>
      <c r="L9" s="674">
        <v>0</v>
      </c>
      <c r="M9" s="674">
        <v>0</v>
      </c>
      <c r="N9" s="674">
        <v>0</v>
      </c>
      <c r="O9" s="674">
        <v>0</v>
      </c>
      <c r="P9" s="676">
        <v>0</v>
      </c>
      <c r="Q9" s="676">
        <v>0</v>
      </c>
      <c r="R9" s="676">
        <v>0</v>
      </c>
      <c r="S9" s="672">
        <v>0</v>
      </c>
    </row>
    <row r="10" spans="1:19">
      <c r="A10" s="615">
        <v>4</v>
      </c>
      <c r="B10" s="618" t="s">
        <v>1009</v>
      </c>
      <c r="C10" s="674">
        <v>0</v>
      </c>
      <c r="D10" s="674">
        <v>0</v>
      </c>
      <c r="E10" s="674">
        <v>0</v>
      </c>
      <c r="F10" s="674">
        <v>0</v>
      </c>
      <c r="G10" s="674">
        <v>0</v>
      </c>
      <c r="H10" s="674">
        <v>0</v>
      </c>
      <c r="I10" s="674">
        <v>0</v>
      </c>
      <c r="J10" s="674">
        <v>0</v>
      </c>
      <c r="K10" s="674">
        <v>0</v>
      </c>
      <c r="L10" s="674">
        <v>0</v>
      </c>
      <c r="M10" s="674">
        <v>0</v>
      </c>
      <c r="N10" s="674">
        <v>0</v>
      </c>
      <c r="O10" s="674">
        <v>0</v>
      </c>
      <c r="P10" s="676">
        <v>0</v>
      </c>
      <c r="Q10" s="676">
        <v>0</v>
      </c>
      <c r="R10" s="676">
        <v>0</v>
      </c>
      <c r="S10" s="672">
        <v>0</v>
      </c>
    </row>
    <row r="11" spans="1:19">
      <c r="A11" s="615">
        <v>5</v>
      </c>
      <c r="B11" s="618" t="s">
        <v>1010</v>
      </c>
      <c r="C11" s="674">
        <v>1994232.1406000007</v>
      </c>
      <c r="D11" s="674">
        <v>1862863.8406000005</v>
      </c>
      <c r="E11" s="674">
        <v>8552.73</v>
      </c>
      <c r="F11" s="674">
        <v>113740.65000000001</v>
      </c>
      <c r="G11" s="674">
        <v>0</v>
      </c>
      <c r="H11" s="674">
        <v>9074.92</v>
      </c>
      <c r="I11" s="674">
        <v>81309.664812000017</v>
      </c>
      <c r="J11" s="674">
        <v>37257.276811999967</v>
      </c>
      <c r="K11" s="674">
        <v>855.27300000000002</v>
      </c>
      <c r="L11" s="674">
        <v>34122.194999999992</v>
      </c>
      <c r="M11" s="674">
        <v>0</v>
      </c>
      <c r="N11" s="674">
        <v>9074.92</v>
      </c>
      <c r="O11" s="674">
        <v>243</v>
      </c>
      <c r="P11" s="676">
        <v>0.10114287662380196</v>
      </c>
      <c r="Q11" s="676">
        <v>0.10600599075823272</v>
      </c>
      <c r="R11" s="676">
        <v>0.10273003337132144</v>
      </c>
      <c r="S11" s="672">
        <v>8.0724725779275417</v>
      </c>
    </row>
    <row r="12" spans="1:19">
      <c r="A12" s="615">
        <v>6</v>
      </c>
      <c r="B12" s="618" t="s">
        <v>1011</v>
      </c>
      <c r="C12" s="674">
        <v>296503.49560000031</v>
      </c>
      <c r="D12" s="674">
        <v>296144.93850000034</v>
      </c>
      <c r="E12" s="674">
        <v>0</v>
      </c>
      <c r="F12" s="674">
        <v>337.13709999999998</v>
      </c>
      <c r="G12" s="674">
        <v>15.34</v>
      </c>
      <c r="H12" s="674">
        <v>6.08</v>
      </c>
      <c r="I12" s="674">
        <v>6037.7899000000134</v>
      </c>
      <c r="J12" s="674">
        <v>5922.8987700000125</v>
      </c>
      <c r="K12" s="674">
        <v>0</v>
      </c>
      <c r="L12" s="674">
        <v>101.14112999999999</v>
      </c>
      <c r="M12" s="674">
        <v>7.67</v>
      </c>
      <c r="N12" s="674">
        <v>6.08</v>
      </c>
      <c r="O12" s="674">
        <v>1047</v>
      </c>
      <c r="P12" s="676">
        <v>9.9297300639130115E-2</v>
      </c>
      <c r="Q12" s="676">
        <v>0.10397724938563958</v>
      </c>
      <c r="R12" s="676">
        <v>8.3272808794501024E-2</v>
      </c>
      <c r="S12" s="672">
        <v>6.7938768354853121</v>
      </c>
    </row>
    <row r="13" spans="1:19">
      <c r="A13" s="615">
        <v>7</v>
      </c>
      <c r="B13" s="618" t="s">
        <v>1012</v>
      </c>
      <c r="C13" s="674">
        <v>16127581.879999997</v>
      </c>
      <c r="D13" s="674">
        <v>11878726.019999994</v>
      </c>
      <c r="E13" s="674">
        <v>869499.75</v>
      </c>
      <c r="F13" s="674">
        <v>3379356.11</v>
      </c>
      <c r="G13" s="674">
        <v>0</v>
      </c>
      <c r="H13" s="674">
        <v>0</v>
      </c>
      <c r="I13" s="674">
        <v>1336479.7596370003</v>
      </c>
      <c r="J13" s="674">
        <v>235722.94579400006</v>
      </c>
      <c r="K13" s="674">
        <v>86949.973723000003</v>
      </c>
      <c r="L13" s="674">
        <v>1013806.8401200001</v>
      </c>
      <c r="M13" s="674">
        <v>0</v>
      </c>
      <c r="N13" s="674">
        <v>0</v>
      </c>
      <c r="O13" s="674">
        <v>193</v>
      </c>
      <c r="P13" s="676">
        <v>9.7924482390654627E-2</v>
      </c>
      <c r="Q13" s="676">
        <v>0.10304066770763999</v>
      </c>
      <c r="R13" s="676">
        <v>9.1141104689279051E-2</v>
      </c>
      <c r="S13" s="672">
        <v>99.178518811337057</v>
      </c>
    </row>
    <row r="14" spans="1:19">
      <c r="A14" s="619">
        <v>7.1</v>
      </c>
      <c r="B14" s="620" t="s">
        <v>1013</v>
      </c>
      <c r="C14" s="674">
        <v>12345335.799999997</v>
      </c>
      <c r="D14" s="674">
        <v>8677790.6499999929</v>
      </c>
      <c r="E14" s="674">
        <v>815110.65</v>
      </c>
      <c r="F14" s="674">
        <v>2852434.4999999995</v>
      </c>
      <c r="G14" s="674">
        <v>0</v>
      </c>
      <c r="H14" s="674">
        <v>0</v>
      </c>
      <c r="I14" s="674">
        <v>1108945.6572350003</v>
      </c>
      <c r="J14" s="674">
        <v>171704.23820000005</v>
      </c>
      <c r="K14" s="674">
        <v>81511.064165999996</v>
      </c>
      <c r="L14" s="674">
        <v>855730.35486900003</v>
      </c>
      <c r="M14" s="674">
        <v>0</v>
      </c>
      <c r="N14" s="674">
        <v>0</v>
      </c>
      <c r="O14" s="674">
        <v>120</v>
      </c>
      <c r="P14" s="676">
        <v>9.7628181022843152E-2</v>
      </c>
      <c r="Q14" s="676">
        <v>0.10271549051003814</v>
      </c>
      <c r="R14" s="676">
        <v>8.9171047975057954E-2</v>
      </c>
      <c r="S14" s="672">
        <v>98.948342461827295</v>
      </c>
    </row>
    <row r="15" spans="1:19" ht="25.5">
      <c r="A15" s="619">
        <v>7.2</v>
      </c>
      <c r="B15" s="620" t="s">
        <v>1014</v>
      </c>
      <c r="C15" s="674">
        <v>2995411.5200000005</v>
      </c>
      <c r="D15" s="674">
        <v>2486586.9800000004</v>
      </c>
      <c r="E15" s="674">
        <v>25048.53</v>
      </c>
      <c r="F15" s="674">
        <v>483776.01000000007</v>
      </c>
      <c r="G15" s="674">
        <v>0</v>
      </c>
      <c r="H15" s="674">
        <v>0</v>
      </c>
      <c r="I15" s="674">
        <v>197369.39662000007</v>
      </c>
      <c r="J15" s="674">
        <v>49731.739732999995</v>
      </c>
      <c r="K15" s="674">
        <v>2504.8525570000002</v>
      </c>
      <c r="L15" s="674">
        <v>145132.80433000001</v>
      </c>
      <c r="M15" s="674">
        <v>0</v>
      </c>
      <c r="N15" s="674">
        <v>0</v>
      </c>
      <c r="O15" s="674">
        <v>25</v>
      </c>
      <c r="P15" s="676">
        <v>0.10185801886595877</v>
      </c>
      <c r="Q15" s="676">
        <v>0.10735754405941514</v>
      </c>
      <c r="R15" s="676">
        <v>9.2353758164086891E-2</v>
      </c>
      <c r="S15" s="672">
        <v>109.34045659696292</v>
      </c>
    </row>
    <row r="16" spans="1:19">
      <c r="A16" s="619">
        <v>7.3</v>
      </c>
      <c r="B16" s="620" t="s">
        <v>1015</v>
      </c>
      <c r="C16" s="674">
        <v>786834.55999999994</v>
      </c>
      <c r="D16" s="674">
        <v>714348.3899999999</v>
      </c>
      <c r="E16" s="674">
        <v>29340.57</v>
      </c>
      <c r="F16" s="674">
        <v>43145.599999999999</v>
      </c>
      <c r="G16" s="674">
        <v>0</v>
      </c>
      <c r="H16" s="674">
        <v>0</v>
      </c>
      <c r="I16" s="674">
        <v>30164.705781999997</v>
      </c>
      <c r="J16" s="674">
        <v>14286.967861000001</v>
      </c>
      <c r="K16" s="674">
        <v>2934.0569999999998</v>
      </c>
      <c r="L16" s="674">
        <v>12943.680921000001</v>
      </c>
      <c r="M16" s="674">
        <v>0</v>
      </c>
      <c r="N16" s="674">
        <v>0</v>
      </c>
      <c r="O16" s="674">
        <v>48</v>
      </c>
      <c r="P16" s="676">
        <v>0</v>
      </c>
      <c r="Q16" s="676">
        <v>0</v>
      </c>
      <c r="R16" s="676">
        <v>0.11743458052986389</v>
      </c>
      <c r="S16" s="672">
        <v>64.104333482376049</v>
      </c>
    </row>
    <row r="17" spans="1:19">
      <c r="A17" s="615">
        <v>8</v>
      </c>
      <c r="B17" s="618" t="s">
        <v>1016</v>
      </c>
      <c r="C17" s="674">
        <v>0</v>
      </c>
      <c r="D17" s="674">
        <v>0</v>
      </c>
      <c r="E17" s="674">
        <v>0</v>
      </c>
      <c r="F17" s="674">
        <v>0</v>
      </c>
      <c r="G17" s="674">
        <v>0</v>
      </c>
      <c r="H17" s="674">
        <v>0</v>
      </c>
      <c r="I17" s="674">
        <v>0</v>
      </c>
      <c r="J17" s="674">
        <v>0</v>
      </c>
      <c r="K17" s="674">
        <v>0</v>
      </c>
      <c r="L17" s="674">
        <v>0</v>
      </c>
      <c r="M17" s="674">
        <v>0</v>
      </c>
      <c r="N17" s="674">
        <v>0</v>
      </c>
      <c r="O17" s="674">
        <v>0</v>
      </c>
      <c r="P17" s="676">
        <v>0</v>
      </c>
      <c r="Q17" s="676">
        <v>0</v>
      </c>
      <c r="R17" s="676">
        <v>0</v>
      </c>
      <c r="S17" s="672">
        <v>0</v>
      </c>
    </row>
    <row r="18" spans="1:19">
      <c r="A18" s="621">
        <v>9</v>
      </c>
      <c r="B18" s="622" t="s">
        <v>1017</v>
      </c>
      <c r="C18" s="675">
        <v>0</v>
      </c>
      <c r="D18" s="675">
        <v>0</v>
      </c>
      <c r="E18" s="675">
        <v>0</v>
      </c>
      <c r="F18" s="675">
        <v>0</v>
      </c>
      <c r="G18" s="675">
        <v>0</v>
      </c>
      <c r="H18" s="675">
        <v>0</v>
      </c>
      <c r="I18" s="675">
        <v>0</v>
      </c>
      <c r="J18" s="675">
        <v>0</v>
      </c>
      <c r="K18" s="675">
        <v>0</v>
      </c>
      <c r="L18" s="675">
        <v>0</v>
      </c>
      <c r="M18" s="675">
        <v>0</v>
      </c>
      <c r="N18" s="675">
        <v>0</v>
      </c>
      <c r="O18" s="675">
        <v>0</v>
      </c>
      <c r="P18" s="677">
        <v>0</v>
      </c>
      <c r="Q18" s="677">
        <v>0</v>
      </c>
      <c r="R18" s="677">
        <v>0</v>
      </c>
      <c r="S18" s="673">
        <v>0</v>
      </c>
    </row>
    <row r="19" spans="1:19">
      <c r="A19" s="615">
        <v>10</v>
      </c>
      <c r="B19" s="623" t="s">
        <v>1018</v>
      </c>
      <c r="C19" s="678">
        <v>27389215.836200003</v>
      </c>
      <c r="D19" s="678">
        <v>19799500.439099997</v>
      </c>
      <c r="E19" s="678">
        <v>1998350.94</v>
      </c>
      <c r="F19" s="678">
        <v>4867897.0270999996</v>
      </c>
      <c r="G19" s="678">
        <v>707849.04999999993</v>
      </c>
      <c r="H19" s="678">
        <v>15618.38</v>
      </c>
      <c r="I19" s="678">
        <v>2414369.0304579996</v>
      </c>
      <c r="J19" s="678">
        <v>384621.91900899995</v>
      </c>
      <c r="K19" s="678">
        <v>199835.09268100001</v>
      </c>
      <c r="L19" s="678">
        <v>1460369.1160320002</v>
      </c>
      <c r="M19" s="678">
        <v>353924.52273599996</v>
      </c>
      <c r="N19" s="678">
        <v>15618.38</v>
      </c>
      <c r="O19" s="679">
        <v>1641</v>
      </c>
      <c r="P19" s="680">
        <v>0.11329107451594024</v>
      </c>
      <c r="Q19" s="680">
        <v>0.11982733659399136</v>
      </c>
      <c r="R19" s="680">
        <v>9.5603028281268709E-2</v>
      </c>
      <c r="S19" s="681">
        <v>83.50813060923322</v>
      </c>
    </row>
    <row r="20" spans="1:19" ht="25.5">
      <c r="A20" s="619">
        <v>10.1</v>
      </c>
      <c r="B20" s="620" t="s">
        <v>1019</v>
      </c>
      <c r="C20" s="674"/>
      <c r="D20" s="674"/>
      <c r="E20" s="674"/>
      <c r="F20" s="674"/>
      <c r="G20" s="674"/>
      <c r="H20" s="674"/>
      <c r="I20" s="674"/>
      <c r="J20" s="674"/>
      <c r="K20" s="674"/>
      <c r="L20" s="674"/>
      <c r="M20" s="674"/>
      <c r="N20" s="674"/>
      <c r="O20" s="617"/>
      <c r="P20" s="676"/>
      <c r="Q20" s="676"/>
      <c r="R20" s="676"/>
      <c r="S20" s="67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O43"/>
  <sheetViews>
    <sheetView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5" ht="15.75">
      <c r="A1" s="14" t="s">
        <v>188</v>
      </c>
      <c r="B1" s="1" t="str">
        <f>Info!C2</f>
        <v>სს "ბანკი ქართუ"</v>
      </c>
    </row>
    <row r="2" spans="1:15" ht="15.75">
      <c r="A2" s="14" t="s">
        <v>189</v>
      </c>
      <c r="B2" s="390">
        <f>'1. key ratios'!B2</f>
        <v>44561</v>
      </c>
    </row>
    <row r="3" spans="1:15" ht="15.75">
      <c r="A3" s="14"/>
    </row>
    <row r="4" spans="1:15" ht="16.5" thickBot="1">
      <c r="A4" s="15" t="s">
        <v>406</v>
      </c>
      <c r="B4" s="63" t="s">
        <v>244</v>
      </c>
      <c r="C4" s="15"/>
      <c r="D4" s="25"/>
      <c r="E4" s="25"/>
      <c r="F4" s="26"/>
      <c r="G4" s="26"/>
      <c r="H4" s="27" t="s">
        <v>93</v>
      </c>
    </row>
    <row r="5" spans="1:15" ht="15.75">
      <c r="A5" s="28"/>
      <c r="B5" s="29"/>
      <c r="C5" s="685" t="s">
        <v>194</v>
      </c>
      <c r="D5" s="686"/>
      <c r="E5" s="687"/>
      <c r="F5" s="685" t="s">
        <v>195</v>
      </c>
      <c r="G5" s="686"/>
      <c r="H5" s="688"/>
    </row>
    <row r="6" spans="1:15" ht="15.75">
      <c r="A6" s="30" t="s">
        <v>26</v>
      </c>
      <c r="B6" s="31" t="s">
        <v>153</v>
      </c>
      <c r="C6" s="32" t="s">
        <v>27</v>
      </c>
      <c r="D6" s="32" t="s">
        <v>94</v>
      </c>
      <c r="E6" s="32" t="s">
        <v>68</v>
      </c>
      <c r="F6" s="32" t="s">
        <v>27</v>
      </c>
      <c r="G6" s="32" t="s">
        <v>94</v>
      </c>
      <c r="H6" s="33" t="s">
        <v>68</v>
      </c>
    </row>
    <row r="7" spans="1:15" ht="15.75">
      <c r="A7" s="30">
        <v>1</v>
      </c>
      <c r="B7" s="34" t="s">
        <v>154</v>
      </c>
      <c r="C7" s="509">
        <v>9360386</v>
      </c>
      <c r="D7" s="509">
        <v>17626041</v>
      </c>
      <c r="E7" s="510">
        <f>C7+D7</f>
        <v>26986427</v>
      </c>
      <c r="F7" s="511">
        <v>9417645</v>
      </c>
      <c r="G7" s="512">
        <v>18059764</v>
      </c>
      <c r="H7" s="513">
        <f>F7+G7</f>
        <v>27477409</v>
      </c>
      <c r="J7" s="843"/>
      <c r="K7" s="843"/>
      <c r="L7" s="843"/>
      <c r="M7" s="843"/>
      <c r="N7" s="843"/>
      <c r="O7" s="843"/>
    </row>
    <row r="8" spans="1:15" ht="15.75">
      <c r="A8" s="30">
        <v>2</v>
      </c>
      <c r="B8" s="34" t="s">
        <v>155</v>
      </c>
      <c r="C8" s="509">
        <v>1664881</v>
      </c>
      <c r="D8" s="509">
        <v>202242638</v>
      </c>
      <c r="E8" s="510">
        <f t="shared" ref="E8:E20" si="0">C8+D8</f>
        <v>203907519</v>
      </c>
      <c r="F8" s="511">
        <v>12937606</v>
      </c>
      <c r="G8" s="512">
        <v>206114591</v>
      </c>
      <c r="H8" s="513">
        <f t="shared" ref="H8:H40" si="1">F8+G8</f>
        <v>219052197</v>
      </c>
      <c r="J8" s="843"/>
      <c r="K8" s="843"/>
      <c r="L8" s="843"/>
      <c r="M8" s="843"/>
      <c r="N8" s="843"/>
      <c r="O8" s="843"/>
    </row>
    <row r="9" spans="1:15" ht="15.75">
      <c r="A9" s="30">
        <v>3</v>
      </c>
      <c r="B9" s="34" t="s">
        <v>156</v>
      </c>
      <c r="C9" s="509">
        <v>18663689</v>
      </c>
      <c r="D9" s="509">
        <v>35278627</v>
      </c>
      <c r="E9" s="510">
        <f t="shared" si="0"/>
        <v>53942316</v>
      </c>
      <c r="F9" s="511">
        <v>8587702</v>
      </c>
      <c r="G9" s="512">
        <v>94207886</v>
      </c>
      <c r="H9" s="513">
        <f t="shared" si="1"/>
        <v>102795588</v>
      </c>
      <c r="J9" s="843"/>
      <c r="K9" s="843"/>
      <c r="L9" s="843"/>
      <c r="M9" s="843"/>
      <c r="N9" s="843"/>
      <c r="O9" s="843"/>
    </row>
    <row r="10" spans="1:15" ht="15.75">
      <c r="A10" s="30">
        <v>4</v>
      </c>
      <c r="B10" s="34" t="s">
        <v>185</v>
      </c>
      <c r="C10" s="509">
        <v>0</v>
      </c>
      <c r="D10" s="509">
        <v>0</v>
      </c>
      <c r="E10" s="510">
        <f t="shared" si="0"/>
        <v>0</v>
      </c>
      <c r="F10" s="511">
        <v>0</v>
      </c>
      <c r="G10" s="512">
        <v>0</v>
      </c>
      <c r="H10" s="513">
        <f t="shared" si="1"/>
        <v>0</v>
      </c>
      <c r="J10" s="843"/>
      <c r="K10" s="843"/>
      <c r="L10" s="843"/>
      <c r="M10" s="843"/>
      <c r="N10" s="843"/>
      <c r="O10" s="843"/>
    </row>
    <row r="11" spans="1:15" ht="15.75">
      <c r="A11" s="30">
        <v>5</v>
      </c>
      <c r="B11" s="34" t="s">
        <v>157</v>
      </c>
      <c r="C11" s="509">
        <v>34474340</v>
      </c>
      <c r="D11" s="509">
        <v>15178240</v>
      </c>
      <c r="E11" s="510">
        <f t="shared" si="0"/>
        <v>49652580</v>
      </c>
      <c r="F11" s="511">
        <v>44713273</v>
      </c>
      <c r="G11" s="512">
        <v>16055340</v>
      </c>
      <c r="H11" s="513">
        <f t="shared" si="1"/>
        <v>60768613</v>
      </c>
      <c r="J11" s="843"/>
      <c r="K11" s="843"/>
      <c r="L11" s="843"/>
      <c r="M11" s="843"/>
      <c r="N11" s="843"/>
      <c r="O11" s="843"/>
    </row>
    <row r="12" spans="1:15" ht="15.75">
      <c r="A12" s="30">
        <v>6.1</v>
      </c>
      <c r="B12" s="35" t="s">
        <v>158</v>
      </c>
      <c r="C12" s="509">
        <v>343177576</v>
      </c>
      <c r="D12" s="509">
        <v>621991281</v>
      </c>
      <c r="E12" s="510">
        <f t="shared" si="0"/>
        <v>965168857</v>
      </c>
      <c r="F12" s="511">
        <v>368935070</v>
      </c>
      <c r="G12" s="512">
        <v>720960509</v>
      </c>
      <c r="H12" s="513">
        <f t="shared" si="1"/>
        <v>1089895579</v>
      </c>
      <c r="J12" s="843"/>
      <c r="K12" s="843"/>
      <c r="L12" s="843"/>
      <c r="M12" s="843"/>
      <c r="N12" s="843"/>
      <c r="O12" s="843"/>
    </row>
    <row r="13" spans="1:15" ht="15.75">
      <c r="A13" s="30">
        <v>6.2</v>
      </c>
      <c r="B13" s="35" t="s">
        <v>159</v>
      </c>
      <c r="C13" s="509">
        <v>-60716934</v>
      </c>
      <c r="D13" s="509">
        <v>-98448858</v>
      </c>
      <c r="E13" s="510">
        <f t="shared" si="0"/>
        <v>-159165792</v>
      </c>
      <c r="F13" s="511">
        <v>-61588717</v>
      </c>
      <c r="G13" s="512">
        <v>-113905816</v>
      </c>
      <c r="H13" s="513">
        <f t="shared" si="1"/>
        <v>-175494533</v>
      </c>
      <c r="J13" s="843"/>
      <c r="K13" s="843"/>
      <c r="L13" s="843"/>
      <c r="M13" s="843"/>
      <c r="N13" s="843"/>
      <c r="O13" s="843"/>
    </row>
    <row r="14" spans="1:15" ht="15.75">
      <c r="A14" s="30">
        <v>6</v>
      </c>
      <c r="B14" s="34" t="s">
        <v>160</v>
      </c>
      <c r="C14" s="510">
        <f>C12+C13</f>
        <v>282460642</v>
      </c>
      <c r="D14" s="510">
        <f>D12+D13</f>
        <v>523542423</v>
      </c>
      <c r="E14" s="510">
        <f t="shared" si="0"/>
        <v>806003065</v>
      </c>
      <c r="F14" s="510">
        <f>F12+F13</f>
        <v>307346353</v>
      </c>
      <c r="G14" s="510">
        <f>G12+G13</f>
        <v>607054693</v>
      </c>
      <c r="H14" s="513">
        <f t="shared" si="1"/>
        <v>914401046</v>
      </c>
      <c r="J14" s="843"/>
      <c r="K14" s="843"/>
      <c r="L14" s="843"/>
      <c r="M14" s="843"/>
      <c r="N14" s="843"/>
      <c r="O14" s="843"/>
    </row>
    <row r="15" spans="1:15" ht="15.75">
      <c r="A15" s="30">
        <v>7</v>
      </c>
      <c r="B15" s="34" t="s">
        <v>161</v>
      </c>
      <c r="C15" s="509">
        <v>13679325</v>
      </c>
      <c r="D15" s="509">
        <v>6457357</v>
      </c>
      <c r="E15" s="510">
        <f t="shared" si="0"/>
        <v>20136682</v>
      </c>
      <c r="F15" s="511">
        <v>9268391</v>
      </c>
      <c r="G15" s="512">
        <v>4844116</v>
      </c>
      <c r="H15" s="513">
        <f t="shared" si="1"/>
        <v>14112507</v>
      </c>
      <c r="J15" s="843"/>
      <c r="K15" s="843"/>
      <c r="L15" s="843"/>
      <c r="M15" s="843"/>
      <c r="N15" s="843"/>
      <c r="O15" s="843"/>
    </row>
    <row r="16" spans="1:15" ht="15.75">
      <c r="A16" s="30">
        <v>8</v>
      </c>
      <c r="B16" s="34" t="s">
        <v>162</v>
      </c>
      <c r="C16" s="509">
        <v>15691955</v>
      </c>
      <c r="D16" s="509" t="s">
        <v>1052</v>
      </c>
      <c r="E16" s="510">
        <f>C16</f>
        <v>15691955</v>
      </c>
      <c r="F16" s="511">
        <v>4800318</v>
      </c>
      <c r="G16" s="512" t="s">
        <v>1052</v>
      </c>
      <c r="H16" s="513">
        <f t="shared" ref="H16:H18" si="2">F16</f>
        <v>4800318</v>
      </c>
      <c r="J16" s="843"/>
      <c r="K16" s="843"/>
      <c r="L16" s="843"/>
      <c r="M16" s="843"/>
      <c r="N16" s="843"/>
      <c r="O16" s="843"/>
    </row>
    <row r="17" spans="1:15" ht="15.75">
      <c r="A17" s="30">
        <v>9</v>
      </c>
      <c r="B17" s="34" t="s">
        <v>163</v>
      </c>
      <c r="C17" s="509">
        <v>7793239</v>
      </c>
      <c r="D17" s="509">
        <v>0</v>
      </c>
      <c r="E17" s="510">
        <f t="shared" si="0"/>
        <v>7793239</v>
      </c>
      <c r="F17" s="511">
        <v>7793239</v>
      </c>
      <c r="G17" s="512">
        <v>0</v>
      </c>
      <c r="H17" s="513">
        <f t="shared" si="1"/>
        <v>7793239</v>
      </c>
      <c r="J17" s="843"/>
      <c r="K17" s="843"/>
      <c r="L17" s="843"/>
      <c r="M17" s="843"/>
      <c r="N17" s="843"/>
      <c r="O17" s="843"/>
    </row>
    <row r="18" spans="1:15" ht="15.75">
      <c r="A18" s="30">
        <v>10</v>
      </c>
      <c r="B18" s="34" t="s">
        <v>164</v>
      </c>
      <c r="C18" s="509">
        <v>20363424</v>
      </c>
      <c r="D18" s="509" t="s">
        <v>1052</v>
      </c>
      <c r="E18" s="510">
        <f>C18</f>
        <v>20363424</v>
      </c>
      <c r="F18" s="511">
        <v>20632920</v>
      </c>
      <c r="G18" s="512" t="s">
        <v>1052</v>
      </c>
      <c r="H18" s="513">
        <f t="shared" si="2"/>
        <v>20632920</v>
      </c>
      <c r="J18" s="843"/>
      <c r="K18" s="843"/>
      <c r="L18" s="843"/>
      <c r="M18" s="843"/>
      <c r="N18" s="843"/>
      <c r="O18" s="843"/>
    </row>
    <row r="19" spans="1:15" ht="15.75">
      <c r="A19" s="30">
        <v>11</v>
      </c>
      <c r="B19" s="34" t="s">
        <v>165</v>
      </c>
      <c r="C19" s="509">
        <v>17320900</v>
      </c>
      <c r="D19" s="509">
        <v>2093200</v>
      </c>
      <c r="E19" s="510">
        <f t="shared" si="0"/>
        <v>19414100</v>
      </c>
      <c r="F19" s="511">
        <v>33748537</v>
      </c>
      <c r="G19" s="512">
        <v>695015</v>
      </c>
      <c r="H19" s="513">
        <f t="shared" si="1"/>
        <v>34443552</v>
      </c>
      <c r="J19" s="843"/>
      <c r="K19" s="843"/>
      <c r="L19" s="843"/>
      <c r="M19" s="843"/>
      <c r="N19" s="843"/>
      <c r="O19" s="843"/>
    </row>
    <row r="20" spans="1:15" ht="15.75">
      <c r="A20" s="30">
        <v>12</v>
      </c>
      <c r="B20" s="36" t="s">
        <v>166</v>
      </c>
      <c r="C20" s="510">
        <f>SUM(C7:C11)+SUM(C14:C19)</f>
        <v>421472781</v>
      </c>
      <c r="D20" s="510">
        <f>SUM(D7:D11)+SUM(D14:D19)</f>
        <v>802418526</v>
      </c>
      <c r="E20" s="510">
        <f t="shared" si="0"/>
        <v>1223891307</v>
      </c>
      <c r="F20" s="510">
        <f>SUM(F7:F11)+SUM(F14:F19)</f>
        <v>459245984</v>
      </c>
      <c r="G20" s="510">
        <f>SUM(G7:G11)+SUM(G14:G19)</f>
        <v>947031405</v>
      </c>
      <c r="H20" s="513">
        <f t="shared" si="1"/>
        <v>1406277389</v>
      </c>
      <c r="J20" s="843"/>
      <c r="K20" s="843"/>
      <c r="L20" s="843"/>
      <c r="M20" s="843"/>
      <c r="N20" s="843"/>
      <c r="O20" s="843"/>
    </row>
    <row r="21" spans="1:15" ht="15.75">
      <c r="A21" s="30"/>
      <c r="B21" s="31" t="s">
        <v>183</v>
      </c>
      <c r="C21" s="514" t="s">
        <v>956</v>
      </c>
      <c r="D21" s="514"/>
      <c r="E21" s="514"/>
      <c r="F21" s="515" t="s">
        <v>956</v>
      </c>
      <c r="G21" s="516"/>
      <c r="H21" s="517"/>
      <c r="J21" s="843"/>
      <c r="K21" s="843"/>
      <c r="L21" s="843"/>
      <c r="M21" s="843"/>
      <c r="N21" s="843"/>
      <c r="O21" s="843"/>
    </row>
    <row r="22" spans="1:15" ht="15.75">
      <c r="A22" s="30">
        <v>13</v>
      </c>
      <c r="B22" s="34" t="s">
        <v>167</v>
      </c>
      <c r="C22" s="509">
        <v>53500</v>
      </c>
      <c r="D22" s="509">
        <v>108783</v>
      </c>
      <c r="E22" s="510">
        <f>C22+D22</f>
        <v>162283</v>
      </c>
      <c r="F22" s="511">
        <v>50867</v>
      </c>
      <c r="G22" s="512">
        <v>113456</v>
      </c>
      <c r="H22" s="513">
        <f t="shared" si="1"/>
        <v>164323</v>
      </c>
      <c r="J22" s="843"/>
      <c r="K22" s="843"/>
      <c r="L22" s="843"/>
      <c r="M22" s="843"/>
      <c r="N22" s="843"/>
      <c r="O22" s="843"/>
    </row>
    <row r="23" spans="1:15" ht="15.75">
      <c r="A23" s="30">
        <v>14</v>
      </c>
      <c r="B23" s="34" t="s">
        <v>168</v>
      </c>
      <c r="C23" s="509">
        <v>42721323</v>
      </c>
      <c r="D23" s="509">
        <v>274656163</v>
      </c>
      <c r="E23" s="510">
        <f t="shared" ref="E23:E30" si="3">C23+D23</f>
        <v>317377486</v>
      </c>
      <c r="F23" s="511">
        <v>54435707</v>
      </c>
      <c r="G23" s="512">
        <v>319294019</v>
      </c>
      <c r="H23" s="513">
        <f t="shared" si="1"/>
        <v>373729726</v>
      </c>
      <c r="J23" s="843"/>
      <c r="K23" s="843"/>
      <c r="L23" s="843"/>
      <c r="M23" s="843"/>
      <c r="N23" s="843"/>
      <c r="O23" s="843"/>
    </row>
    <row r="24" spans="1:15" ht="15.75">
      <c r="A24" s="30">
        <v>15</v>
      </c>
      <c r="B24" s="34" t="s">
        <v>169</v>
      </c>
      <c r="C24" s="509">
        <v>16637124</v>
      </c>
      <c r="D24" s="509">
        <v>42153984</v>
      </c>
      <c r="E24" s="510">
        <f t="shared" si="3"/>
        <v>58791108</v>
      </c>
      <c r="F24" s="511">
        <v>14801176</v>
      </c>
      <c r="G24" s="512">
        <v>57357879</v>
      </c>
      <c r="H24" s="513">
        <f t="shared" si="1"/>
        <v>72159055</v>
      </c>
      <c r="J24" s="843"/>
      <c r="K24" s="843"/>
      <c r="L24" s="843"/>
      <c r="M24" s="843"/>
      <c r="N24" s="843"/>
      <c r="O24" s="843"/>
    </row>
    <row r="25" spans="1:15" ht="15.75">
      <c r="A25" s="30">
        <v>16</v>
      </c>
      <c r="B25" s="34" t="s">
        <v>170</v>
      </c>
      <c r="C25" s="509">
        <v>82343244</v>
      </c>
      <c r="D25" s="509">
        <v>415813357</v>
      </c>
      <c r="E25" s="510">
        <f t="shared" si="3"/>
        <v>498156601</v>
      </c>
      <c r="F25" s="511">
        <v>74147951</v>
      </c>
      <c r="G25" s="512">
        <v>455234280</v>
      </c>
      <c r="H25" s="513">
        <f t="shared" si="1"/>
        <v>529382231</v>
      </c>
      <c r="J25" s="843"/>
      <c r="K25" s="843"/>
      <c r="L25" s="843"/>
      <c r="M25" s="843"/>
      <c r="N25" s="843"/>
      <c r="O25" s="843"/>
    </row>
    <row r="26" spans="1:15" ht="15.75">
      <c r="A26" s="30">
        <v>17</v>
      </c>
      <c r="B26" s="34" t="s">
        <v>171</v>
      </c>
      <c r="C26" s="514"/>
      <c r="D26" s="514"/>
      <c r="E26" s="510">
        <f t="shared" si="3"/>
        <v>0</v>
      </c>
      <c r="F26" s="515"/>
      <c r="G26" s="516"/>
      <c r="H26" s="513">
        <f t="shared" si="1"/>
        <v>0</v>
      </c>
      <c r="J26" s="843"/>
      <c r="K26" s="843"/>
      <c r="L26" s="843"/>
      <c r="M26" s="843"/>
      <c r="N26" s="843"/>
      <c r="O26" s="843"/>
    </row>
    <row r="27" spans="1:15" ht="15.75">
      <c r="A27" s="30">
        <v>18</v>
      </c>
      <c r="B27" s="34" t="s">
        <v>172</v>
      </c>
      <c r="C27" s="509">
        <v>0</v>
      </c>
      <c r="D27" s="509">
        <v>0</v>
      </c>
      <c r="E27" s="510">
        <f t="shared" si="3"/>
        <v>0</v>
      </c>
      <c r="F27" s="511">
        <v>0</v>
      </c>
      <c r="G27" s="512">
        <v>0</v>
      </c>
      <c r="H27" s="513">
        <f t="shared" si="1"/>
        <v>0</v>
      </c>
      <c r="J27" s="843"/>
      <c r="K27" s="843"/>
      <c r="L27" s="843"/>
      <c r="M27" s="843"/>
      <c r="N27" s="843"/>
      <c r="O27" s="843"/>
    </row>
    <row r="28" spans="1:15" ht="15.75">
      <c r="A28" s="30">
        <v>19</v>
      </c>
      <c r="B28" s="34" t="s">
        <v>173</v>
      </c>
      <c r="C28" s="509">
        <v>6539409</v>
      </c>
      <c r="D28" s="509">
        <v>7307914</v>
      </c>
      <c r="E28" s="510">
        <f t="shared" si="3"/>
        <v>13847323</v>
      </c>
      <c r="F28" s="511">
        <v>3113621</v>
      </c>
      <c r="G28" s="512">
        <v>9792586</v>
      </c>
      <c r="H28" s="513">
        <f t="shared" si="1"/>
        <v>12906207</v>
      </c>
      <c r="J28" s="843"/>
      <c r="K28" s="843"/>
      <c r="L28" s="843"/>
      <c r="M28" s="843"/>
      <c r="N28" s="843"/>
      <c r="O28" s="843"/>
    </row>
    <row r="29" spans="1:15" ht="15.75">
      <c r="A29" s="30">
        <v>20</v>
      </c>
      <c r="B29" s="34" t="s">
        <v>95</v>
      </c>
      <c r="C29" s="509">
        <v>11241960</v>
      </c>
      <c r="D29" s="509">
        <v>10365108</v>
      </c>
      <c r="E29" s="510">
        <f t="shared" si="3"/>
        <v>21607068</v>
      </c>
      <c r="F29" s="511">
        <v>20383835</v>
      </c>
      <c r="G29" s="512">
        <v>3107659</v>
      </c>
      <c r="H29" s="513">
        <f t="shared" si="1"/>
        <v>23491494</v>
      </c>
      <c r="J29" s="843"/>
      <c r="K29" s="843"/>
      <c r="L29" s="843"/>
      <c r="M29" s="843"/>
      <c r="N29" s="843"/>
      <c r="O29" s="843"/>
    </row>
    <row r="30" spans="1:15" ht="15.75">
      <c r="A30" s="30">
        <v>21</v>
      </c>
      <c r="B30" s="34" t="s">
        <v>174</v>
      </c>
      <c r="C30" s="509">
        <v>0</v>
      </c>
      <c r="D30" s="509">
        <v>120806400</v>
      </c>
      <c r="E30" s="510">
        <f t="shared" si="3"/>
        <v>120806400</v>
      </c>
      <c r="F30" s="511">
        <v>0</v>
      </c>
      <c r="G30" s="512">
        <v>214944960</v>
      </c>
      <c r="H30" s="513">
        <f t="shared" si="1"/>
        <v>214944960</v>
      </c>
      <c r="J30" s="843"/>
      <c r="K30" s="843"/>
      <c r="L30" s="843"/>
      <c r="M30" s="843"/>
      <c r="N30" s="843"/>
      <c r="O30" s="843"/>
    </row>
    <row r="31" spans="1:15" ht="15.75">
      <c r="A31" s="30">
        <v>22</v>
      </c>
      <c r="B31" s="36" t="s">
        <v>175</v>
      </c>
      <c r="C31" s="510">
        <f>SUM(C22:C30)</f>
        <v>159536560</v>
      </c>
      <c r="D31" s="510">
        <f>SUM(D22:D30)</f>
        <v>871211709</v>
      </c>
      <c r="E31" s="510">
        <f>C31+D31</f>
        <v>1030748269</v>
      </c>
      <c r="F31" s="510">
        <f>SUM(F22:F30)</f>
        <v>166933157</v>
      </c>
      <c r="G31" s="510">
        <f>SUM(G22:G30)</f>
        <v>1059844839</v>
      </c>
      <c r="H31" s="513">
        <f t="shared" si="1"/>
        <v>1226777996</v>
      </c>
      <c r="J31" s="843"/>
      <c r="K31" s="843"/>
      <c r="L31" s="843"/>
      <c r="M31" s="843"/>
      <c r="N31" s="843"/>
      <c r="O31" s="843"/>
    </row>
    <row r="32" spans="1:15" ht="15.75">
      <c r="A32" s="30"/>
      <c r="B32" s="31" t="s">
        <v>184</v>
      </c>
      <c r="C32" s="514"/>
      <c r="D32" s="514"/>
      <c r="E32" s="509"/>
      <c r="F32" s="515"/>
      <c r="G32" s="516"/>
      <c r="H32" s="517"/>
      <c r="J32" s="843"/>
      <c r="K32" s="843"/>
      <c r="L32" s="843"/>
      <c r="M32" s="843"/>
      <c r="N32" s="843"/>
      <c r="O32" s="843"/>
    </row>
    <row r="33" spans="1:15" ht="15.75">
      <c r="A33" s="30">
        <v>23</v>
      </c>
      <c r="B33" s="34" t="s">
        <v>176</v>
      </c>
      <c r="C33" s="509">
        <v>114430000</v>
      </c>
      <c r="D33" s="514"/>
      <c r="E33" s="510">
        <f>C33</f>
        <v>114430000</v>
      </c>
      <c r="F33" s="511">
        <v>114430000</v>
      </c>
      <c r="G33" s="516"/>
      <c r="H33" s="513">
        <f t="shared" si="1"/>
        <v>114430000</v>
      </c>
      <c r="J33" s="843"/>
      <c r="K33" s="843"/>
      <c r="L33" s="843"/>
      <c r="M33" s="843"/>
      <c r="N33" s="843"/>
      <c r="O33" s="843"/>
    </row>
    <row r="34" spans="1:15" ht="15.75">
      <c r="A34" s="30">
        <v>24</v>
      </c>
      <c r="B34" s="34" t="s">
        <v>177</v>
      </c>
      <c r="C34" s="509">
        <v>0</v>
      </c>
      <c r="D34" s="514"/>
      <c r="E34" s="510">
        <f t="shared" ref="E34:E40" si="4">C34</f>
        <v>0</v>
      </c>
      <c r="F34" s="511">
        <v>0</v>
      </c>
      <c r="G34" s="516"/>
      <c r="H34" s="513">
        <f t="shared" si="1"/>
        <v>0</v>
      </c>
      <c r="J34" s="843"/>
      <c r="K34" s="843"/>
      <c r="L34" s="843"/>
      <c r="M34" s="843"/>
      <c r="N34" s="843"/>
      <c r="O34" s="843"/>
    </row>
    <row r="35" spans="1:15" ht="15.75">
      <c r="A35" s="30">
        <v>25</v>
      </c>
      <c r="B35" s="35" t="s">
        <v>178</v>
      </c>
      <c r="C35" s="509">
        <v>0</v>
      </c>
      <c r="D35" s="514"/>
      <c r="E35" s="510">
        <f t="shared" si="4"/>
        <v>0</v>
      </c>
      <c r="F35" s="511">
        <v>0</v>
      </c>
      <c r="G35" s="516"/>
      <c r="H35" s="513">
        <f t="shared" si="1"/>
        <v>0</v>
      </c>
      <c r="J35" s="843"/>
      <c r="K35" s="843"/>
      <c r="L35" s="843"/>
      <c r="M35" s="843"/>
      <c r="N35" s="843"/>
      <c r="O35" s="843"/>
    </row>
    <row r="36" spans="1:15" ht="15.75">
      <c r="A36" s="30">
        <v>26</v>
      </c>
      <c r="B36" s="34" t="s">
        <v>179</v>
      </c>
      <c r="C36" s="509">
        <v>0</v>
      </c>
      <c r="D36" s="514"/>
      <c r="E36" s="510">
        <f t="shared" si="4"/>
        <v>0</v>
      </c>
      <c r="F36" s="511">
        <v>0</v>
      </c>
      <c r="G36" s="516"/>
      <c r="H36" s="513">
        <f t="shared" si="1"/>
        <v>0</v>
      </c>
      <c r="J36" s="843"/>
      <c r="K36" s="843"/>
      <c r="L36" s="843"/>
      <c r="M36" s="843"/>
      <c r="N36" s="843"/>
      <c r="O36" s="843"/>
    </row>
    <row r="37" spans="1:15" ht="15.75">
      <c r="A37" s="30">
        <v>27</v>
      </c>
      <c r="B37" s="34" t="s">
        <v>180</v>
      </c>
      <c r="C37" s="509">
        <v>7438034</v>
      </c>
      <c r="D37" s="514"/>
      <c r="E37" s="510">
        <f t="shared" si="4"/>
        <v>7438034</v>
      </c>
      <c r="F37" s="511">
        <v>7438034</v>
      </c>
      <c r="G37" s="516"/>
      <c r="H37" s="513">
        <f t="shared" si="1"/>
        <v>7438034</v>
      </c>
      <c r="J37" s="843"/>
      <c r="K37" s="843"/>
      <c r="L37" s="843"/>
      <c r="M37" s="843"/>
      <c r="N37" s="843"/>
      <c r="O37" s="843"/>
    </row>
    <row r="38" spans="1:15" ht="15.75">
      <c r="A38" s="30">
        <v>28</v>
      </c>
      <c r="B38" s="34" t="s">
        <v>181</v>
      </c>
      <c r="C38" s="509">
        <v>71407664</v>
      </c>
      <c r="D38" s="514"/>
      <c r="E38" s="510">
        <f t="shared" si="4"/>
        <v>71407664</v>
      </c>
      <c r="F38" s="511">
        <v>57389169</v>
      </c>
      <c r="G38" s="516"/>
      <c r="H38" s="513">
        <f t="shared" si="1"/>
        <v>57389169</v>
      </c>
      <c r="J38" s="843"/>
      <c r="K38" s="843"/>
      <c r="L38" s="843"/>
      <c r="M38" s="843"/>
      <c r="N38" s="843"/>
      <c r="O38" s="843"/>
    </row>
    <row r="39" spans="1:15" ht="15.75">
      <c r="A39" s="30">
        <v>29</v>
      </c>
      <c r="B39" s="34" t="s">
        <v>196</v>
      </c>
      <c r="C39" s="509">
        <v>-132660</v>
      </c>
      <c r="D39" s="514"/>
      <c r="E39" s="510">
        <f t="shared" si="4"/>
        <v>-132660</v>
      </c>
      <c r="F39" s="511">
        <v>242190</v>
      </c>
      <c r="G39" s="516"/>
      <c r="H39" s="513">
        <f t="shared" si="1"/>
        <v>242190</v>
      </c>
      <c r="J39" s="843"/>
      <c r="K39" s="843"/>
      <c r="L39" s="843"/>
      <c r="M39" s="843"/>
      <c r="N39" s="843"/>
      <c r="O39" s="843"/>
    </row>
    <row r="40" spans="1:15" ht="15.75">
      <c r="A40" s="30">
        <v>30</v>
      </c>
      <c r="B40" s="36" t="s">
        <v>182</v>
      </c>
      <c r="C40" s="509">
        <v>193143038</v>
      </c>
      <c r="D40" s="514"/>
      <c r="E40" s="510">
        <f t="shared" si="4"/>
        <v>193143038</v>
      </c>
      <c r="F40" s="511">
        <v>179499393</v>
      </c>
      <c r="G40" s="516"/>
      <c r="H40" s="513">
        <f t="shared" si="1"/>
        <v>179499393</v>
      </c>
      <c r="J40" s="843"/>
      <c r="K40" s="843"/>
      <c r="L40" s="843"/>
      <c r="M40" s="843"/>
      <c r="N40" s="843"/>
      <c r="O40" s="843"/>
    </row>
    <row r="41" spans="1:15" ht="16.5" thickBot="1">
      <c r="A41" s="37">
        <v>31</v>
      </c>
      <c r="B41" s="38" t="s">
        <v>197</v>
      </c>
      <c r="C41" s="216">
        <f>C31+C40</f>
        <v>352679598</v>
      </c>
      <c r="D41" s="216">
        <f>D31+D40</f>
        <v>871211709</v>
      </c>
      <c r="E41" s="216">
        <f>C41+D41</f>
        <v>1223891307</v>
      </c>
      <c r="F41" s="216">
        <f>F31+F40</f>
        <v>346432550</v>
      </c>
      <c r="G41" s="216">
        <f>G31+G40</f>
        <v>1059844839</v>
      </c>
      <c r="H41" s="217">
        <f>F41+G41</f>
        <v>1406277389</v>
      </c>
      <c r="J41" s="843"/>
      <c r="K41" s="843"/>
      <c r="L41" s="843"/>
      <c r="M41" s="843"/>
      <c r="N41" s="843"/>
      <c r="O41" s="843"/>
    </row>
    <row r="43" spans="1:15">
      <c r="B43" s="39"/>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63" zoomScale="85" zoomScaleNormal="85" workbookViewId="0">
      <selection sqref="A1:C1"/>
    </sheetView>
  </sheetViews>
  <sheetFormatPr defaultColWidth="43.5703125" defaultRowHeight="11.25"/>
  <cols>
    <col min="1" max="1" width="8" style="664" customWidth="1"/>
    <col min="2" max="2" width="66.28515625" style="670" customWidth="1"/>
    <col min="3" max="3" width="131.42578125" style="671" customWidth="1"/>
    <col min="4" max="5" width="10.28515625" style="624" customWidth="1"/>
    <col min="6" max="16384" width="43.5703125" style="624"/>
  </cols>
  <sheetData>
    <row r="1" spans="1:3" ht="12.75" thickTop="1" thickBot="1">
      <c r="A1" s="794" t="s">
        <v>326</v>
      </c>
      <c r="B1" s="795"/>
      <c r="C1" s="796"/>
    </row>
    <row r="2" spans="1:3" ht="26.25" customHeight="1">
      <c r="A2" s="625"/>
      <c r="B2" s="797" t="s">
        <v>327</v>
      </c>
      <c r="C2" s="797"/>
    </row>
    <row r="3" spans="1:3" s="627" customFormat="1" ht="11.25" customHeight="1">
      <c r="A3" s="626"/>
      <c r="B3" s="797" t="s">
        <v>419</v>
      </c>
      <c r="C3" s="797"/>
    </row>
    <row r="4" spans="1:3" ht="12" customHeight="1" thickBot="1">
      <c r="A4" s="798" t="s">
        <v>423</v>
      </c>
      <c r="B4" s="799"/>
      <c r="C4" s="800"/>
    </row>
    <row r="5" spans="1:3" ht="12" thickTop="1">
      <c r="A5" s="628"/>
      <c r="B5" s="801" t="s">
        <v>328</v>
      </c>
      <c r="C5" s="802"/>
    </row>
    <row r="6" spans="1:3">
      <c r="A6" s="625"/>
      <c r="B6" s="788" t="s">
        <v>420</v>
      </c>
      <c r="C6" s="789"/>
    </row>
    <row r="7" spans="1:3">
      <c r="A7" s="625"/>
      <c r="B7" s="788" t="s">
        <v>329</v>
      </c>
      <c r="C7" s="789"/>
    </row>
    <row r="8" spans="1:3">
      <c r="A8" s="625"/>
      <c r="B8" s="788" t="s">
        <v>421</v>
      </c>
      <c r="C8" s="789"/>
    </row>
    <row r="9" spans="1:3">
      <c r="A9" s="625"/>
      <c r="B9" s="790" t="s">
        <v>422</v>
      </c>
      <c r="C9" s="791"/>
    </row>
    <row r="10" spans="1:3">
      <c r="A10" s="625"/>
      <c r="B10" s="792" t="s">
        <v>330</v>
      </c>
      <c r="C10" s="793" t="s">
        <v>330</v>
      </c>
    </row>
    <row r="11" spans="1:3">
      <c r="A11" s="625"/>
      <c r="B11" s="792" t="s">
        <v>331</v>
      </c>
      <c r="C11" s="793" t="s">
        <v>331</v>
      </c>
    </row>
    <row r="12" spans="1:3">
      <c r="A12" s="625"/>
      <c r="B12" s="792" t="s">
        <v>332</v>
      </c>
      <c r="C12" s="793" t="s">
        <v>332</v>
      </c>
    </row>
    <row r="13" spans="1:3">
      <c r="A13" s="625"/>
      <c r="B13" s="792" t="s">
        <v>333</v>
      </c>
      <c r="C13" s="793" t="s">
        <v>333</v>
      </c>
    </row>
    <row r="14" spans="1:3">
      <c r="A14" s="625"/>
      <c r="B14" s="792" t="s">
        <v>334</v>
      </c>
      <c r="C14" s="793" t="s">
        <v>334</v>
      </c>
    </row>
    <row r="15" spans="1:3" ht="21.75" customHeight="1">
      <c r="A15" s="625"/>
      <c r="B15" s="792" t="s">
        <v>335</v>
      </c>
      <c r="C15" s="793" t="s">
        <v>335</v>
      </c>
    </row>
    <row r="16" spans="1:3">
      <c r="A16" s="625"/>
      <c r="B16" s="792" t="s">
        <v>336</v>
      </c>
      <c r="C16" s="793" t="s">
        <v>337</v>
      </c>
    </row>
    <row r="17" spans="1:3">
      <c r="A17" s="625"/>
      <c r="B17" s="792" t="s">
        <v>338</v>
      </c>
      <c r="C17" s="793" t="s">
        <v>339</v>
      </c>
    </row>
    <row r="18" spans="1:3">
      <c r="A18" s="625"/>
      <c r="B18" s="792" t="s">
        <v>340</v>
      </c>
      <c r="C18" s="793" t="s">
        <v>341</v>
      </c>
    </row>
    <row r="19" spans="1:3">
      <c r="A19" s="625"/>
      <c r="B19" s="792" t="s">
        <v>342</v>
      </c>
      <c r="C19" s="793" t="s">
        <v>342</v>
      </c>
    </row>
    <row r="20" spans="1:3">
      <c r="A20" s="625"/>
      <c r="B20" s="792" t="s">
        <v>343</v>
      </c>
      <c r="C20" s="793" t="s">
        <v>343</v>
      </c>
    </row>
    <row r="21" spans="1:3">
      <c r="A21" s="625"/>
      <c r="B21" s="792" t="s">
        <v>344</v>
      </c>
      <c r="C21" s="793" t="s">
        <v>344</v>
      </c>
    </row>
    <row r="22" spans="1:3" ht="23.25" customHeight="1">
      <c r="A22" s="625"/>
      <c r="B22" s="792" t="s">
        <v>345</v>
      </c>
      <c r="C22" s="793" t="s">
        <v>346</v>
      </c>
    </row>
    <row r="23" spans="1:3">
      <c r="A23" s="625"/>
      <c r="B23" s="792" t="s">
        <v>347</v>
      </c>
      <c r="C23" s="793" t="s">
        <v>347</v>
      </c>
    </row>
    <row r="24" spans="1:3">
      <c r="A24" s="625"/>
      <c r="B24" s="792" t="s">
        <v>348</v>
      </c>
      <c r="C24" s="793" t="s">
        <v>349</v>
      </c>
    </row>
    <row r="25" spans="1:3" ht="12" thickBot="1">
      <c r="A25" s="629"/>
      <c r="B25" s="805" t="s">
        <v>350</v>
      </c>
      <c r="C25" s="806"/>
    </row>
    <row r="26" spans="1:3" ht="12.75" thickTop="1" thickBot="1">
      <c r="A26" s="798" t="s">
        <v>433</v>
      </c>
      <c r="B26" s="799"/>
      <c r="C26" s="800"/>
    </row>
    <row r="27" spans="1:3" ht="12.75" thickTop="1" thickBot="1">
      <c r="A27" s="630"/>
      <c r="B27" s="807" t="s">
        <v>351</v>
      </c>
      <c r="C27" s="808"/>
    </row>
    <row r="28" spans="1:3" ht="12.75" thickTop="1" thickBot="1">
      <c r="A28" s="798" t="s">
        <v>424</v>
      </c>
      <c r="B28" s="799"/>
      <c r="C28" s="800"/>
    </row>
    <row r="29" spans="1:3" ht="12" thickTop="1">
      <c r="A29" s="628"/>
      <c r="B29" s="809" t="s">
        <v>352</v>
      </c>
      <c r="C29" s="810" t="s">
        <v>353</v>
      </c>
    </row>
    <row r="30" spans="1:3">
      <c r="A30" s="625"/>
      <c r="B30" s="803" t="s">
        <v>354</v>
      </c>
      <c r="C30" s="804" t="s">
        <v>355</v>
      </c>
    </row>
    <row r="31" spans="1:3">
      <c r="A31" s="625"/>
      <c r="B31" s="803" t="s">
        <v>356</v>
      </c>
      <c r="C31" s="804" t="s">
        <v>357</v>
      </c>
    </row>
    <row r="32" spans="1:3">
      <c r="A32" s="625"/>
      <c r="B32" s="803" t="s">
        <v>358</v>
      </c>
      <c r="C32" s="804" t="s">
        <v>359</v>
      </c>
    </row>
    <row r="33" spans="1:3">
      <c r="A33" s="625"/>
      <c r="B33" s="803" t="s">
        <v>360</v>
      </c>
      <c r="C33" s="804" t="s">
        <v>361</v>
      </c>
    </row>
    <row r="34" spans="1:3">
      <c r="A34" s="625"/>
      <c r="B34" s="803" t="s">
        <v>362</v>
      </c>
      <c r="C34" s="804" t="s">
        <v>363</v>
      </c>
    </row>
    <row r="35" spans="1:3" ht="23.25" customHeight="1">
      <c r="A35" s="625"/>
      <c r="B35" s="803" t="s">
        <v>364</v>
      </c>
      <c r="C35" s="804" t="s">
        <v>365</v>
      </c>
    </row>
    <row r="36" spans="1:3" ht="24" customHeight="1">
      <c r="A36" s="625"/>
      <c r="B36" s="803" t="s">
        <v>366</v>
      </c>
      <c r="C36" s="804" t="s">
        <v>367</v>
      </c>
    </row>
    <row r="37" spans="1:3" ht="24.75" customHeight="1">
      <c r="A37" s="625"/>
      <c r="B37" s="803" t="s">
        <v>368</v>
      </c>
      <c r="C37" s="804" t="s">
        <v>369</v>
      </c>
    </row>
    <row r="38" spans="1:3" ht="23.25" customHeight="1">
      <c r="A38" s="625"/>
      <c r="B38" s="803" t="s">
        <v>425</v>
      </c>
      <c r="C38" s="804" t="s">
        <v>370</v>
      </c>
    </row>
    <row r="39" spans="1:3" ht="39.75" customHeight="1">
      <c r="A39" s="625"/>
      <c r="B39" s="792" t="s">
        <v>439</v>
      </c>
      <c r="C39" s="793" t="s">
        <v>371</v>
      </c>
    </row>
    <row r="40" spans="1:3" ht="12" customHeight="1">
      <c r="A40" s="625"/>
      <c r="B40" s="803" t="s">
        <v>372</v>
      </c>
      <c r="C40" s="804" t="s">
        <v>373</v>
      </c>
    </row>
    <row r="41" spans="1:3" ht="27" customHeight="1" thickBot="1">
      <c r="A41" s="629"/>
      <c r="B41" s="813" t="s">
        <v>374</v>
      </c>
      <c r="C41" s="814" t="s">
        <v>375</v>
      </c>
    </row>
    <row r="42" spans="1:3" ht="12.75" thickTop="1" thickBot="1">
      <c r="A42" s="798" t="s">
        <v>426</v>
      </c>
      <c r="B42" s="799"/>
      <c r="C42" s="800"/>
    </row>
    <row r="43" spans="1:3" ht="12" thickTop="1">
      <c r="A43" s="628"/>
      <c r="B43" s="801" t="s">
        <v>462</v>
      </c>
      <c r="C43" s="802" t="s">
        <v>376</v>
      </c>
    </row>
    <row r="44" spans="1:3">
      <c r="A44" s="625"/>
      <c r="B44" s="788" t="s">
        <v>461</v>
      </c>
      <c r="C44" s="789"/>
    </row>
    <row r="45" spans="1:3" ht="23.25" customHeight="1" thickBot="1">
      <c r="A45" s="629"/>
      <c r="B45" s="811" t="s">
        <v>377</v>
      </c>
      <c r="C45" s="812" t="s">
        <v>378</v>
      </c>
    </row>
    <row r="46" spans="1:3" ht="11.25" customHeight="1" thickTop="1" thickBot="1">
      <c r="A46" s="798" t="s">
        <v>427</v>
      </c>
      <c r="B46" s="799"/>
      <c r="C46" s="800"/>
    </row>
    <row r="47" spans="1:3" ht="26.25" customHeight="1" thickTop="1">
      <c r="A47" s="625"/>
      <c r="B47" s="788" t="s">
        <v>428</v>
      </c>
      <c r="C47" s="789"/>
    </row>
    <row r="48" spans="1:3" ht="12" thickBot="1">
      <c r="A48" s="798" t="s">
        <v>429</v>
      </c>
      <c r="B48" s="799"/>
      <c r="C48" s="800"/>
    </row>
    <row r="49" spans="1:3" ht="12" thickTop="1">
      <c r="A49" s="628"/>
      <c r="B49" s="801" t="s">
        <v>379</v>
      </c>
      <c r="C49" s="802" t="s">
        <v>379</v>
      </c>
    </row>
    <row r="50" spans="1:3" ht="11.25" customHeight="1">
      <c r="A50" s="625"/>
      <c r="B50" s="788" t="s">
        <v>380</v>
      </c>
      <c r="C50" s="789" t="s">
        <v>380</v>
      </c>
    </row>
    <row r="51" spans="1:3">
      <c r="A51" s="625"/>
      <c r="B51" s="788" t="s">
        <v>381</v>
      </c>
      <c r="C51" s="789" t="s">
        <v>381</v>
      </c>
    </row>
    <row r="52" spans="1:3" ht="11.25" customHeight="1">
      <c r="A52" s="625"/>
      <c r="B52" s="788" t="s">
        <v>489</v>
      </c>
      <c r="C52" s="789" t="s">
        <v>382</v>
      </c>
    </row>
    <row r="53" spans="1:3" ht="33.6" customHeight="1">
      <c r="A53" s="625"/>
      <c r="B53" s="788" t="s">
        <v>383</v>
      </c>
      <c r="C53" s="789" t="s">
        <v>383</v>
      </c>
    </row>
    <row r="54" spans="1:3" ht="11.25" customHeight="1">
      <c r="A54" s="625"/>
      <c r="B54" s="788" t="s">
        <v>482</v>
      </c>
      <c r="C54" s="789" t="s">
        <v>384</v>
      </c>
    </row>
    <row r="55" spans="1:3" ht="11.25" customHeight="1" thickBot="1">
      <c r="A55" s="798" t="s">
        <v>430</v>
      </c>
      <c r="B55" s="799"/>
      <c r="C55" s="800"/>
    </row>
    <row r="56" spans="1:3" ht="12" thickTop="1">
      <c r="A56" s="628"/>
      <c r="B56" s="801" t="s">
        <v>379</v>
      </c>
      <c r="C56" s="802" t="s">
        <v>379</v>
      </c>
    </row>
    <row r="57" spans="1:3">
      <c r="A57" s="625"/>
      <c r="B57" s="788" t="s">
        <v>385</v>
      </c>
      <c r="C57" s="789" t="s">
        <v>385</v>
      </c>
    </row>
    <row r="58" spans="1:3">
      <c r="A58" s="625"/>
      <c r="B58" s="788" t="s">
        <v>436</v>
      </c>
      <c r="C58" s="789" t="s">
        <v>386</v>
      </c>
    </row>
    <row r="59" spans="1:3">
      <c r="A59" s="625"/>
      <c r="B59" s="788" t="s">
        <v>387</v>
      </c>
      <c r="C59" s="789" t="s">
        <v>387</v>
      </c>
    </row>
    <row r="60" spans="1:3">
      <c r="A60" s="625"/>
      <c r="B60" s="788" t="s">
        <v>388</v>
      </c>
      <c r="C60" s="789" t="s">
        <v>388</v>
      </c>
    </row>
    <row r="61" spans="1:3">
      <c r="A61" s="625"/>
      <c r="B61" s="788" t="s">
        <v>389</v>
      </c>
      <c r="C61" s="789" t="s">
        <v>389</v>
      </c>
    </row>
    <row r="62" spans="1:3">
      <c r="A62" s="625"/>
      <c r="B62" s="788" t="s">
        <v>437</v>
      </c>
      <c r="C62" s="789" t="s">
        <v>390</v>
      </c>
    </row>
    <row r="63" spans="1:3">
      <c r="A63" s="625"/>
      <c r="B63" s="788" t="s">
        <v>391</v>
      </c>
      <c r="C63" s="789" t="s">
        <v>391</v>
      </c>
    </row>
    <row r="64" spans="1:3" ht="12" thickBot="1">
      <c r="A64" s="629"/>
      <c r="B64" s="811" t="s">
        <v>392</v>
      </c>
      <c r="C64" s="812" t="s">
        <v>392</v>
      </c>
    </row>
    <row r="65" spans="1:3" ht="11.25" customHeight="1" thickTop="1">
      <c r="A65" s="817" t="s">
        <v>431</v>
      </c>
      <c r="B65" s="818"/>
      <c r="C65" s="819"/>
    </row>
    <row r="66" spans="1:3" ht="12" thickBot="1">
      <c r="A66" s="629"/>
      <c r="B66" s="811" t="s">
        <v>393</v>
      </c>
      <c r="C66" s="812" t="s">
        <v>393</v>
      </c>
    </row>
    <row r="67" spans="1:3" ht="11.25" customHeight="1" thickTop="1" thickBot="1">
      <c r="A67" s="798" t="s">
        <v>432</v>
      </c>
      <c r="B67" s="799"/>
      <c r="C67" s="800"/>
    </row>
    <row r="68" spans="1:3" ht="12" thickTop="1">
      <c r="A68" s="628"/>
      <c r="B68" s="801" t="s">
        <v>394</v>
      </c>
      <c r="C68" s="802" t="s">
        <v>394</v>
      </c>
    </row>
    <row r="69" spans="1:3">
      <c r="A69" s="625"/>
      <c r="B69" s="788" t="s">
        <v>395</v>
      </c>
      <c r="C69" s="789" t="s">
        <v>395</v>
      </c>
    </row>
    <row r="70" spans="1:3">
      <c r="A70" s="625"/>
      <c r="B70" s="788" t="s">
        <v>396</v>
      </c>
      <c r="C70" s="789" t="s">
        <v>396</v>
      </c>
    </row>
    <row r="71" spans="1:3" ht="55.15" customHeight="1">
      <c r="A71" s="625"/>
      <c r="B71" s="815" t="s">
        <v>1020</v>
      </c>
      <c r="C71" s="816" t="s">
        <v>397</v>
      </c>
    </row>
    <row r="72" spans="1:3" ht="33.75" customHeight="1">
      <c r="A72" s="625"/>
      <c r="B72" s="815" t="s">
        <v>441</v>
      </c>
      <c r="C72" s="816" t="s">
        <v>398</v>
      </c>
    </row>
    <row r="73" spans="1:3" ht="15.75" customHeight="1">
      <c r="A73" s="625"/>
      <c r="B73" s="815" t="s">
        <v>438</v>
      </c>
      <c r="C73" s="816" t="s">
        <v>399</v>
      </c>
    </row>
    <row r="74" spans="1:3">
      <c r="A74" s="625"/>
      <c r="B74" s="788" t="s">
        <v>400</v>
      </c>
      <c r="C74" s="789" t="s">
        <v>400</v>
      </c>
    </row>
    <row r="75" spans="1:3" ht="12" thickBot="1">
      <c r="A75" s="629"/>
      <c r="B75" s="811" t="s">
        <v>401</v>
      </c>
      <c r="C75" s="812" t="s">
        <v>401</v>
      </c>
    </row>
    <row r="76" spans="1:3" ht="12" thickTop="1">
      <c r="A76" s="817" t="s">
        <v>465</v>
      </c>
      <c r="B76" s="818"/>
      <c r="C76" s="819"/>
    </row>
    <row r="77" spans="1:3">
      <c r="A77" s="625"/>
      <c r="B77" s="788" t="s">
        <v>393</v>
      </c>
      <c r="C77" s="789"/>
    </row>
    <row r="78" spans="1:3">
      <c r="A78" s="625"/>
      <c r="B78" s="788" t="s">
        <v>463</v>
      </c>
      <c r="C78" s="789"/>
    </row>
    <row r="79" spans="1:3">
      <c r="A79" s="625"/>
      <c r="B79" s="788" t="s">
        <v>464</v>
      </c>
      <c r="C79" s="789"/>
    </row>
    <row r="80" spans="1:3">
      <c r="A80" s="817" t="s">
        <v>466</v>
      </c>
      <c r="B80" s="818"/>
      <c r="C80" s="819"/>
    </row>
    <row r="81" spans="1:3">
      <c r="A81" s="625"/>
      <c r="B81" s="788" t="s">
        <v>393</v>
      </c>
      <c r="C81" s="789"/>
    </row>
    <row r="82" spans="1:3">
      <c r="A82" s="625"/>
      <c r="B82" s="788" t="s">
        <v>467</v>
      </c>
      <c r="C82" s="789"/>
    </row>
    <row r="83" spans="1:3" ht="76.5" customHeight="1">
      <c r="A83" s="625"/>
      <c r="B83" s="788" t="s">
        <v>481</v>
      </c>
      <c r="C83" s="789"/>
    </row>
    <row r="84" spans="1:3" ht="53.25" customHeight="1">
      <c r="A84" s="625"/>
      <c r="B84" s="788" t="s">
        <v>480</v>
      </c>
      <c r="C84" s="789"/>
    </row>
    <row r="85" spans="1:3">
      <c r="A85" s="625"/>
      <c r="B85" s="788" t="s">
        <v>468</v>
      </c>
      <c r="C85" s="789"/>
    </row>
    <row r="86" spans="1:3">
      <c r="A86" s="625"/>
      <c r="B86" s="788" t="s">
        <v>469</v>
      </c>
      <c r="C86" s="789"/>
    </row>
    <row r="87" spans="1:3">
      <c r="A87" s="625"/>
      <c r="B87" s="788" t="s">
        <v>470</v>
      </c>
      <c r="C87" s="789"/>
    </row>
    <row r="88" spans="1:3">
      <c r="A88" s="817" t="s">
        <v>471</v>
      </c>
      <c r="B88" s="818"/>
      <c r="C88" s="819"/>
    </row>
    <row r="89" spans="1:3">
      <c r="A89" s="625"/>
      <c r="B89" s="788" t="s">
        <v>393</v>
      </c>
      <c r="C89" s="789"/>
    </row>
    <row r="90" spans="1:3">
      <c r="A90" s="625"/>
      <c r="B90" s="788" t="s">
        <v>473</v>
      </c>
      <c r="C90" s="789"/>
    </row>
    <row r="91" spans="1:3" ht="12" customHeight="1">
      <c r="A91" s="625"/>
      <c r="B91" s="788" t="s">
        <v>474</v>
      </c>
      <c r="C91" s="789"/>
    </row>
    <row r="92" spans="1:3">
      <c r="A92" s="625"/>
      <c r="B92" s="788" t="s">
        <v>475</v>
      </c>
      <c r="C92" s="789"/>
    </row>
    <row r="93" spans="1:3" ht="24.75" customHeight="1">
      <c r="A93" s="625"/>
      <c r="B93" s="820" t="s">
        <v>517</v>
      </c>
      <c r="C93" s="821"/>
    </row>
    <row r="94" spans="1:3" ht="24" customHeight="1">
      <c r="A94" s="625"/>
      <c r="B94" s="820" t="s">
        <v>518</v>
      </c>
      <c r="C94" s="821"/>
    </row>
    <row r="95" spans="1:3" ht="13.5" customHeight="1">
      <c r="A95" s="625"/>
      <c r="B95" s="803" t="s">
        <v>476</v>
      </c>
      <c r="C95" s="804"/>
    </row>
    <row r="96" spans="1:3" ht="11.25" customHeight="1" thickBot="1">
      <c r="A96" s="822" t="s">
        <v>513</v>
      </c>
      <c r="B96" s="823"/>
      <c r="C96" s="824"/>
    </row>
    <row r="97" spans="1:3" ht="12.75" thickTop="1" thickBot="1">
      <c r="A97" s="831" t="s">
        <v>402</v>
      </c>
      <c r="B97" s="831"/>
      <c r="C97" s="831"/>
    </row>
    <row r="98" spans="1:3">
      <c r="A98" s="631">
        <v>2</v>
      </c>
      <c r="B98" s="632" t="s">
        <v>493</v>
      </c>
      <c r="C98" s="632" t="s">
        <v>514</v>
      </c>
    </row>
    <row r="99" spans="1:3">
      <c r="A99" s="633">
        <v>3</v>
      </c>
      <c r="B99" s="634" t="s">
        <v>494</v>
      </c>
      <c r="C99" s="635" t="s">
        <v>515</v>
      </c>
    </row>
    <row r="100" spans="1:3">
      <c r="A100" s="633">
        <v>4</v>
      </c>
      <c r="B100" s="634" t="s">
        <v>495</v>
      </c>
      <c r="C100" s="635" t="s">
        <v>519</v>
      </c>
    </row>
    <row r="101" spans="1:3" ht="11.25" customHeight="1">
      <c r="A101" s="633">
        <v>5</v>
      </c>
      <c r="B101" s="634" t="s">
        <v>496</v>
      </c>
      <c r="C101" s="635" t="s">
        <v>516</v>
      </c>
    </row>
    <row r="102" spans="1:3" ht="12" customHeight="1">
      <c r="A102" s="633">
        <v>6</v>
      </c>
      <c r="B102" s="634" t="s">
        <v>511</v>
      </c>
      <c r="C102" s="635" t="s">
        <v>497</v>
      </c>
    </row>
    <row r="103" spans="1:3" ht="12" customHeight="1">
      <c r="A103" s="633">
        <v>7</v>
      </c>
      <c r="B103" s="634" t="s">
        <v>498</v>
      </c>
      <c r="C103" s="635" t="s">
        <v>512</v>
      </c>
    </row>
    <row r="104" spans="1:3">
      <c r="A104" s="633">
        <v>8</v>
      </c>
      <c r="B104" s="634" t="s">
        <v>503</v>
      </c>
      <c r="C104" s="635" t="s">
        <v>523</v>
      </c>
    </row>
    <row r="105" spans="1:3" ht="11.25" customHeight="1">
      <c r="A105" s="817" t="s">
        <v>477</v>
      </c>
      <c r="B105" s="818"/>
      <c r="C105" s="819"/>
    </row>
    <row r="106" spans="1:3" ht="12" customHeight="1">
      <c r="A106" s="625"/>
      <c r="B106" s="788" t="s">
        <v>393</v>
      </c>
      <c r="C106" s="789"/>
    </row>
    <row r="107" spans="1:3">
      <c r="A107" s="817" t="s">
        <v>660</v>
      </c>
      <c r="B107" s="818"/>
      <c r="C107" s="819"/>
    </row>
    <row r="108" spans="1:3" ht="12" customHeight="1">
      <c r="A108" s="625"/>
      <c r="B108" s="788" t="s">
        <v>662</v>
      </c>
      <c r="C108" s="789"/>
    </row>
    <row r="109" spans="1:3">
      <c r="A109" s="625"/>
      <c r="B109" s="788" t="s">
        <v>663</v>
      </c>
      <c r="C109" s="789"/>
    </row>
    <row r="110" spans="1:3">
      <c r="A110" s="625"/>
      <c r="B110" s="788" t="s">
        <v>661</v>
      </c>
      <c r="C110" s="789"/>
    </row>
    <row r="111" spans="1:3">
      <c r="A111" s="825" t="s">
        <v>1021</v>
      </c>
      <c r="B111" s="825"/>
      <c r="C111" s="825"/>
    </row>
    <row r="112" spans="1:3">
      <c r="A112" s="826" t="s">
        <v>326</v>
      </c>
      <c r="B112" s="826"/>
      <c r="C112" s="826"/>
    </row>
    <row r="113" spans="1:3">
      <c r="A113" s="636">
        <v>1</v>
      </c>
      <c r="B113" s="827" t="s">
        <v>837</v>
      </c>
      <c r="C113" s="828"/>
    </row>
    <row r="114" spans="1:3">
      <c r="A114" s="636">
        <v>2</v>
      </c>
      <c r="B114" s="829" t="s">
        <v>838</v>
      </c>
      <c r="C114" s="830"/>
    </row>
    <row r="115" spans="1:3">
      <c r="A115" s="636">
        <v>3</v>
      </c>
      <c r="B115" s="827" t="s">
        <v>839</v>
      </c>
      <c r="C115" s="828"/>
    </row>
    <row r="116" spans="1:3">
      <c r="A116" s="636">
        <v>4</v>
      </c>
      <c r="B116" s="827" t="s">
        <v>840</v>
      </c>
      <c r="C116" s="828"/>
    </row>
    <row r="117" spans="1:3">
      <c r="A117" s="636">
        <v>5</v>
      </c>
      <c r="B117" s="827" t="s">
        <v>841</v>
      </c>
      <c r="C117" s="828"/>
    </row>
    <row r="118" spans="1:3" ht="55.5" customHeight="1">
      <c r="A118" s="636">
        <v>6</v>
      </c>
      <c r="B118" s="827" t="s">
        <v>949</v>
      </c>
      <c r="C118" s="828"/>
    </row>
    <row r="119" spans="1:3" ht="22.5">
      <c r="A119" s="636">
        <v>6.01</v>
      </c>
      <c r="B119" s="637" t="s">
        <v>696</v>
      </c>
      <c r="C119" s="638" t="s">
        <v>950</v>
      </c>
    </row>
    <row r="120" spans="1:3" ht="33.75">
      <c r="A120" s="636">
        <v>6.02</v>
      </c>
      <c r="B120" s="637" t="s">
        <v>697</v>
      </c>
      <c r="C120" s="638" t="s">
        <v>1022</v>
      </c>
    </row>
    <row r="121" spans="1:3">
      <c r="A121" s="636">
        <v>6.03</v>
      </c>
      <c r="B121" s="638" t="s">
        <v>698</v>
      </c>
      <c r="C121" s="638" t="s">
        <v>842</v>
      </c>
    </row>
    <row r="122" spans="1:3">
      <c r="A122" s="636">
        <v>6.04</v>
      </c>
      <c r="B122" s="637" t="s">
        <v>699</v>
      </c>
      <c r="C122" s="639" t="s">
        <v>843</v>
      </c>
    </row>
    <row r="123" spans="1:3">
      <c r="A123" s="636">
        <v>6.05</v>
      </c>
      <c r="B123" s="637" t="s">
        <v>700</v>
      </c>
      <c r="C123" s="639" t="s">
        <v>844</v>
      </c>
    </row>
    <row r="124" spans="1:3" ht="22.5">
      <c r="A124" s="636">
        <v>6.06</v>
      </c>
      <c r="B124" s="637" t="s">
        <v>701</v>
      </c>
      <c r="C124" s="639" t="s">
        <v>845</v>
      </c>
    </row>
    <row r="125" spans="1:3">
      <c r="A125" s="636">
        <v>6.07</v>
      </c>
      <c r="B125" s="640" t="s">
        <v>702</v>
      </c>
      <c r="C125" s="639" t="s">
        <v>846</v>
      </c>
    </row>
    <row r="126" spans="1:3" ht="22.5">
      <c r="A126" s="636">
        <v>6.08</v>
      </c>
      <c r="B126" s="637" t="s">
        <v>703</v>
      </c>
      <c r="C126" s="639" t="s">
        <v>847</v>
      </c>
    </row>
    <row r="127" spans="1:3" ht="22.5">
      <c r="A127" s="636">
        <v>6.09</v>
      </c>
      <c r="B127" s="641" t="s">
        <v>704</v>
      </c>
      <c r="C127" s="639" t="s">
        <v>848</v>
      </c>
    </row>
    <row r="128" spans="1:3">
      <c r="A128" s="480">
        <v>6.1</v>
      </c>
      <c r="B128" s="641" t="s">
        <v>705</v>
      </c>
      <c r="C128" s="639" t="s">
        <v>849</v>
      </c>
    </row>
    <row r="129" spans="1:3">
      <c r="A129" s="636">
        <v>6.11</v>
      </c>
      <c r="B129" s="641" t="s">
        <v>706</v>
      </c>
      <c r="C129" s="639" t="s">
        <v>850</v>
      </c>
    </row>
    <row r="130" spans="1:3">
      <c r="A130" s="636">
        <v>6.12</v>
      </c>
      <c r="B130" s="641" t="s">
        <v>707</v>
      </c>
      <c r="C130" s="639" t="s">
        <v>851</v>
      </c>
    </row>
    <row r="131" spans="1:3">
      <c r="A131" s="636">
        <v>6.13</v>
      </c>
      <c r="B131" s="641" t="s">
        <v>708</v>
      </c>
      <c r="C131" s="638" t="s">
        <v>852</v>
      </c>
    </row>
    <row r="132" spans="1:3">
      <c r="A132" s="636">
        <v>6.14</v>
      </c>
      <c r="B132" s="641" t="s">
        <v>709</v>
      </c>
      <c r="C132" s="638" t="s">
        <v>853</v>
      </c>
    </row>
    <row r="133" spans="1:3">
      <c r="A133" s="636">
        <v>6.15</v>
      </c>
      <c r="B133" s="641" t="s">
        <v>710</v>
      </c>
      <c r="C133" s="638" t="s">
        <v>854</v>
      </c>
    </row>
    <row r="134" spans="1:3" ht="22.5">
      <c r="A134" s="636">
        <v>6.16</v>
      </c>
      <c r="B134" s="641" t="s">
        <v>711</v>
      </c>
      <c r="C134" s="638" t="s">
        <v>855</v>
      </c>
    </row>
    <row r="135" spans="1:3">
      <c r="A135" s="636">
        <v>6.17</v>
      </c>
      <c r="B135" s="638" t="s">
        <v>712</v>
      </c>
      <c r="C135" s="638" t="s">
        <v>856</v>
      </c>
    </row>
    <row r="136" spans="1:3" ht="22.5">
      <c r="A136" s="636">
        <v>6.18</v>
      </c>
      <c r="B136" s="641" t="s">
        <v>713</v>
      </c>
      <c r="C136" s="638" t="s">
        <v>857</v>
      </c>
    </row>
    <row r="137" spans="1:3">
      <c r="A137" s="636">
        <v>6.19</v>
      </c>
      <c r="B137" s="641" t="s">
        <v>714</v>
      </c>
      <c r="C137" s="638" t="s">
        <v>858</v>
      </c>
    </row>
    <row r="138" spans="1:3">
      <c r="A138" s="480">
        <v>6.2</v>
      </c>
      <c r="B138" s="641" t="s">
        <v>715</v>
      </c>
      <c r="C138" s="638" t="s">
        <v>859</v>
      </c>
    </row>
    <row r="139" spans="1:3">
      <c r="A139" s="636">
        <v>6.21</v>
      </c>
      <c r="B139" s="641" t="s">
        <v>716</v>
      </c>
      <c r="C139" s="638" t="s">
        <v>860</v>
      </c>
    </row>
    <row r="140" spans="1:3">
      <c r="A140" s="636">
        <v>6.22</v>
      </c>
      <c r="B140" s="641" t="s">
        <v>717</v>
      </c>
      <c r="C140" s="638" t="s">
        <v>861</v>
      </c>
    </row>
    <row r="141" spans="1:3" ht="22.5">
      <c r="A141" s="636">
        <v>6.23</v>
      </c>
      <c r="B141" s="641" t="s">
        <v>718</v>
      </c>
      <c r="C141" s="638" t="s">
        <v>862</v>
      </c>
    </row>
    <row r="142" spans="1:3" ht="22.5">
      <c r="A142" s="636">
        <v>6.24</v>
      </c>
      <c r="B142" s="637" t="s">
        <v>719</v>
      </c>
      <c r="C142" s="638" t="s">
        <v>863</v>
      </c>
    </row>
    <row r="143" spans="1:3">
      <c r="A143" s="636">
        <v>6.2500000000000098</v>
      </c>
      <c r="B143" s="637" t="s">
        <v>720</v>
      </c>
      <c r="C143" s="638" t="s">
        <v>864</v>
      </c>
    </row>
    <row r="144" spans="1:3" ht="22.5">
      <c r="A144" s="636">
        <v>6.2600000000000202</v>
      </c>
      <c r="B144" s="637" t="s">
        <v>865</v>
      </c>
      <c r="C144" s="642" t="s">
        <v>866</v>
      </c>
    </row>
    <row r="145" spans="1:3" ht="22.5">
      <c r="A145" s="636">
        <v>6.2700000000000298</v>
      </c>
      <c r="B145" s="637" t="s">
        <v>165</v>
      </c>
      <c r="C145" s="642" t="s">
        <v>952</v>
      </c>
    </row>
    <row r="146" spans="1:3">
      <c r="A146" s="636"/>
      <c r="B146" s="832" t="s">
        <v>867</v>
      </c>
      <c r="C146" s="833"/>
    </row>
    <row r="147" spans="1:3" s="644" customFormat="1">
      <c r="A147" s="643">
        <v>7.1</v>
      </c>
      <c r="B147" s="637" t="s">
        <v>868</v>
      </c>
      <c r="C147" s="836" t="s">
        <v>869</v>
      </c>
    </row>
    <row r="148" spans="1:3" s="644" customFormat="1">
      <c r="A148" s="643">
        <v>7.2</v>
      </c>
      <c r="B148" s="637" t="s">
        <v>870</v>
      </c>
      <c r="C148" s="837"/>
    </row>
    <row r="149" spans="1:3" s="644" customFormat="1">
      <c r="A149" s="643">
        <v>7.3</v>
      </c>
      <c r="B149" s="637" t="s">
        <v>871</v>
      </c>
      <c r="C149" s="837"/>
    </row>
    <row r="150" spans="1:3" s="644" customFormat="1">
      <c r="A150" s="643">
        <v>7.4</v>
      </c>
      <c r="B150" s="637" t="s">
        <v>872</v>
      </c>
      <c r="C150" s="837"/>
    </row>
    <row r="151" spans="1:3" s="644" customFormat="1">
      <c r="A151" s="643">
        <v>7.5</v>
      </c>
      <c r="B151" s="637" t="s">
        <v>873</v>
      </c>
      <c r="C151" s="837"/>
    </row>
    <row r="152" spans="1:3" s="644" customFormat="1">
      <c r="A152" s="643">
        <v>7.6</v>
      </c>
      <c r="B152" s="637" t="s">
        <v>945</v>
      </c>
      <c r="C152" s="838"/>
    </row>
    <row r="153" spans="1:3" s="644" customFormat="1" ht="22.5">
      <c r="A153" s="643">
        <v>7.7</v>
      </c>
      <c r="B153" s="637" t="s">
        <v>874</v>
      </c>
      <c r="C153" s="645" t="s">
        <v>875</v>
      </c>
    </row>
    <row r="154" spans="1:3" s="644" customFormat="1" ht="22.5">
      <c r="A154" s="643">
        <v>7.8</v>
      </c>
      <c r="B154" s="637" t="s">
        <v>876</v>
      </c>
      <c r="C154" s="645" t="s">
        <v>877</v>
      </c>
    </row>
    <row r="155" spans="1:3">
      <c r="A155" s="625"/>
      <c r="B155" s="832" t="s">
        <v>878</v>
      </c>
      <c r="C155" s="833"/>
    </row>
    <row r="156" spans="1:3">
      <c r="A156" s="643">
        <v>1</v>
      </c>
      <c r="B156" s="788" t="s">
        <v>1023</v>
      </c>
      <c r="C156" s="789"/>
    </row>
    <row r="157" spans="1:3" ht="25.15" customHeight="1">
      <c r="A157" s="643">
        <v>2</v>
      </c>
      <c r="B157" s="788" t="s">
        <v>953</v>
      </c>
      <c r="C157" s="789"/>
    </row>
    <row r="158" spans="1:3">
      <c r="A158" s="643">
        <v>3</v>
      </c>
      <c r="B158" s="788" t="s">
        <v>944</v>
      </c>
      <c r="C158" s="789"/>
    </row>
    <row r="159" spans="1:3">
      <c r="A159" s="625"/>
      <c r="B159" s="832" t="s">
        <v>879</v>
      </c>
      <c r="C159" s="833"/>
    </row>
    <row r="160" spans="1:3" ht="39" customHeight="1">
      <c r="A160" s="643">
        <v>1</v>
      </c>
      <c r="B160" s="834" t="s">
        <v>1024</v>
      </c>
      <c r="C160" s="835"/>
    </row>
    <row r="161" spans="1:3" ht="22.5">
      <c r="A161" s="643">
        <v>3</v>
      </c>
      <c r="B161" s="637" t="s">
        <v>684</v>
      </c>
      <c r="C161" s="645" t="s">
        <v>880</v>
      </c>
    </row>
    <row r="162" spans="1:3" ht="22.5">
      <c r="A162" s="643">
        <v>4</v>
      </c>
      <c r="B162" s="637" t="s">
        <v>685</v>
      </c>
      <c r="C162" s="645" t="s">
        <v>881</v>
      </c>
    </row>
    <row r="163" spans="1:3" ht="33.75">
      <c r="A163" s="643">
        <v>5</v>
      </c>
      <c r="B163" s="637" t="s">
        <v>686</v>
      </c>
      <c r="C163" s="645" t="s">
        <v>882</v>
      </c>
    </row>
    <row r="164" spans="1:3">
      <c r="A164" s="643">
        <v>6</v>
      </c>
      <c r="B164" s="637" t="s">
        <v>687</v>
      </c>
      <c r="C164" s="637" t="s">
        <v>883</v>
      </c>
    </row>
    <row r="165" spans="1:3">
      <c r="A165" s="625"/>
      <c r="B165" s="832" t="s">
        <v>884</v>
      </c>
      <c r="C165" s="833"/>
    </row>
    <row r="166" spans="1:3" ht="45">
      <c r="A166" s="643"/>
      <c r="B166" s="637" t="s">
        <v>885</v>
      </c>
      <c r="C166" s="646" t="s">
        <v>1025</v>
      </c>
    </row>
    <row r="167" spans="1:3">
      <c r="A167" s="643"/>
      <c r="B167" s="637" t="s">
        <v>686</v>
      </c>
      <c r="C167" s="645" t="s">
        <v>886</v>
      </c>
    </row>
    <row r="168" spans="1:3">
      <c r="A168" s="625"/>
      <c r="B168" s="832" t="s">
        <v>887</v>
      </c>
      <c r="C168" s="833"/>
    </row>
    <row r="169" spans="1:3" ht="26.65" customHeight="1">
      <c r="A169" s="625"/>
      <c r="B169" s="788" t="s">
        <v>1026</v>
      </c>
      <c r="C169" s="789"/>
    </row>
    <row r="170" spans="1:3">
      <c r="A170" s="625" t="s">
        <v>888</v>
      </c>
      <c r="B170" s="481" t="s">
        <v>744</v>
      </c>
      <c r="C170" s="482" t="s">
        <v>889</v>
      </c>
    </row>
    <row r="171" spans="1:3">
      <c r="A171" s="625" t="s">
        <v>538</v>
      </c>
      <c r="B171" s="483" t="s">
        <v>745</v>
      </c>
      <c r="C171" s="645" t="s">
        <v>890</v>
      </c>
    </row>
    <row r="172" spans="1:3" ht="22.5">
      <c r="A172" s="625" t="s">
        <v>545</v>
      </c>
      <c r="B172" s="482" t="s">
        <v>746</v>
      </c>
      <c r="C172" s="645" t="s">
        <v>891</v>
      </c>
    </row>
    <row r="173" spans="1:3">
      <c r="A173" s="625" t="s">
        <v>892</v>
      </c>
      <c r="B173" s="483" t="s">
        <v>747</v>
      </c>
      <c r="C173" s="483" t="s">
        <v>893</v>
      </c>
    </row>
    <row r="174" spans="1:3" ht="22.5">
      <c r="A174" s="625" t="s">
        <v>894</v>
      </c>
      <c r="B174" s="484" t="s">
        <v>748</v>
      </c>
      <c r="C174" s="484" t="s">
        <v>895</v>
      </c>
    </row>
    <row r="175" spans="1:3" ht="22.5">
      <c r="A175" s="625" t="s">
        <v>546</v>
      </c>
      <c r="B175" s="484" t="s">
        <v>749</v>
      </c>
      <c r="C175" s="484" t="s">
        <v>896</v>
      </c>
    </row>
    <row r="176" spans="1:3" ht="22.5">
      <c r="A176" s="625" t="s">
        <v>897</v>
      </c>
      <c r="B176" s="484" t="s">
        <v>750</v>
      </c>
      <c r="C176" s="484" t="s">
        <v>898</v>
      </c>
    </row>
    <row r="177" spans="1:3" ht="22.5">
      <c r="A177" s="625" t="s">
        <v>899</v>
      </c>
      <c r="B177" s="484" t="s">
        <v>751</v>
      </c>
      <c r="C177" s="484" t="s">
        <v>901</v>
      </c>
    </row>
    <row r="178" spans="1:3" ht="22.5">
      <c r="A178" s="625" t="s">
        <v>900</v>
      </c>
      <c r="B178" s="484" t="s">
        <v>752</v>
      </c>
      <c r="C178" s="484" t="s">
        <v>903</v>
      </c>
    </row>
    <row r="179" spans="1:3" ht="22.5">
      <c r="A179" s="625" t="s">
        <v>902</v>
      </c>
      <c r="B179" s="484" t="s">
        <v>753</v>
      </c>
      <c r="C179" s="647" t="s">
        <v>905</v>
      </c>
    </row>
    <row r="180" spans="1:3" ht="22.5">
      <c r="A180" s="625" t="s">
        <v>904</v>
      </c>
      <c r="B180" s="491" t="s">
        <v>754</v>
      </c>
      <c r="C180" s="647" t="s">
        <v>907</v>
      </c>
    </row>
    <row r="181" spans="1:3" ht="22.5">
      <c r="A181" s="625" t="s">
        <v>906</v>
      </c>
      <c r="B181" s="484" t="s">
        <v>755</v>
      </c>
      <c r="C181" s="485" t="s">
        <v>909</v>
      </c>
    </row>
    <row r="182" spans="1:3">
      <c r="A182" s="648" t="s">
        <v>908</v>
      </c>
      <c r="B182" s="486" t="s">
        <v>756</v>
      </c>
      <c r="C182" s="482" t="s">
        <v>910</v>
      </c>
    </row>
    <row r="183" spans="1:3" ht="22.5">
      <c r="A183" s="625"/>
      <c r="B183" s="484" t="s">
        <v>911</v>
      </c>
      <c r="C183" s="639" t="s">
        <v>912</v>
      </c>
    </row>
    <row r="184" spans="1:3" ht="22.5">
      <c r="A184" s="625"/>
      <c r="B184" s="484" t="s">
        <v>913</v>
      </c>
      <c r="C184" s="639" t="s">
        <v>914</v>
      </c>
    </row>
    <row r="185" spans="1:3" ht="22.5">
      <c r="A185" s="625"/>
      <c r="B185" s="484" t="s">
        <v>915</v>
      </c>
      <c r="C185" s="639" t="s">
        <v>916</v>
      </c>
    </row>
    <row r="186" spans="1:3">
      <c r="A186" s="625"/>
      <c r="B186" s="832" t="s">
        <v>917</v>
      </c>
      <c r="C186" s="833"/>
    </row>
    <row r="187" spans="1:3" ht="49.9" customHeight="1">
      <c r="A187" s="625"/>
      <c r="B187" s="788" t="s">
        <v>1027</v>
      </c>
      <c r="C187" s="789"/>
    </row>
    <row r="188" spans="1:3">
      <c r="A188" s="643">
        <v>1</v>
      </c>
      <c r="B188" s="638" t="s">
        <v>776</v>
      </c>
      <c r="C188" s="638" t="s">
        <v>776</v>
      </c>
    </row>
    <row r="189" spans="1:3" ht="33.75">
      <c r="A189" s="643">
        <v>2</v>
      </c>
      <c r="B189" s="638" t="s">
        <v>918</v>
      </c>
      <c r="C189" s="638" t="s">
        <v>919</v>
      </c>
    </row>
    <row r="190" spans="1:3">
      <c r="A190" s="643">
        <v>3</v>
      </c>
      <c r="B190" s="638" t="s">
        <v>778</v>
      </c>
      <c r="C190" s="638" t="s">
        <v>920</v>
      </c>
    </row>
    <row r="191" spans="1:3" ht="22.5">
      <c r="A191" s="643">
        <v>4</v>
      </c>
      <c r="B191" s="638" t="s">
        <v>779</v>
      </c>
      <c r="C191" s="638" t="s">
        <v>921</v>
      </c>
    </row>
    <row r="192" spans="1:3" ht="22.5">
      <c r="A192" s="643">
        <v>5</v>
      </c>
      <c r="B192" s="638" t="s">
        <v>780</v>
      </c>
      <c r="C192" s="638" t="s">
        <v>1028</v>
      </c>
    </row>
    <row r="193" spans="1:4" ht="45">
      <c r="A193" s="643">
        <v>6</v>
      </c>
      <c r="B193" s="638" t="s">
        <v>781</v>
      </c>
      <c r="C193" s="638" t="s">
        <v>922</v>
      </c>
    </row>
    <row r="194" spans="1:4">
      <c r="A194" s="625"/>
      <c r="B194" s="832" t="s">
        <v>923</v>
      </c>
      <c r="C194" s="833"/>
    </row>
    <row r="195" spans="1:4" ht="25.9" customHeight="1">
      <c r="A195" s="625"/>
      <c r="B195" s="842" t="s">
        <v>946</v>
      </c>
      <c r="C195" s="834"/>
    </row>
    <row r="196" spans="1:4" ht="22.5">
      <c r="A196" s="625">
        <v>1.1000000000000001</v>
      </c>
      <c r="B196" s="487" t="s">
        <v>791</v>
      </c>
      <c r="C196" s="638" t="s">
        <v>924</v>
      </c>
      <c r="D196" s="649"/>
    </row>
    <row r="197" spans="1:4" ht="12.75">
      <c r="A197" s="625" t="s">
        <v>252</v>
      </c>
      <c r="B197" s="488" t="s">
        <v>792</v>
      </c>
      <c r="C197" s="638" t="s">
        <v>925</v>
      </c>
      <c r="D197" s="650"/>
    </row>
    <row r="198" spans="1:4" ht="12.75">
      <c r="A198" s="625" t="s">
        <v>793</v>
      </c>
      <c r="B198" s="651" t="s">
        <v>794</v>
      </c>
      <c r="C198" s="797" t="s">
        <v>947</v>
      </c>
      <c r="D198" s="652"/>
    </row>
    <row r="199" spans="1:4" ht="12.75">
      <c r="A199" s="625" t="s">
        <v>795</v>
      </c>
      <c r="B199" s="651" t="s">
        <v>796</v>
      </c>
      <c r="C199" s="797"/>
      <c r="D199" s="652"/>
    </row>
    <row r="200" spans="1:4" ht="12.75">
      <c r="A200" s="625" t="s">
        <v>797</v>
      </c>
      <c r="B200" s="651" t="s">
        <v>798</v>
      </c>
      <c r="C200" s="797"/>
      <c r="D200" s="652"/>
    </row>
    <row r="201" spans="1:4" ht="12.75">
      <c r="A201" s="625" t="s">
        <v>799</v>
      </c>
      <c r="B201" s="651" t="s">
        <v>800</v>
      </c>
      <c r="C201" s="797"/>
      <c r="D201" s="652"/>
    </row>
    <row r="202" spans="1:4" ht="22.5">
      <c r="A202" s="625">
        <v>1.2</v>
      </c>
      <c r="B202" s="653" t="s">
        <v>801</v>
      </c>
      <c r="C202" s="637" t="s">
        <v>926</v>
      </c>
      <c r="D202" s="654"/>
    </row>
    <row r="203" spans="1:4" ht="22.5">
      <c r="A203" s="625" t="s">
        <v>803</v>
      </c>
      <c r="B203" s="655" t="s">
        <v>804</v>
      </c>
      <c r="C203" s="656" t="s">
        <v>927</v>
      </c>
      <c r="D203" s="657"/>
    </row>
    <row r="204" spans="1:4" ht="23.25">
      <c r="A204" s="625" t="s">
        <v>805</v>
      </c>
      <c r="B204" s="658" t="s">
        <v>806</v>
      </c>
      <c r="C204" s="656" t="s">
        <v>928</v>
      </c>
      <c r="D204" s="659"/>
    </row>
    <row r="205" spans="1:4" ht="12.75">
      <c r="A205" s="625" t="s">
        <v>807</v>
      </c>
      <c r="B205" s="660" t="s">
        <v>808</v>
      </c>
      <c r="C205" s="637" t="s">
        <v>929</v>
      </c>
      <c r="D205" s="657"/>
    </row>
    <row r="206" spans="1:4" ht="18" customHeight="1">
      <c r="A206" s="625" t="s">
        <v>809</v>
      </c>
      <c r="B206" s="661" t="s">
        <v>810</v>
      </c>
      <c r="C206" s="637" t="s">
        <v>930</v>
      </c>
      <c r="D206" s="659"/>
    </row>
    <row r="207" spans="1:4" ht="22.5">
      <c r="A207" s="625">
        <v>1.4</v>
      </c>
      <c r="B207" s="655" t="s">
        <v>942</v>
      </c>
      <c r="C207" s="662" t="s">
        <v>931</v>
      </c>
      <c r="D207" s="663"/>
    </row>
    <row r="208" spans="1:4" ht="12.75">
      <c r="A208" s="625">
        <v>1.5</v>
      </c>
      <c r="B208" s="655" t="s">
        <v>943</v>
      </c>
      <c r="C208" s="662" t="s">
        <v>931</v>
      </c>
      <c r="D208" s="663"/>
    </row>
    <row r="209" spans="1:3">
      <c r="A209" s="625"/>
      <c r="B209" s="825" t="s">
        <v>932</v>
      </c>
      <c r="C209" s="825"/>
    </row>
    <row r="210" spans="1:3" ht="24.4" customHeight="1">
      <c r="A210" s="625"/>
      <c r="B210" s="842" t="s">
        <v>933</v>
      </c>
      <c r="C210" s="842"/>
    </row>
    <row r="211" spans="1:3" ht="22.5">
      <c r="A211" s="643"/>
      <c r="B211" s="637" t="s">
        <v>684</v>
      </c>
      <c r="C211" s="645" t="s">
        <v>880</v>
      </c>
    </row>
    <row r="212" spans="1:3" ht="22.5">
      <c r="A212" s="643"/>
      <c r="B212" s="637" t="s">
        <v>685</v>
      </c>
      <c r="C212" s="645" t="s">
        <v>881</v>
      </c>
    </row>
    <row r="213" spans="1:3" ht="22.5">
      <c r="A213" s="625"/>
      <c r="B213" s="637" t="s">
        <v>686</v>
      </c>
      <c r="C213" s="645" t="s">
        <v>934</v>
      </c>
    </row>
    <row r="214" spans="1:3">
      <c r="A214" s="625"/>
      <c r="B214" s="825" t="s">
        <v>935</v>
      </c>
      <c r="C214" s="825"/>
    </row>
    <row r="215" spans="1:3" ht="39.4" customHeight="1">
      <c r="A215" s="643"/>
      <c r="B215" s="842" t="s">
        <v>948</v>
      </c>
      <c r="C215" s="842"/>
    </row>
    <row r="216" spans="1:3">
      <c r="B216" s="825" t="s">
        <v>1029</v>
      </c>
      <c r="C216" s="825"/>
    </row>
    <row r="217" spans="1:3" ht="25.5">
      <c r="A217" s="615">
        <v>1</v>
      </c>
      <c r="B217" s="665" t="s">
        <v>1006</v>
      </c>
      <c r="C217" s="665" t="s">
        <v>1030</v>
      </c>
    </row>
    <row r="218" spans="1:3" ht="12.75">
      <c r="A218" s="615">
        <v>2</v>
      </c>
      <c r="B218" s="665" t="s">
        <v>1007</v>
      </c>
      <c r="C218" s="665" t="s">
        <v>1031</v>
      </c>
    </row>
    <row r="219" spans="1:3" ht="25.5">
      <c r="A219" s="615">
        <v>3</v>
      </c>
      <c r="B219" s="665" t="s">
        <v>1008</v>
      </c>
      <c r="C219" s="665" t="s">
        <v>1032</v>
      </c>
    </row>
    <row r="220" spans="1:3" ht="12.75">
      <c r="A220" s="615">
        <v>4</v>
      </c>
      <c r="B220" s="665" t="s">
        <v>1009</v>
      </c>
      <c r="C220" s="665" t="s">
        <v>1033</v>
      </c>
    </row>
    <row r="221" spans="1:3" ht="25.5">
      <c r="A221" s="615">
        <v>5</v>
      </c>
      <c r="B221" s="665" t="s">
        <v>1010</v>
      </c>
      <c r="C221" s="665" t="s">
        <v>1034</v>
      </c>
    </row>
    <row r="222" spans="1:3" ht="12.75">
      <c r="A222" s="615">
        <v>6</v>
      </c>
      <c r="B222" s="665" t="s">
        <v>1011</v>
      </c>
      <c r="C222" s="665" t="s">
        <v>1035</v>
      </c>
    </row>
    <row r="223" spans="1:3" ht="25.5">
      <c r="A223" s="615">
        <v>7</v>
      </c>
      <c r="B223" s="665" t="s">
        <v>1012</v>
      </c>
      <c r="C223" s="665" t="s">
        <v>1036</v>
      </c>
    </row>
    <row r="224" spans="1:3" ht="12.75">
      <c r="A224" s="615">
        <v>7.1</v>
      </c>
      <c r="B224" s="666" t="s">
        <v>1013</v>
      </c>
      <c r="C224" s="665" t="s">
        <v>1037</v>
      </c>
    </row>
    <row r="225" spans="1:3" ht="25.5">
      <c r="A225" s="615">
        <v>7.2</v>
      </c>
      <c r="B225" s="666" t="s">
        <v>1014</v>
      </c>
      <c r="C225" s="665" t="s">
        <v>1038</v>
      </c>
    </row>
    <row r="226" spans="1:3" ht="12.75">
      <c r="A226" s="615">
        <v>7.3</v>
      </c>
      <c r="B226" s="667" t="s">
        <v>1015</v>
      </c>
      <c r="C226" s="665" t="s">
        <v>1039</v>
      </c>
    </row>
    <row r="227" spans="1:3" ht="12.75">
      <c r="A227" s="615">
        <v>8</v>
      </c>
      <c r="B227" s="665" t="s">
        <v>1016</v>
      </c>
      <c r="C227" s="665" t="s">
        <v>1040</v>
      </c>
    </row>
    <row r="228" spans="1:3" ht="12.75">
      <c r="A228" s="615">
        <v>9</v>
      </c>
      <c r="B228" s="665" t="s">
        <v>1017</v>
      </c>
      <c r="C228" s="665" t="s">
        <v>1041</v>
      </c>
    </row>
    <row r="229" spans="1:3" ht="25.5">
      <c r="A229" s="615">
        <v>10.1</v>
      </c>
      <c r="B229" s="668" t="s">
        <v>1042</v>
      </c>
      <c r="C229" s="665" t="s">
        <v>1043</v>
      </c>
    </row>
    <row r="230" spans="1:3" ht="12.75">
      <c r="A230" s="839"/>
      <c r="B230" s="669" t="s">
        <v>786</v>
      </c>
      <c r="C230" s="665" t="s">
        <v>1044</v>
      </c>
    </row>
    <row r="231" spans="1:3" ht="25.5">
      <c r="A231" s="840"/>
      <c r="B231" s="669" t="s">
        <v>1000</v>
      </c>
      <c r="C231" s="665" t="s">
        <v>1045</v>
      </c>
    </row>
    <row r="232" spans="1:3" ht="12.75">
      <c r="A232" s="840"/>
      <c r="B232" s="669" t="s">
        <v>1001</v>
      </c>
      <c r="C232" s="665" t="s">
        <v>1046</v>
      </c>
    </row>
    <row r="233" spans="1:3" ht="24">
      <c r="A233" s="840"/>
      <c r="B233" s="669" t="s">
        <v>1002</v>
      </c>
      <c r="C233" s="450" t="s">
        <v>1047</v>
      </c>
    </row>
    <row r="234" spans="1:3" ht="40.5" customHeight="1">
      <c r="A234" s="840"/>
      <c r="B234" s="669" t="s">
        <v>1003</v>
      </c>
      <c r="C234" s="665" t="s">
        <v>1048</v>
      </c>
    </row>
    <row r="235" spans="1:3" ht="24" customHeight="1">
      <c r="A235" s="840"/>
      <c r="B235" s="669" t="s">
        <v>1004</v>
      </c>
      <c r="C235" s="665" t="s">
        <v>1049</v>
      </c>
    </row>
    <row r="236" spans="1:3" ht="25.5">
      <c r="A236" s="841"/>
      <c r="B236" s="669" t="s">
        <v>1005</v>
      </c>
      <c r="C236" s="665" t="s">
        <v>1050</v>
      </c>
    </row>
  </sheetData>
  <mergeCells count="133">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49" activePane="bottomRight" state="frozen"/>
      <selection pane="topRight"/>
      <selection pane="bottomLeft"/>
      <selection pane="bottomRight"/>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390">
        <f>'1. key ratios'!B2</f>
        <v>44561</v>
      </c>
      <c r="C2" s="13"/>
    </row>
    <row r="3" spans="1:8" ht="15.75">
      <c r="A3" s="14"/>
      <c r="B3" s="13"/>
      <c r="C3" s="13"/>
    </row>
    <row r="4" spans="1:8" ht="16.5" thickBot="1">
      <c r="A4" s="15" t="s">
        <v>407</v>
      </c>
      <c r="B4" s="24" t="s">
        <v>222</v>
      </c>
      <c r="C4" s="26"/>
      <c r="D4" s="26"/>
      <c r="E4" s="26"/>
      <c r="F4" s="15"/>
      <c r="G4" s="15"/>
      <c r="H4" s="40" t="s">
        <v>93</v>
      </c>
    </row>
    <row r="5" spans="1:8" ht="15.75">
      <c r="A5" s="111"/>
      <c r="B5" s="112"/>
      <c r="C5" s="685" t="s">
        <v>194</v>
      </c>
      <c r="D5" s="686"/>
      <c r="E5" s="687"/>
      <c r="F5" s="685" t="s">
        <v>195</v>
      </c>
      <c r="G5" s="686"/>
      <c r="H5" s="688"/>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520">
        <v>2115958</v>
      </c>
      <c r="D8" s="520">
        <v>-575910</v>
      </c>
      <c r="E8" s="510">
        <f>C8+D8</f>
        <v>1540048</v>
      </c>
      <c r="F8" s="520">
        <v>1282963</v>
      </c>
      <c r="G8" s="520">
        <v>106465</v>
      </c>
      <c r="H8" s="521">
        <f>F8+G8</f>
        <v>1389428</v>
      </c>
    </row>
    <row r="9" spans="1:8" ht="15.75">
      <c r="A9" s="115">
        <v>2</v>
      </c>
      <c r="B9" s="46" t="s">
        <v>98</v>
      </c>
      <c r="C9" s="522">
        <f>SUM(C10:C18)</f>
        <v>29120719</v>
      </c>
      <c r="D9" s="522">
        <f>SUM(D10:D18)</f>
        <v>47277553</v>
      </c>
      <c r="E9" s="510">
        <f t="shared" ref="E9:E67" si="0">C9+D9</f>
        <v>76398272</v>
      </c>
      <c r="F9" s="522">
        <f>SUM(F10:F18)</f>
        <v>28481715</v>
      </c>
      <c r="G9" s="522">
        <f>SUM(G10:G18)</f>
        <v>42194974</v>
      </c>
      <c r="H9" s="521">
        <f t="shared" ref="H9:H67" si="1">F9+G9</f>
        <v>70676689</v>
      </c>
    </row>
    <row r="10" spans="1:8" ht="15.75">
      <c r="A10" s="115">
        <v>2.1</v>
      </c>
      <c r="B10" s="47" t="s">
        <v>99</v>
      </c>
      <c r="C10" s="520">
        <v>0</v>
      </c>
      <c r="D10" s="520">
        <v>0</v>
      </c>
      <c r="E10" s="510">
        <f t="shared" si="0"/>
        <v>0</v>
      </c>
      <c r="F10" s="520">
        <v>0</v>
      </c>
      <c r="G10" s="520">
        <v>0</v>
      </c>
      <c r="H10" s="521">
        <f t="shared" si="1"/>
        <v>0</v>
      </c>
    </row>
    <row r="11" spans="1:8" ht="15.75">
      <c r="A11" s="115">
        <v>2.2000000000000002</v>
      </c>
      <c r="B11" s="47" t="s">
        <v>100</v>
      </c>
      <c r="C11" s="520">
        <v>12690353.439999999</v>
      </c>
      <c r="D11" s="520">
        <v>16600942.050000001</v>
      </c>
      <c r="E11" s="510">
        <f t="shared" si="0"/>
        <v>29291295.490000002</v>
      </c>
      <c r="F11" s="520">
        <v>12467020.240000002</v>
      </c>
      <c r="G11" s="520">
        <v>15521749.790000001</v>
      </c>
      <c r="H11" s="521">
        <f t="shared" si="1"/>
        <v>27988770.030000001</v>
      </c>
    </row>
    <row r="12" spans="1:8" ht="15.75">
      <c r="A12" s="115">
        <v>2.2999999999999998</v>
      </c>
      <c r="B12" s="47" t="s">
        <v>101</v>
      </c>
      <c r="C12" s="520">
        <v>0</v>
      </c>
      <c r="D12" s="520">
        <v>18247.32</v>
      </c>
      <c r="E12" s="510">
        <f t="shared" si="0"/>
        <v>18247.32</v>
      </c>
      <c r="F12" s="520">
        <v>111.56</v>
      </c>
      <c r="G12" s="520">
        <v>657477.55999999994</v>
      </c>
      <c r="H12" s="521">
        <f t="shared" si="1"/>
        <v>657589.12</v>
      </c>
    </row>
    <row r="13" spans="1:8" ht="15.75">
      <c r="A13" s="115">
        <v>2.4</v>
      </c>
      <c r="B13" s="47" t="s">
        <v>102</v>
      </c>
      <c r="C13" s="520">
        <v>1412676.31</v>
      </c>
      <c r="D13" s="520">
        <v>3431039.7200000007</v>
      </c>
      <c r="E13" s="510">
        <f t="shared" si="0"/>
        <v>4843716.0300000012</v>
      </c>
      <c r="F13" s="520">
        <v>1878533.9100000001</v>
      </c>
      <c r="G13" s="520">
        <v>2200749.31</v>
      </c>
      <c r="H13" s="521">
        <f t="shared" si="1"/>
        <v>4079283.22</v>
      </c>
    </row>
    <row r="14" spans="1:8" ht="15.75">
      <c r="A14" s="115">
        <v>2.5</v>
      </c>
      <c r="B14" s="47" t="s">
        <v>103</v>
      </c>
      <c r="C14" s="520">
        <v>4933885.05</v>
      </c>
      <c r="D14" s="520">
        <v>6601877.1899999995</v>
      </c>
      <c r="E14" s="510">
        <f t="shared" si="0"/>
        <v>11535762.239999998</v>
      </c>
      <c r="F14" s="520">
        <v>4829485.18</v>
      </c>
      <c r="G14" s="520">
        <v>5890724.0999999996</v>
      </c>
      <c r="H14" s="521">
        <f t="shared" si="1"/>
        <v>10720209.279999999</v>
      </c>
    </row>
    <row r="15" spans="1:8" ht="15.75">
      <c r="A15" s="115">
        <v>2.6</v>
      </c>
      <c r="B15" s="47" t="s">
        <v>104</v>
      </c>
      <c r="C15" s="520">
        <v>6235380.9900000002</v>
      </c>
      <c r="D15" s="520">
        <v>4442201.9400000004</v>
      </c>
      <c r="E15" s="510">
        <f t="shared" si="0"/>
        <v>10677582.93</v>
      </c>
      <c r="F15" s="520">
        <v>5038133.959999999</v>
      </c>
      <c r="G15" s="520">
        <v>3865493.1100000003</v>
      </c>
      <c r="H15" s="521">
        <f t="shared" si="1"/>
        <v>8903627.0700000003</v>
      </c>
    </row>
    <row r="16" spans="1:8" ht="15.75">
      <c r="A16" s="115">
        <v>2.7</v>
      </c>
      <c r="B16" s="47" t="s">
        <v>105</v>
      </c>
      <c r="C16" s="520">
        <v>5437.37</v>
      </c>
      <c r="D16" s="520">
        <v>194791.34000000003</v>
      </c>
      <c r="E16" s="510">
        <f t="shared" si="0"/>
        <v>200228.71000000002</v>
      </c>
      <c r="F16" s="520">
        <v>8322.5499999999993</v>
      </c>
      <c r="G16" s="520">
        <v>13240.310000000001</v>
      </c>
      <c r="H16" s="521">
        <f t="shared" si="1"/>
        <v>21562.86</v>
      </c>
    </row>
    <row r="17" spans="1:8" ht="15.75">
      <c r="A17" s="115">
        <v>2.8</v>
      </c>
      <c r="B17" s="47" t="s">
        <v>106</v>
      </c>
      <c r="C17" s="520">
        <v>1568708</v>
      </c>
      <c r="D17" s="520">
        <v>3177965</v>
      </c>
      <c r="E17" s="510">
        <f t="shared" si="0"/>
        <v>4746673</v>
      </c>
      <c r="F17" s="520">
        <v>1050003</v>
      </c>
      <c r="G17" s="520">
        <v>3725940</v>
      </c>
      <c r="H17" s="521">
        <f t="shared" si="1"/>
        <v>4775943</v>
      </c>
    </row>
    <row r="18" spans="1:8" ht="15.75">
      <c r="A18" s="115">
        <v>2.9</v>
      </c>
      <c r="B18" s="47" t="s">
        <v>107</v>
      </c>
      <c r="C18" s="520">
        <v>2274277.84</v>
      </c>
      <c r="D18" s="520">
        <v>12810488.439999998</v>
      </c>
      <c r="E18" s="510">
        <f t="shared" si="0"/>
        <v>15084766.279999997</v>
      </c>
      <c r="F18" s="520">
        <v>3210104.5999999978</v>
      </c>
      <c r="G18" s="520">
        <v>10319599.820000004</v>
      </c>
      <c r="H18" s="521">
        <f t="shared" si="1"/>
        <v>13529704.420000002</v>
      </c>
    </row>
    <row r="19" spans="1:8" ht="15.75">
      <c r="A19" s="115">
        <v>3</v>
      </c>
      <c r="B19" s="46" t="s">
        <v>108</v>
      </c>
      <c r="C19" s="520">
        <v>903397</v>
      </c>
      <c r="D19" s="520">
        <v>3311859</v>
      </c>
      <c r="E19" s="510">
        <f t="shared" si="0"/>
        <v>4215256</v>
      </c>
      <c r="F19" s="520">
        <v>523020</v>
      </c>
      <c r="G19" s="520">
        <v>1647076</v>
      </c>
      <c r="H19" s="521">
        <f t="shared" si="1"/>
        <v>2170096</v>
      </c>
    </row>
    <row r="20" spans="1:8" ht="15.75">
      <c r="A20" s="115">
        <v>4</v>
      </c>
      <c r="B20" s="46" t="s">
        <v>109</v>
      </c>
      <c r="C20" s="520">
        <v>521011</v>
      </c>
      <c r="D20" s="520">
        <v>1771245</v>
      </c>
      <c r="E20" s="510">
        <f t="shared" si="0"/>
        <v>2292256</v>
      </c>
      <c r="F20" s="520">
        <v>1227204</v>
      </c>
      <c r="G20" s="520">
        <v>0</v>
      </c>
      <c r="H20" s="521">
        <f t="shared" si="1"/>
        <v>1227204</v>
      </c>
    </row>
    <row r="21" spans="1:8" ht="15.75">
      <c r="A21" s="115">
        <v>5</v>
      </c>
      <c r="B21" s="46" t="s">
        <v>110</v>
      </c>
      <c r="C21" s="520">
        <v>0</v>
      </c>
      <c r="D21" s="520">
        <v>1791</v>
      </c>
      <c r="E21" s="510">
        <f t="shared" si="0"/>
        <v>1791</v>
      </c>
      <c r="F21" s="520">
        <v>0</v>
      </c>
      <c r="G21" s="520">
        <v>18561</v>
      </c>
      <c r="H21" s="521">
        <f>F21+G21</f>
        <v>18561</v>
      </c>
    </row>
    <row r="22" spans="1:8" ht="15.75">
      <c r="A22" s="115">
        <v>6</v>
      </c>
      <c r="B22" s="48" t="s">
        <v>111</v>
      </c>
      <c r="C22" s="522">
        <f>C8+C9+C19+C20+C21</f>
        <v>32661085</v>
      </c>
      <c r="D22" s="522">
        <f>D8+D9+D19+D20+D21</f>
        <v>51786538</v>
      </c>
      <c r="E22" s="510">
        <f>C22+D22</f>
        <v>84447623</v>
      </c>
      <c r="F22" s="522">
        <f>F8+F9+F19+F20+F21</f>
        <v>31514902</v>
      </c>
      <c r="G22" s="522">
        <f>G8+G9+G19+G20+G21</f>
        <v>43967076</v>
      </c>
      <c r="H22" s="521">
        <f>F22+G22</f>
        <v>75481978</v>
      </c>
    </row>
    <row r="23" spans="1:8" ht="15.75">
      <c r="A23" s="115"/>
      <c r="B23" s="44" t="s">
        <v>90</v>
      </c>
      <c r="C23" s="520"/>
      <c r="D23" s="520"/>
      <c r="E23" s="509"/>
      <c r="F23" s="520"/>
      <c r="G23" s="520"/>
      <c r="H23" s="523"/>
    </row>
    <row r="24" spans="1:8" ht="15.75">
      <c r="A24" s="115">
        <v>7</v>
      </c>
      <c r="B24" s="46" t="s">
        <v>112</v>
      </c>
      <c r="C24" s="520">
        <v>1082397</v>
      </c>
      <c r="D24" s="520">
        <v>-177301</v>
      </c>
      <c r="E24" s="510">
        <f t="shared" si="0"/>
        <v>905096</v>
      </c>
      <c r="F24" s="520">
        <v>828238</v>
      </c>
      <c r="G24" s="520">
        <v>595958</v>
      </c>
      <c r="H24" s="521">
        <f t="shared" si="1"/>
        <v>1424196</v>
      </c>
    </row>
    <row r="25" spans="1:8" ht="15.75">
      <c r="A25" s="115">
        <v>8</v>
      </c>
      <c r="B25" s="46" t="s">
        <v>113</v>
      </c>
      <c r="C25" s="520">
        <v>8281377</v>
      </c>
      <c r="D25" s="520">
        <v>16997895</v>
      </c>
      <c r="E25" s="510">
        <f t="shared" si="0"/>
        <v>25279272</v>
      </c>
      <c r="F25" s="520">
        <v>5742185</v>
      </c>
      <c r="G25" s="520">
        <v>15410329</v>
      </c>
      <c r="H25" s="521">
        <f t="shared" si="1"/>
        <v>21152514</v>
      </c>
    </row>
    <row r="26" spans="1:8" ht="15.75">
      <c r="A26" s="115">
        <v>9</v>
      </c>
      <c r="B26" s="46" t="s">
        <v>114</v>
      </c>
      <c r="C26" s="520">
        <v>13058</v>
      </c>
      <c r="D26" s="520">
        <v>513</v>
      </c>
      <c r="E26" s="510">
        <f t="shared" si="0"/>
        <v>13571</v>
      </c>
      <c r="F26" s="520">
        <v>59766</v>
      </c>
      <c r="G26" s="520">
        <v>493</v>
      </c>
      <c r="H26" s="521">
        <f t="shared" si="1"/>
        <v>60259</v>
      </c>
    </row>
    <row r="27" spans="1:8" ht="15.75">
      <c r="A27" s="115">
        <v>10</v>
      </c>
      <c r="B27" s="46" t="s">
        <v>115</v>
      </c>
      <c r="C27" s="520">
        <v>0</v>
      </c>
      <c r="D27" s="520">
        <v>0</v>
      </c>
      <c r="E27" s="510">
        <f t="shared" si="0"/>
        <v>0</v>
      </c>
      <c r="F27" s="520">
        <v>0</v>
      </c>
      <c r="G27" s="520">
        <v>0</v>
      </c>
      <c r="H27" s="521">
        <f t="shared" si="1"/>
        <v>0</v>
      </c>
    </row>
    <row r="28" spans="1:8" ht="15.75">
      <c r="A28" s="115">
        <v>11</v>
      </c>
      <c r="B28" s="46" t="s">
        <v>116</v>
      </c>
      <c r="C28" s="520">
        <v>0</v>
      </c>
      <c r="D28" s="520">
        <v>9290869</v>
      </c>
      <c r="E28" s="510">
        <f t="shared" si="0"/>
        <v>9290869</v>
      </c>
      <c r="F28" s="520">
        <v>0</v>
      </c>
      <c r="G28" s="520">
        <v>11882282</v>
      </c>
      <c r="H28" s="521">
        <f t="shared" si="1"/>
        <v>11882282</v>
      </c>
    </row>
    <row r="29" spans="1:8" ht="15.75">
      <c r="A29" s="115">
        <v>12</v>
      </c>
      <c r="B29" s="46" t="s">
        <v>117</v>
      </c>
      <c r="C29" s="520"/>
      <c r="D29" s="520"/>
      <c r="E29" s="510">
        <f t="shared" si="0"/>
        <v>0</v>
      </c>
      <c r="F29" s="520"/>
      <c r="G29" s="520"/>
      <c r="H29" s="521">
        <f t="shared" si="1"/>
        <v>0</v>
      </c>
    </row>
    <row r="30" spans="1:8" ht="15.75">
      <c r="A30" s="115">
        <v>13</v>
      </c>
      <c r="B30" s="49" t="s">
        <v>118</v>
      </c>
      <c r="C30" s="522">
        <f>SUM(C24:C29)</f>
        <v>9376832</v>
      </c>
      <c r="D30" s="522">
        <f>SUM(D24:D29)</f>
        <v>26111976</v>
      </c>
      <c r="E30" s="510">
        <f t="shared" si="0"/>
        <v>35488808</v>
      </c>
      <c r="F30" s="522">
        <f>SUM(F24:F29)</f>
        <v>6630189</v>
      </c>
      <c r="G30" s="522">
        <f>SUM(G24:G29)</f>
        <v>27889062</v>
      </c>
      <c r="H30" s="521">
        <f t="shared" si="1"/>
        <v>34519251</v>
      </c>
    </row>
    <row r="31" spans="1:8" ht="15.75">
      <c r="A31" s="115">
        <v>14</v>
      </c>
      <c r="B31" s="49" t="s">
        <v>119</v>
      </c>
      <c r="C31" s="522">
        <f>C22-C30</f>
        <v>23284253</v>
      </c>
      <c r="D31" s="522">
        <f>D22-D30</f>
        <v>25674562</v>
      </c>
      <c r="E31" s="510">
        <f t="shared" si="0"/>
        <v>48958815</v>
      </c>
      <c r="F31" s="522">
        <f>F22-F30</f>
        <v>24884713</v>
      </c>
      <c r="G31" s="522">
        <f>G22-G30</f>
        <v>16078014</v>
      </c>
      <c r="H31" s="521">
        <f t="shared" si="1"/>
        <v>40962727</v>
      </c>
    </row>
    <row r="32" spans="1:8">
      <c r="A32" s="115"/>
      <c r="B32" s="44"/>
      <c r="C32" s="524"/>
      <c r="D32" s="524"/>
      <c r="E32" s="524"/>
      <c r="F32" s="524"/>
      <c r="G32" s="524"/>
      <c r="H32" s="525"/>
    </row>
    <row r="33" spans="1:8" ht="15.75">
      <c r="A33" s="115"/>
      <c r="B33" s="44" t="s">
        <v>120</v>
      </c>
      <c r="C33" s="520"/>
      <c r="D33" s="520"/>
      <c r="E33" s="509"/>
      <c r="F33" s="520"/>
      <c r="G33" s="520"/>
      <c r="H33" s="523"/>
    </row>
    <row r="34" spans="1:8" ht="15.75">
      <c r="A34" s="115">
        <v>15</v>
      </c>
      <c r="B34" s="43" t="s">
        <v>91</v>
      </c>
      <c r="C34" s="522">
        <f>C35-C36</f>
        <v>68514</v>
      </c>
      <c r="D34" s="522">
        <f>D35-D36</f>
        <v>-4458396</v>
      </c>
      <c r="E34" s="510">
        <f t="shared" si="0"/>
        <v>-4389882</v>
      </c>
      <c r="F34" s="522">
        <f>F35-F36</f>
        <v>-142032</v>
      </c>
      <c r="G34" s="522">
        <f>G35-G36</f>
        <v>-4137021</v>
      </c>
      <c r="H34" s="521">
        <f t="shared" si="1"/>
        <v>-4279053</v>
      </c>
    </row>
    <row r="35" spans="1:8" ht="15.75">
      <c r="A35" s="115">
        <v>15.1</v>
      </c>
      <c r="B35" s="47" t="s">
        <v>121</v>
      </c>
      <c r="C35" s="520">
        <v>3277417</v>
      </c>
      <c r="D35" s="520">
        <v>2175164</v>
      </c>
      <c r="E35" s="510">
        <f t="shared" si="0"/>
        <v>5452581</v>
      </c>
      <c r="F35" s="520">
        <v>2792604</v>
      </c>
      <c r="G35" s="520">
        <v>1995020</v>
      </c>
      <c r="H35" s="521">
        <f t="shared" si="1"/>
        <v>4787624</v>
      </c>
    </row>
    <row r="36" spans="1:8" ht="15.75">
      <c r="A36" s="115">
        <v>15.2</v>
      </c>
      <c r="B36" s="47" t="s">
        <v>122</v>
      </c>
      <c r="C36" s="520">
        <v>3208903</v>
      </c>
      <c r="D36" s="520">
        <v>6633560</v>
      </c>
      <c r="E36" s="510">
        <f t="shared" si="0"/>
        <v>9842463</v>
      </c>
      <c r="F36" s="520">
        <v>2934636</v>
      </c>
      <c r="G36" s="520">
        <v>6132041</v>
      </c>
      <c r="H36" s="521">
        <f t="shared" si="1"/>
        <v>9066677</v>
      </c>
    </row>
    <row r="37" spans="1:8" ht="15.75">
      <c r="A37" s="115">
        <v>16</v>
      </c>
      <c r="B37" s="46" t="s">
        <v>123</v>
      </c>
      <c r="C37" s="520">
        <v>138056</v>
      </c>
      <c r="D37" s="520">
        <v>0</v>
      </c>
      <c r="E37" s="510">
        <f t="shared" si="0"/>
        <v>138056</v>
      </c>
      <c r="F37" s="520">
        <v>0</v>
      </c>
      <c r="G37" s="520">
        <v>0</v>
      </c>
      <c r="H37" s="521">
        <f t="shared" si="1"/>
        <v>0</v>
      </c>
    </row>
    <row r="38" spans="1:8" ht="15.75">
      <c r="A38" s="115">
        <v>17</v>
      </c>
      <c r="B38" s="46" t="s">
        <v>124</v>
      </c>
      <c r="C38" s="520">
        <v>3321128</v>
      </c>
      <c r="D38" s="520">
        <v>0</v>
      </c>
      <c r="E38" s="510">
        <f t="shared" si="0"/>
        <v>3321128</v>
      </c>
      <c r="F38" s="520">
        <v>2312905</v>
      </c>
      <c r="G38" s="520">
        <v>0</v>
      </c>
      <c r="H38" s="521">
        <f t="shared" si="1"/>
        <v>2312905</v>
      </c>
    </row>
    <row r="39" spans="1:8" ht="15.75">
      <c r="A39" s="115">
        <v>18</v>
      </c>
      <c r="B39" s="46" t="s">
        <v>125</v>
      </c>
      <c r="C39" s="520">
        <v>-162700</v>
      </c>
      <c r="D39" s="520">
        <v>-4</v>
      </c>
      <c r="E39" s="510">
        <f t="shared" si="0"/>
        <v>-162704</v>
      </c>
      <c r="F39" s="520">
        <v>127410</v>
      </c>
      <c r="G39" s="520">
        <v>1709706</v>
      </c>
      <c r="H39" s="521">
        <f t="shared" si="1"/>
        <v>1837116</v>
      </c>
    </row>
    <row r="40" spans="1:8" ht="15.75">
      <c r="A40" s="115">
        <v>19</v>
      </c>
      <c r="B40" s="46" t="s">
        <v>126</v>
      </c>
      <c r="C40" s="520">
        <v>3750037</v>
      </c>
      <c r="D40" s="520"/>
      <c r="E40" s="510">
        <f t="shared" si="0"/>
        <v>3750037</v>
      </c>
      <c r="F40" s="520">
        <v>5601824</v>
      </c>
      <c r="G40" s="520"/>
      <c r="H40" s="521">
        <f t="shared" si="1"/>
        <v>5601824</v>
      </c>
    </row>
    <row r="41" spans="1:8" ht="15.75">
      <c r="A41" s="115">
        <v>20</v>
      </c>
      <c r="B41" s="46" t="s">
        <v>127</v>
      </c>
      <c r="C41" s="520">
        <v>-3928568</v>
      </c>
      <c r="D41" s="520"/>
      <c r="E41" s="510">
        <f t="shared" si="0"/>
        <v>-3928568</v>
      </c>
      <c r="F41" s="520">
        <v>-294155</v>
      </c>
      <c r="G41" s="520"/>
      <c r="H41" s="521">
        <f t="shared" si="1"/>
        <v>-294155</v>
      </c>
    </row>
    <row r="42" spans="1:8" ht="15.75">
      <c r="A42" s="115">
        <v>21</v>
      </c>
      <c r="B42" s="46" t="s">
        <v>128</v>
      </c>
      <c r="C42" s="520">
        <v>13012</v>
      </c>
      <c r="D42" s="520">
        <v>0</v>
      </c>
      <c r="E42" s="510">
        <f t="shared" si="0"/>
        <v>13012</v>
      </c>
      <c r="F42" s="520">
        <v>6350</v>
      </c>
      <c r="G42" s="520">
        <v>0</v>
      </c>
      <c r="H42" s="521">
        <f t="shared" si="1"/>
        <v>6350</v>
      </c>
    </row>
    <row r="43" spans="1:8" ht="15.75">
      <c r="A43" s="115">
        <v>22</v>
      </c>
      <c r="B43" s="46" t="s">
        <v>129</v>
      </c>
      <c r="C43" s="520">
        <v>1485366</v>
      </c>
      <c r="D43" s="520">
        <v>242031</v>
      </c>
      <c r="E43" s="510">
        <f t="shared" si="0"/>
        <v>1727397</v>
      </c>
      <c r="F43" s="520">
        <v>1397214</v>
      </c>
      <c r="G43" s="520">
        <v>294498</v>
      </c>
      <c r="H43" s="521">
        <f t="shared" si="1"/>
        <v>1691712</v>
      </c>
    </row>
    <row r="44" spans="1:8" ht="15.75">
      <c r="A44" s="115">
        <v>23</v>
      </c>
      <c r="B44" s="46" t="s">
        <v>130</v>
      </c>
      <c r="C44" s="520">
        <v>10588767</v>
      </c>
      <c r="D44" s="520">
        <v>247898</v>
      </c>
      <c r="E44" s="510">
        <f t="shared" si="0"/>
        <v>10836665</v>
      </c>
      <c r="F44" s="520">
        <v>3415429</v>
      </c>
      <c r="G44" s="520">
        <v>63373</v>
      </c>
      <c r="H44" s="521">
        <f t="shared" si="1"/>
        <v>3478802</v>
      </c>
    </row>
    <row r="45" spans="1:8" ht="15.75">
      <c r="A45" s="115">
        <v>24</v>
      </c>
      <c r="B45" s="49" t="s">
        <v>131</v>
      </c>
      <c r="C45" s="522">
        <f>C34+C37+C38+C39+C40+C41+C42+C43+C44</f>
        <v>15273612</v>
      </c>
      <c r="D45" s="522">
        <f>D34+D37+D38+D39+D40+D41+D42+D43+D44</f>
        <v>-3968471</v>
      </c>
      <c r="E45" s="510">
        <f t="shared" si="0"/>
        <v>11305141</v>
      </c>
      <c r="F45" s="522">
        <f>F34+F37+F38+F39+F40+F41+F42+F43+F44</f>
        <v>12424945</v>
      </c>
      <c r="G45" s="522">
        <f>G34+G37+G38+G39+G40+G41+G42+G43+G44</f>
        <v>-2069444</v>
      </c>
      <c r="H45" s="521">
        <f t="shared" si="1"/>
        <v>10355501</v>
      </c>
    </row>
    <row r="46" spans="1:8">
      <c r="A46" s="115"/>
      <c r="B46" s="44" t="s">
        <v>132</v>
      </c>
      <c r="C46" s="520"/>
      <c r="D46" s="520"/>
      <c r="E46" s="520"/>
      <c r="F46" s="520"/>
      <c r="G46" s="520"/>
      <c r="H46" s="526"/>
    </row>
    <row r="47" spans="1:8" ht="15.75">
      <c r="A47" s="115">
        <v>25</v>
      </c>
      <c r="B47" s="46" t="s">
        <v>133</v>
      </c>
      <c r="C47" s="520">
        <v>636280</v>
      </c>
      <c r="D47" s="520">
        <v>10835</v>
      </c>
      <c r="E47" s="510">
        <f t="shared" si="0"/>
        <v>647115</v>
      </c>
      <c r="F47" s="520">
        <v>754275</v>
      </c>
      <c r="G47" s="520">
        <v>29825</v>
      </c>
      <c r="H47" s="521">
        <f t="shared" si="1"/>
        <v>784100</v>
      </c>
    </row>
    <row r="48" spans="1:8" ht="15.75">
      <c r="A48" s="115">
        <v>26</v>
      </c>
      <c r="B48" s="46" t="s">
        <v>134</v>
      </c>
      <c r="C48" s="520">
        <v>397580</v>
      </c>
      <c r="D48" s="520">
        <v>1420</v>
      </c>
      <c r="E48" s="510">
        <f t="shared" si="0"/>
        <v>399000</v>
      </c>
      <c r="F48" s="520">
        <v>484265</v>
      </c>
      <c r="G48" s="520">
        <v>42543</v>
      </c>
      <c r="H48" s="521">
        <f t="shared" si="1"/>
        <v>526808</v>
      </c>
    </row>
    <row r="49" spans="1:9" ht="15.75">
      <c r="A49" s="115">
        <v>27</v>
      </c>
      <c r="B49" s="46" t="s">
        <v>135</v>
      </c>
      <c r="C49" s="520">
        <v>13067018</v>
      </c>
      <c r="D49" s="520"/>
      <c r="E49" s="510">
        <f t="shared" si="0"/>
        <v>13067018</v>
      </c>
      <c r="F49" s="520">
        <v>12791374</v>
      </c>
      <c r="G49" s="520"/>
      <c r="H49" s="521">
        <f t="shared" si="1"/>
        <v>12791374</v>
      </c>
    </row>
    <row r="50" spans="1:9" ht="15.75">
      <c r="A50" s="115">
        <v>28</v>
      </c>
      <c r="B50" s="46" t="s">
        <v>271</v>
      </c>
      <c r="C50" s="520">
        <v>45754</v>
      </c>
      <c r="D50" s="520"/>
      <c r="E50" s="510">
        <f t="shared" si="0"/>
        <v>45754</v>
      </c>
      <c r="F50" s="520">
        <v>63762</v>
      </c>
      <c r="G50" s="520"/>
      <c r="H50" s="521">
        <f t="shared" si="1"/>
        <v>63762</v>
      </c>
    </row>
    <row r="51" spans="1:9" ht="15.75">
      <c r="A51" s="115">
        <v>29</v>
      </c>
      <c r="B51" s="46" t="s">
        <v>136</v>
      </c>
      <c r="C51" s="520">
        <v>4437352</v>
      </c>
      <c r="D51" s="520"/>
      <c r="E51" s="510">
        <f t="shared" si="0"/>
        <v>4437352</v>
      </c>
      <c r="F51" s="520">
        <v>4339236</v>
      </c>
      <c r="G51" s="520"/>
      <c r="H51" s="521">
        <f t="shared" si="1"/>
        <v>4339236</v>
      </c>
    </row>
    <row r="52" spans="1:9" ht="15.75">
      <c r="A52" s="115">
        <v>30</v>
      </c>
      <c r="B52" s="46" t="s">
        <v>137</v>
      </c>
      <c r="C52" s="520">
        <v>10353892</v>
      </c>
      <c r="D52" s="520">
        <v>244798</v>
      </c>
      <c r="E52" s="510">
        <f t="shared" si="0"/>
        <v>10598690</v>
      </c>
      <c r="F52" s="520">
        <v>5275384</v>
      </c>
      <c r="G52" s="520">
        <v>201968</v>
      </c>
      <c r="H52" s="521">
        <f t="shared" si="1"/>
        <v>5477352</v>
      </c>
    </row>
    <row r="53" spans="1:9" ht="15.75">
      <c r="A53" s="115">
        <v>31</v>
      </c>
      <c r="B53" s="49" t="s">
        <v>138</v>
      </c>
      <c r="C53" s="522">
        <f>C47+C48+C49+C50+C51+C52</f>
        <v>28937876</v>
      </c>
      <c r="D53" s="522">
        <f>D47+D48+D49+D50+D51+D52</f>
        <v>257053</v>
      </c>
      <c r="E53" s="510">
        <f t="shared" si="0"/>
        <v>29194929</v>
      </c>
      <c r="F53" s="522">
        <f>F47+F48+F49+F50+F51+F52</f>
        <v>23708296</v>
      </c>
      <c r="G53" s="522">
        <f>G47+G48+G49+G50+G51+G52</f>
        <v>274336</v>
      </c>
      <c r="H53" s="521">
        <f t="shared" si="1"/>
        <v>23982632</v>
      </c>
    </row>
    <row r="54" spans="1:9" ht="15.75">
      <c r="A54" s="115">
        <v>32</v>
      </c>
      <c r="B54" s="49" t="s">
        <v>139</v>
      </c>
      <c r="C54" s="522">
        <f>C45-C53</f>
        <v>-13664264</v>
      </c>
      <c r="D54" s="522">
        <f>D45-D53</f>
        <v>-4225524</v>
      </c>
      <c r="E54" s="510">
        <f t="shared" si="0"/>
        <v>-17889788</v>
      </c>
      <c r="F54" s="522">
        <f>F45-F53</f>
        <v>-11283351</v>
      </c>
      <c r="G54" s="522">
        <f>G45-G53</f>
        <v>-2343780</v>
      </c>
      <c r="H54" s="521">
        <f t="shared" si="1"/>
        <v>-13627131</v>
      </c>
    </row>
    <row r="55" spans="1:9">
      <c r="A55" s="115"/>
      <c r="B55" s="44"/>
      <c r="C55" s="524"/>
      <c r="D55" s="524"/>
      <c r="E55" s="524"/>
      <c r="F55" s="524"/>
      <c r="G55" s="524"/>
      <c r="H55" s="525"/>
    </row>
    <row r="56" spans="1:9" ht="15.75">
      <c r="A56" s="115">
        <v>33</v>
      </c>
      <c r="B56" s="49" t="s">
        <v>140</v>
      </c>
      <c r="C56" s="522">
        <f>C31+C54</f>
        <v>9619989</v>
      </c>
      <c r="D56" s="522">
        <f>D31+D54</f>
        <v>21449038</v>
      </c>
      <c r="E56" s="510">
        <f t="shared" si="0"/>
        <v>31069027</v>
      </c>
      <c r="F56" s="522">
        <f>F31+F54</f>
        <v>13601362</v>
      </c>
      <c r="G56" s="522">
        <f>G31+G54</f>
        <v>13734234</v>
      </c>
      <c r="H56" s="521">
        <f t="shared" si="1"/>
        <v>27335596</v>
      </c>
    </row>
    <row r="57" spans="1:9">
      <c r="A57" s="115"/>
      <c r="B57" s="44"/>
      <c r="C57" s="524"/>
      <c r="D57" s="524"/>
      <c r="E57" s="524"/>
      <c r="F57" s="524"/>
      <c r="G57" s="524"/>
      <c r="H57" s="525"/>
    </row>
    <row r="58" spans="1:9" ht="15.75">
      <c r="A58" s="115">
        <v>34</v>
      </c>
      <c r="B58" s="46" t="s">
        <v>141</v>
      </c>
      <c r="C58" s="520">
        <v>-13172293</v>
      </c>
      <c r="D58" s="520"/>
      <c r="E58" s="510">
        <f>C58</f>
        <v>-13172293</v>
      </c>
      <c r="F58" s="520">
        <v>45022124</v>
      </c>
      <c r="G58" s="520"/>
      <c r="H58" s="521">
        <f t="shared" si="1"/>
        <v>45022124</v>
      </c>
    </row>
    <row r="59" spans="1:9" s="190" customFormat="1" ht="15.75">
      <c r="A59" s="115">
        <v>35</v>
      </c>
      <c r="B59" s="43" t="s">
        <v>142</v>
      </c>
      <c r="C59" s="520">
        <v>-17900</v>
      </c>
      <c r="D59" s="527"/>
      <c r="E59" s="528">
        <f>C59</f>
        <v>-17900</v>
      </c>
      <c r="F59" s="529">
        <v>-1310153</v>
      </c>
      <c r="G59" s="529"/>
      <c r="H59" s="530">
        <f t="shared" si="1"/>
        <v>-1310153</v>
      </c>
      <c r="I59" s="189"/>
    </row>
    <row r="60" spans="1:9" ht="15.75">
      <c r="A60" s="115">
        <v>36</v>
      </c>
      <c r="B60" s="46" t="s">
        <v>143</v>
      </c>
      <c r="C60" s="520">
        <v>3942025</v>
      </c>
      <c r="D60" s="520"/>
      <c r="E60" s="510">
        <f>C60</f>
        <v>3942025</v>
      </c>
      <c r="F60" s="520">
        <v>12461133</v>
      </c>
      <c r="G60" s="520"/>
      <c r="H60" s="521">
        <f t="shared" si="1"/>
        <v>12461133</v>
      </c>
    </row>
    <row r="61" spans="1:9" ht="15.75">
      <c r="A61" s="115">
        <v>37</v>
      </c>
      <c r="B61" s="49" t="s">
        <v>144</v>
      </c>
      <c r="C61" s="522">
        <f>C58+C59+C60</f>
        <v>-9248168</v>
      </c>
      <c r="D61" s="522">
        <f>D58+D59+D60</f>
        <v>0</v>
      </c>
      <c r="E61" s="510">
        <f t="shared" si="0"/>
        <v>-9248168</v>
      </c>
      <c r="F61" s="522">
        <f>F58+F59+F60</f>
        <v>56173104</v>
      </c>
      <c r="G61" s="522">
        <f>G58+G59+G60</f>
        <v>0</v>
      </c>
      <c r="H61" s="521">
        <f t="shared" si="1"/>
        <v>56173104</v>
      </c>
    </row>
    <row r="62" spans="1:9">
      <c r="A62" s="115"/>
      <c r="B62" s="50"/>
      <c r="C62" s="520"/>
      <c r="D62" s="520"/>
      <c r="E62" s="520"/>
      <c r="F62" s="520"/>
      <c r="G62" s="520"/>
      <c r="H62" s="526"/>
    </row>
    <row r="63" spans="1:9" ht="15.75">
      <c r="A63" s="115">
        <v>38</v>
      </c>
      <c r="B63" s="51" t="s">
        <v>272</v>
      </c>
      <c r="C63" s="522">
        <f>C56-C61</f>
        <v>18868157</v>
      </c>
      <c r="D63" s="522">
        <f>D56-D61</f>
        <v>21449038</v>
      </c>
      <c r="E63" s="510">
        <f t="shared" si="0"/>
        <v>40317195</v>
      </c>
      <c r="F63" s="522">
        <f>F56-F61</f>
        <v>-42571742</v>
      </c>
      <c r="G63" s="522">
        <f>G56-G61</f>
        <v>13734234</v>
      </c>
      <c r="H63" s="521">
        <f t="shared" si="1"/>
        <v>-28837508</v>
      </c>
    </row>
    <row r="64" spans="1:9" ht="15.75">
      <c r="A64" s="113">
        <v>39</v>
      </c>
      <c r="B64" s="46" t="s">
        <v>145</v>
      </c>
      <c r="C64" s="531">
        <v>6298696</v>
      </c>
      <c r="D64" s="531"/>
      <c r="E64" s="510">
        <f t="shared" si="0"/>
        <v>6298696</v>
      </c>
      <c r="F64" s="531">
        <v>-4085878</v>
      </c>
      <c r="G64" s="531"/>
      <c r="H64" s="521">
        <f t="shared" si="1"/>
        <v>-4085878</v>
      </c>
    </row>
    <row r="65" spans="1:8" ht="15.75">
      <c r="A65" s="115">
        <v>40</v>
      </c>
      <c r="B65" s="49" t="s">
        <v>146</v>
      </c>
      <c r="C65" s="522">
        <f>C63-C64</f>
        <v>12569461</v>
      </c>
      <c r="D65" s="522">
        <f>D63-D64</f>
        <v>21449038</v>
      </c>
      <c r="E65" s="510">
        <f t="shared" si="0"/>
        <v>34018499</v>
      </c>
      <c r="F65" s="522">
        <f>F63-F64</f>
        <v>-38485864</v>
      </c>
      <c r="G65" s="522">
        <f>G63-G64</f>
        <v>13734234</v>
      </c>
      <c r="H65" s="521">
        <f t="shared" si="1"/>
        <v>-24751630</v>
      </c>
    </row>
    <row r="66" spans="1:8" ht="15.75">
      <c r="A66" s="113">
        <v>41</v>
      </c>
      <c r="B66" s="46" t="s">
        <v>147</v>
      </c>
      <c r="C66" s="531">
        <v>0</v>
      </c>
      <c r="D66" s="531"/>
      <c r="E66" s="510">
        <f t="shared" si="0"/>
        <v>0</v>
      </c>
      <c r="F66" s="531">
        <v>0</v>
      </c>
      <c r="G66" s="531"/>
      <c r="H66" s="521">
        <f t="shared" si="1"/>
        <v>0</v>
      </c>
    </row>
    <row r="67" spans="1:8" ht="16.5" thickBot="1">
      <c r="A67" s="117">
        <v>42</v>
      </c>
      <c r="B67" s="118" t="s">
        <v>148</v>
      </c>
      <c r="C67" s="218">
        <f>C65+C66</f>
        <v>12569461</v>
      </c>
      <c r="D67" s="218">
        <f>D65+D66</f>
        <v>21449038</v>
      </c>
      <c r="E67" s="216">
        <f t="shared" si="0"/>
        <v>34018499</v>
      </c>
      <c r="F67" s="218">
        <f>F65+F66</f>
        <v>-38485864</v>
      </c>
      <c r="G67" s="218">
        <f>G65+G66</f>
        <v>13734234</v>
      </c>
      <c r="H67" s="219">
        <f t="shared" si="1"/>
        <v>-24751630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C8" sqref="C8"/>
    </sheetView>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390">
        <f>'1. key ratios'!B2</f>
        <v>44561</v>
      </c>
    </row>
    <row r="3" spans="1:8">
      <c r="A3" s="1"/>
    </row>
    <row r="4" spans="1:8" ht="16.5" thickBot="1">
      <c r="A4" s="1" t="s">
        <v>408</v>
      </c>
      <c r="B4" s="1"/>
      <c r="C4" s="199"/>
      <c r="D4" s="199"/>
      <c r="E4" s="199"/>
      <c r="F4" s="199"/>
      <c r="G4" s="199"/>
      <c r="H4" s="200" t="s">
        <v>93</v>
      </c>
    </row>
    <row r="5" spans="1:8" ht="15.75">
      <c r="A5" s="689" t="s">
        <v>26</v>
      </c>
      <c r="B5" s="691" t="s">
        <v>245</v>
      </c>
      <c r="C5" s="693" t="s">
        <v>194</v>
      </c>
      <c r="D5" s="693"/>
      <c r="E5" s="693"/>
      <c r="F5" s="693" t="s">
        <v>195</v>
      </c>
      <c r="G5" s="693"/>
      <c r="H5" s="694"/>
    </row>
    <row r="6" spans="1:8">
      <c r="A6" s="690"/>
      <c r="B6" s="692"/>
      <c r="C6" s="32" t="s">
        <v>27</v>
      </c>
      <c r="D6" s="32" t="s">
        <v>94</v>
      </c>
      <c r="E6" s="32" t="s">
        <v>68</v>
      </c>
      <c r="F6" s="32" t="s">
        <v>27</v>
      </c>
      <c r="G6" s="32" t="s">
        <v>94</v>
      </c>
      <c r="H6" s="33" t="s">
        <v>68</v>
      </c>
    </row>
    <row r="7" spans="1:8" ht="15.75">
      <c r="A7" s="107">
        <v>1</v>
      </c>
      <c r="B7" s="201" t="s">
        <v>483</v>
      </c>
      <c r="C7" s="214"/>
      <c r="D7" s="214"/>
      <c r="E7" s="220">
        <f>C7+D7</f>
        <v>0</v>
      </c>
      <c r="F7" s="214"/>
      <c r="G7" s="214"/>
      <c r="H7" s="215">
        <f t="shared" ref="H7:H53" si="0">F7+G7</f>
        <v>0</v>
      </c>
    </row>
    <row r="8" spans="1:8" ht="15.75">
      <c r="A8" s="107">
        <v>1.1000000000000001</v>
      </c>
      <c r="B8" s="202" t="s">
        <v>276</v>
      </c>
      <c r="C8" s="512">
        <v>20570996</v>
      </c>
      <c r="D8" s="512">
        <v>10342848</v>
      </c>
      <c r="E8" s="532">
        <f>C8+D8</f>
        <v>30913844</v>
      </c>
      <c r="F8" s="512">
        <v>31386412</v>
      </c>
      <c r="G8" s="512">
        <v>8984046</v>
      </c>
      <c r="H8" s="513">
        <f t="shared" si="0"/>
        <v>40370458</v>
      </c>
    </row>
    <row r="9" spans="1:8" ht="15.75">
      <c r="A9" s="107">
        <v>1.2</v>
      </c>
      <c r="B9" s="202" t="s">
        <v>277</v>
      </c>
      <c r="C9" s="512"/>
      <c r="D9" s="512">
        <v>0</v>
      </c>
      <c r="E9" s="532">
        <f t="shared" ref="E9:E52" si="1">C9+D9</f>
        <v>0</v>
      </c>
      <c r="F9" s="512"/>
      <c r="G9" s="512"/>
      <c r="H9" s="513">
        <f t="shared" si="0"/>
        <v>0</v>
      </c>
    </row>
    <row r="10" spans="1:8" ht="15.75">
      <c r="A10" s="107">
        <v>1.3</v>
      </c>
      <c r="B10" s="202" t="s">
        <v>278</v>
      </c>
      <c r="C10" s="512">
        <v>15360014</v>
      </c>
      <c r="D10" s="512">
        <v>19962081</v>
      </c>
      <c r="E10" s="532">
        <f t="shared" si="1"/>
        <v>35322095</v>
      </c>
      <c r="F10" s="512">
        <v>12408289</v>
      </c>
      <c r="G10" s="512">
        <v>25631524</v>
      </c>
      <c r="H10" s="513">
        <f t="shared" si="0"/>
        <v>38039813</v>
      </c>
    </row>
    <row r="11" spans="1:8" ht="15.75">
      <c r="A11" s="107">
        <v>1.4</v>
      </c>
      <c r="B11" s="202" t="s">
        <v>279</v>
      </c>
      <c r="C11" s="512">
        <v>8975</v>
      </c>
      <c r="D11" s="512">
        <v>0</v>
      </c>
      <c r="E11" s="532">
        <f t="shared" si="1"/>
        <v>8975</v>
      </c>
      <c r="F11" s="512">
        <v>19035</v>
      </c>
      <c r="G11" s="512">
        <v>0</v>
      </c>
      <c r="H11" s="513">
        <f t="shared" si="0"/>
        <v>19035</v>
      </c>
    </row>
    <row r="12" spans="1:8" ht="29.25" customHeight="1">
      <c r="A12" s="107">
        <v>2</v>
      </c>
      <c r="B12" s="201" t="s">
        <v>280</v>
      </c>
      <c r="C12" s="512"/>
      <c r="D12" s="512"/>
      <c r="E12" s="532">
        <f t="shared" si="1"/>
        <v>0</v>
      </c>
      <c r="F12" s="512"/>
      <c r="G12" s="512"/>
      <c r="H12" s="513">
        <f t="shared" si="0"/>
        <v>0</v>
      </c>
    </row>
    <row r="13" spans="1:8" ht="25.5">
      <c r="A13" s="107">
        <v>3</v>
      </c>
      <c r="B13" s="201" t="s">
        <v>281</v>
      </c>
      <c r="C13" s="512"/>
      <c r="D13" s="512"/>
      <c r="E13" s="532">
        <f t="shared" si="1"/>
        <v>0</v>
      </c>
      <c r="F13" s="512"/>
      <c r="G13" s="512"/>
      <c r="H13" s="513">
        <f t="shared" si="0"/>
        <v>0</v>
      </c>
    </row>
    <row r="14" spans="1:8" ht="15.75">
      <c r="A14" s="107">
        <v>3.1</v>
      </c>
      <c r="B14" s="202" t="s">
        <v>282</v>
      </c>
      <c r="C14" s="512"/>
      <c r="D14" s="512"/>
      <c r="E14" s="532">
        <f t="shared" si="1"/>
        <v>0</v>
      </c>
      <c r="F14" s="512"/>
      <c r="G14" s="512"/>
      <c r="H14" s="513">
        <f t="shared" si="0"/>
        <v>0</v>
      </c>
    </row>
    <row r="15" spans="1:8" ht="15.75">
      <c r="A15" s="107">
        <v>3.2</v>
      </c>
      <c r="B15" s="202" t="s">
        <v>283</v>
      </c>
      <c r="C15" s="512"/>
      <c r="D15" s="512"/>
      <c r="E15" s="532">
        <f t="shared" si="1"/>
        <v>0</v>
      </c>
      <c r="F15" s="512"/>
      <c r="G15" s="512"/>
      <c r="H15" s="513">
        <f t="shared" si="0"/>
        <v>0</v>
      </c>
    </row>
    <row r="16" spans="1:8" ht="15.75">
      <c r="A16" s="107">
        <v>4</v>
      </c>
      <c r="B16" s="201" t="s">
        <v>284</v>
      </c>
      <c r="C16" s="512"/>
      <c r="D16" s="512"/>
      <c r="E16" s="532">
        <f t="shared" si="1"/>
        <v>0</v>
      </c>
      <c r="F16" s="512"/>
      <c r="G16" s="512"/>
      <c r="H16" s="513">
        <f t="shared" si="0"/>
        <v>0</v>
      </c>
    </row>
    <row r="17" spans="1:8" ht="15.75">
      <c r="A17" s="107">
        <v>4.0999999999999996</v>
      </c>
      <c r="B17" s="202" t="s">
        <v>285</v>
      </c>
      <c r="C17" s="512">
        <v>8155362.464999998</v>
      </c>
      <c r="D17" s="512">
        <v>3090163.6053919992</v>
      </c>
      <c r="E17" s="532">
        <f t="shared" si="1"/>
        <v>11245526.070391998</v>
      </c>
      <c r="F17" s="512">
        <v>9243564.9276268333</v>
      </c>
      <c r="G17" s="512">
        <v>6304775.3308246331</v>
      </c>
      <c r="H17" s="513">
        <f t="shared" si="0"/>
        <v>15548340.258451466</v>
      </c>
    </row>
    <row r="18" spans="1:8" ht="15.75">
      <c r="A18" s="107">
        <v>4.2</v>
      </c>
      <c r="B18" s="202" t="s">
        <v>286</v>
      </c>
      <c r="C18" s="512">
        <v>131659125.5761461</v>
      </c>
      <c r="D18" s="512">
        <v>398360107.35868627</v>
      </c>
      <c r="E18" s="532">
        <f t="shared" si="1"/>
        <v>530019232.93483233</v>
      </c>
      <c r="F18" s="512">
        <v>137636367.07379583</v>
      </c>
      <c r="G18" s="512">
        <v>400978740.90186036</v>
      </c>
      <c r="H18" s="513">
        <f t="shared" si="0"/>
        <v>538615107.97565615</v>
      </c>
    </row>
    <row r="19" spans="1:8" ht="25.5">
      <c r="A19" s="107">
        <v>5</v>
      </c>
      <c r="B19" s="201" t="s">
        <v>287</v>
      </c>
      <c r="C19" s="512"/>
      <c r="D19" s="512"/>
      <c r="E19" s="532">
        <f t="shared" si="1"/>
        <v>0</v>
      </c>
      <c r="F19" s="512"/>
      <c r="G19" s="512"/>
      <c r="H19" s="513">
        <f t="shared" si="0"/>
        <v>0</v>
      </c>
    </row>
    <row r="20" spans="1:8" ht="15.75">
      <c r="A20" s="107">
        <v>5.0999999999999996</v>
      </c>
      <c r="B20" s="202" t="s">
        <v>288</v>
      </c>
      <c r="C20" s="512">
        <v>3100782.9</v>
      </c>
      <c r="D20" s="512">
        <v>40855692.463567995</v>
      </c>
      <c r="E20" s="532">
        <f t="shared" si="1"/>
        <v>43956475.363567993</v>
      </c>
      <c r="F20" s="512">
        <v>3085216.5599999996</v>
      </c>
      <c r="G20" s="512">
        <v>37793425.696182005</v>
      </c>
      <c r="H20" s="513">
        <f t="shared" si="0"/>
        <v>40878642.256182007</v>
      </c>
    </row>
    <row r="21" spans="1:8" ht="15.75">
      <c r="A21" s="107">
        <v>5.2</v>
      </c>
      <c r="B21" s="202" t="s">
        <v>289</v>
      </c>
      <c r="C21" s="512">
        <v>0</v>
      </c>
      <c r="D21" s="512">
        <v>0</v>
      </c>
      <c r="E21" s="532">
        <f t="shared" si="1"/>
        <v>0</v>
      </c>
      <c r="F21" s="512">
        <v>0</v>
      </c>
      <c r="G21" s="512">
        <v>0</v>
      </c>
      <c r="H21" s="513">
        <f t="shared" si="0"/>
        <v>0</v>
      </c>
    </row>
    <row r="22" spans="1:8" ht="15.75">
      <c r="A22" s="107">
        <v>5.3</v>
      </c>
      <c r="B22" s="202" t="s">
        <v>290</v>
      </c>
      <c r="C22" s="512">
        <v>14329287.59322034</v>
      </c>
      <c r="D22" s="512">
        <v>1520967541.4594371</v>
      </c>
      <c r="E22" s="532">
        <f t="shared" si="1"/>
        <v>1535296829.0526574</v>
      </c>
      <c r="F22" s="512">
        <v>16529102.200000003</v>
      </c>
      <c r="G22" s="512">
        <v>1869811454.2942324</v>
      </c>
      <c r="H22" s="513">
        <f t="shared" si="0"/>
        <v>1886340556.4942324</v>
      </c>
    </row>
    <row r="23" spans="1:8" ht="15.75">
      <c r="A23" s="107" t="s">
        <v>291</v>
      </c>
      <c r="B23" s="203" t="s">
        <v>292</v>
      </c>
      <c r="C23" s="512">
        <v>309760</v>
      </c>
      <c r="D23" s="512">
        <v>193627446.18882832</v>
      </c>
      <c r="E23" s="532">
        <f t="shared" si="1"/>
        <v>193937206.18882832</v>
      </c>
      <c r="F23" s="512">
        <v>266687.2</v>
      </c>
      <c r="G23" s="512">
        <v>206071865.27163368</v>
      </c>
      <c r="H23" s="513">
        <f t="shared" si="0"/>
        <v>206338552.47163367</v>
      </c>
    </row>
    <row r="24" spans="1:8" ht="15.75">
      <c r="A24" s="107" t="s">
        <v>293</v>
      </c>
      <c r="B24" s="203" t="s">
        <v>294</v>
      </c>
      <c r="C24" s="512">
        <v>622145.08474576275</v>
      </c>
      <c r="D24" s="512">
        <v>718984778.74302435</v>
      </c>
      <c r="E24" s="532">
        <f t="shared" si="1"/>
        <v>719606923.82777011</v>
      </c>
      <c r="F24" s="512">
        <v>808248.00000000012</v>
      </c>
      <c r="G24" s="512">
        <v>1025481818.8333229</v>
      </c>
      <c r="H24" s="513">
        <f t="shared" si="0"/>
        <v>1026290066.8333229</v>
      </c>
    </row>
    <row r="25" spans="1:8" ht="15.75">
      <c r="A25" s="107" t="s">
        <v>295</v>
      </c>
      <c r="B25" s="204" t="s">
        <v>296</v>
      </c>
      <c r="C25" s="512">
        <v>0</v>
      </c>
      <c r="D25" s="512">
        <v>138258378.00621551</v>
      </c>
      <c r="E25" s="532">
        <f t="shared" si="1"/>
        <v>138258378.00621551</v>
      </c>
      <c r="F25" s="512">
        <v>0</v>
      </c>
      <c r="G25" s="512">
        <v>166438900.91070509</v>
      </c>
      <c r="H25" s="513">
        <f t="shared" si="0"/>
        <v>166438900.91070509</v>
      </c>
    </row>
    <row r="26" spans="1:8" ht="15.75">
      <c r="A26" s="107" t="s">
        <v>297</v>
      </c>
      <c r="B26" s="203" t="s">
        <v>298</v>
      </c>
      <c r="C26" s="512">
        <v>13397382.508474577</v>
      </c>
      <c r="D26" s="512">
        <v>381229384.82280242</v>
      </c>
      <c r="E26" s="532">
        <f t="shared" si="1"/>
        <v>394626767.33127701</v>
      </c>
      <c r="F26" s="512">
        <v>15454167.000000002</v>
      </c>
      <c r="G26" s="512">
        <v>382716732.01352817</v>
      </c>
      <c r="H26" s="513">
        <f t="shared" si="0"/>
        <v>398170899.01352817</v>
      </c>
    </row>
    <row r="27" spans="1:8" ht="15.75">
      <c r="A27" s="107" t="s">
        <v>299</v>
      </c>
      <c r="B27" s="203" t="s">
        <v>300</v>
      </c>
      <c r="C27" s="512">
        <v>0</v>
      </c>
      <c r="D27" s="512">
        <v>88867553.698566735</v>
      </c>
      <c r="E27" s="532">
        <f t="shared" si="1"/>
        <v>88867553.698566735</v>
      </c>
      <c r="F27" s="512">
        <v>0</v>
      </c>
      <c r="G27" s="512">
        <v>89102137.265042439</v>
      </c>
      <c r="H27" s="513">
        <f t="shared" si="0"/>
        <v>89102137.265042439</v>
      </c>
    </row>
    <row r="28" spans="1:8" ht="15.75">
      <c r="A28" s="107">
        <v>5.4</v>
      </c>
      <c r="B28" s="202" t="s">
        <v>301</v>
      </c>
      <c r="C28" s="512">
        <v>193038397.28818431</v>
      </c>
      <c r="D28" s="512">
        <v>262577705.45831689</v>
      </c>
      <c r="E28" s="532">
        <f t="shared" si="1"/>
        <v>455616102.74650121</v>
      </c>
      <c r="F28" s="512">
        <v>154963927.89030343</v>
      </c>
      <c r="G28" s="512">
        <v>470837733.87749046</v>
      </c>
      <c r="H28" s="513">
        <f t="shared" si="0"/>
        <v>625801661.76779389</v>
      </c>
    </row>
    <row r="29" spans="1:8" ht="15.75">
      <c r="A29" s="107">
        <v>5.5</v>
      </c>
      <c r="B29" s="202" t="s">
        <v>302</v>
      </c>
      <c r="C29" s="512">
        <v>22753825.811951999</v>
      </c>
      <c r="D29" s="512">
        <v>206277043.93919998</v>
      </c>
      <c r="E29" s="532">
        <f t="shared" si="1"/>
        <v>229030869.75115198</v>
      </c>
      <c r="F29" s="512">
        <v>10726543.039999999</v>
      </c>
      <c r="G29" s="512">
        <v>197182595.82449999</v>
      </c>
      <c r="H29" s="513">
        <f t="shared" si="0"/>
        <v>207909138.86449999</v>
      </c>
    </row>
    <row r="30" spans="1:8" ht="15.75">
      <c r="A30" s="107">
        <v>5.6</v>
      </c>
      <c r="B30" s="202" t="s">
        <v>303</v>
      </c>
      <c r="C30" s="512">
        <v>0</v>
      </c>
      <c r="D30" s="512">
        <v>4801280</v>
      </c>
      <c r="E30" s="532">
        <f t="shared" si="1"/>
        <v>4801280</v>
      </c>
      <c r="F30" s="512">
        <v>0</v>
      </c>
      <c r="G30" s="512">
        <v>5078730</v>
      </c>
      <c r="H30" s="513">
        <f t="shared" si="0"/>
        <v>5078730</v>
      </c>
    </row>
    <row r="31" spans="1:8" ht="15.75">
      <c r="A31" s="107">
        <v>5.7</v>
      </c>
      <c r="B31" s="202" t="s">
        <v>304</v>
      </c>
      <c r="C31" s="512">
        <v>2887869</v>
      </c>
      <c r="D31" s="512">
        <v>30331699.261951983</v>
      </c>
      <c r="E31" s="532">
        <f t="shared" si="1"/>
        <v>33219568.261951983</v>
      </c>
      <c r="F31" s="512">
        <v>23120083.710000001</v>
      </c>
      <c r="G31" s="512">
        <v>32084467.265531987</v>
      </c>
      <c r="H31" s="513">
        <f t="shared" si="0"/>
        <v>55204550.975531988</v>
      </c>
    </row>
    <row r="32" spans="1:8" ht="15.75">
      <c r="A32" s="107">
        <v>6</v>
      </c>
      <c r="B32" s="201" t="s">
        <v>305</v>
      </c>
      <c r="C32" s="512"/>
      <c r="D32" s="512"/>
      <c r="E32" s="532">
        <f t="shared" si="1"/>
        <v>0</v>
      </c>
      <c r="F32" s="512"/>
      <c r="G32" s="512"/>
      <c r="H32" s="513">
        <f t="shared" si="0"/>
        <v>0</v>
      </c>
    </row>
    <row r="33" spans="1:8" ht="25.5">
      <c r="A33" s="107">
        <v>6.1</v>
      </c>
      <c r="B33" s="202" t="s">
        <v>484</v>
      </c>
      <c r="C33" s="512"/>
      <c r="D33" s="512">
        <v>29911525.25</v>
      </c>
      <c r="E33" s="532">
        <f t="shared" si="1"/>
        <v>29911525.25</v>
      </c>
      <c r="F33" s="512"/>
      <c r="G33" s="512">
        <v>78246584.170000002</v>
      </c>
      <c r="H33" s="513">
        <f t="shared" si="0"/>
        <v>78246584.170000002</v>
      </c>
    </row>
    <row r="34" spans="1:8" ht="25.5">
      <c r="A34" s="107">
        <v>6.2</v>
      </c>
      <c r="B34" s="202" t="s">
        <v>306</v>
      </c>
      <c r="C34" s="512">
        <v>12502400</v>
      </c>
      <c r="D34" s="512">
        <v>17520000</v>
      </c>
      <c r="E34" s="532">
        <f t="shared" si="1"/>
        <v>30022400</v>
      </c>
      <c r="F34" s="512">
        <v>19854000</v>
      </c>
      <c r="G34" s="512">
        <v>60349500</v>
      </c>
      <c r="H34" s="513">
        <f t="shared" si="0"/>
        <v>80203500</v>
      </c>
    </row>
    <row r="35" spans="1:8" ht="25.5">
      <c r="A35" s="107">
        <v>6.3</v>
      </c>
      <c r="B35" s="202" t="s">
        <v>307</v>
      </c>
      <c r="C35" s="512"/>
      <c r="D35" s="512"/>
      <c r="E35" s="532">
        <f t="shared" si="1"/>
        <v>0</v>
      </c>
      <c r="F35" s="512"/>
      <c r="G35" s="512"/>
      <c r="H35" s="513">
        <f t="shared" si="0"/>
        <v>0</v>
      </c>
    </row>
    <row r="36" spans="1:8" ht="15.75">
      <c r="A36" s="107">
        <v>6.4</v>
      </c>
      <c r="B36" s="202" t="s">
        <v>308</v>
      </c>
      <c r="C36" s="512"/>
      <c r="D36" s="512"/>
      <c r="E36" s="532">
        <f t="shared" si="1"/>
        <v>0</v>
      </c>
      <c r="F36" s="512"/>
      <c r="G36" s="512"/>
      <c r="H36" s="513">
        <f t="shared" si="0"/>
        <v>0</v>
      </c>
    </row>
    <row r="37" spans="1:8" ht="15.75">
      <c r="A37" s="107">
        <v>6.5</v>
      </c>
      <c r="B37" s="202" t="s">
        <v>309</v>
      </c>
      <c r="C37" s="512"/>
      <c r="D37" s="512"/>
      <c r="E37" s="532">
        <f t="shared" si="1"/>
        <v>0</v>
      </c>
      <c r="F37" s="512"/>
      <c r="G37" s="512"/>
      <c r="H37" s="513">
        <f t="shared" si="0"/>
        <v>0</v>
      </c>
    </row>
    <row r="38" spans="1:8" ht="25.5">
      <c r="A38" s="107">
        <v>6.6</v>
      </c>
      <c r="B38" s="202" t="s">
        <v>310</v>
      </c>
      <c r="C38" s="512"/>
      <c r="D38" s="512"/>
      <c r="E38" s="532">
        <f t="shared" si="1"/>
        <v>0</v>
      </c>
      <c r="F38" s="512"/>
      <c r="G38" s="512"/>
      <c r="H38" s="513">
        <f t="shared" si="0"/>
        <v>0</v>
      </c>
    </row>
    <row r="39" spans="1:8" ht="25.5">
      <c r="A39" s="107">
        <v>6.7</v>
      </c>
      <c r="B39" s="202" t="s">
        <v>311</v>
      </c>
      <c r="C39" s="512"/>
      <c r="D39" s="512"/>
      <c r="E39" s="532">
        <f t="shared" si="1"/>
        <v>0</v>
      </c>
      <c r="F39" s="512"/>
      <c r="G39" s="512"/>
      <c r="H39" s="513">
        <f t="shared" si="0"/>
        <v>0</v>
      </c>
    </row>
    <row r="40" spans="1:8" ht="15.75">
      <c r="A40" s="107">
        <v>7</v>
      </c>
      <c r="B40" s="201" t="s">
        <v>312</v>
      </c>
      <c r="C40" s="512"/>
      <c r="D40" s="512"/>
      <c r="E40" s="532">
        <f t="shared" si="1"/>
        <v>0</v>
      </c>
      <c r="F40" s="512"/>
      <c r="G40" s="512"/>
      <c r="H40" s="513">
        <f t="shared" si="0"/>
        <v>0</v>
      </c>
    </row>
    <row r="41" spans="1:8" ht="25.5">
      <c r="A41" s="107">
        <v>7.1</v>
      </c>
      <c r="B41" s="202" t="s">
        <v>313</v>
      </c>
      <c r="C41" s="512">
        <v>143846.97999999998</v>
      </c>
      <c r="D41" s="512">
        <v>24095.739999999991</v>
      </c>
      <c r="E41" s="532">
        <f t="shared" si="1"/>
        <v>167942.71999999997</v>
      </c>
      <c r="F41" s="512">
        <v>1406337.0899999999</v>
      </c>
      <c r="G41" s="512">
        <v>1362838.9100000001</v>
      </c>
      <c r="H41" s="513">
        <f t="shared" si="0"/>
        <v>2769176</v>
      </c>
    </row>
    <row r="42" spans="1:8" ht="25.5">
      <c r="A42" s="107">
        <v>7.2</v>
      </c>
      <c r="B42" s="202" t="s">
        <v>314</v>
      </c>
      <c r="C42" s="512">
        <v>2276648.8900000155</v>
      </c>
      <c r="D42" s="512">
        <v>4800029.2200000184</v>
      </c>
      <c r="E42" s="532">
        <f t="shared" si="1"/>
        <v>7076678.1100000339</v>
      </c>
      <c r="F42" s="512">
        <v>2962875.1000000327</v>
      </c>
      <c r="G42" s="512">
        <v>6855260.5500000119</v>
      </c>
      <c r="H42" s="513">
        <f t="shared" si="0"/>
        <v>9818135.6500000451</v>
      </c>
    </row>
    <row r="43" spans="1:8" ht="25.5">
      <c r="A43" s="107">
        <v>7.3</v>
      </c>
      <c r="B43" s="202" t="s">
        <v>315</v>
      </c>
      <c r="C43" s="512">
        <v>5056909.4699999988</v>
      </c>
      <c r="D43" s="512">
        <v>9418578.8500000015</v>
      </c>
      <c r="E43" s="532">
        <f t="shared" si="1"/>
        <v>14475488.32</v>
      </c>
      <c r="F43" s="512">
        <v>4705454.459999999</v>
      </c>
      <c r="G43" s="512">
        <v>8498072.1099999994</v>
      </c>
      <c r="H43" s="513">
        <f t="shared" si="0"/>
        <v>13203526.569999998</v>
      </c>
    </row>
    <row r="44" spans="1:8" ht="25.5">
      <c r="A44" s="107">
        <v>7.4</v>
      </c>
      <c r="B44" s="202" t="s">
        <v>316</v>
      </c>
      <c r="C44" s="512">
        <v>60950938.189997673</v>
      </c>
      <c r="D44" s="512">
        <v>137280462.90000501</v>
      </c>
      <c r="E44" s="532">
        <f t="shared" si="1"/>
        <v>198231401.09000269</v>
      </c>
      <c r="F44" s="512">
        <v>59694417.669997379</v>
      </c>
      <c r="G44" s="512">
        <v>129813296.42000209</v>
      </c>
      <c r="H44" s="513">
        <f t="shared" si="0"/>
        <v>189507714.08999947</v>
      </c>
    </row>
    <row r="45" spans="1:8" ht="15.75">
      <c r="A45" s="107">
        <v>8</v>
      </c>
      <c r="B45" s="201" t="s">
        <v>317</v>
      </c>
      <c r="C45" s="512">
        <v>2122486.3571839998</v>
      </c>
      <c r="D45" s="512">
        <v>0</v>
      </c>
      <c r="E45" s="532">
        <f>SUM(E46:E52)</f>
        <v>2122486.3571839998</v>
      </c>
      <c r="F45" s="512">
        <v>2103598.8425440001</v>
      </c>
      <c r="G45" s="512">
        <v>0</v>
      </c>
      <c r="H45" s="513">
        <f t="shared" si="0"/>
        <v>2103598.8425440001</v>
      </c>
    </row>
    <row r="46" spans="1:8" ht="15.75">
      <c r="A46" s="107">
        <v>8.1</v>
      </c>
      <c r="B46" s="202" t="s">
        <v>318</v>
      </c>
      <c r="C46" s="512">
        <v>96450.317184000014</v>
      </c>
      <c r="D46" s="512">
        <v>0</v>
      </c>
      <c r="E46" s="532">
        <f t="shared" si="1"/>
        <v>96450.317184000014</v>
      </c>
      <c r="F46" s="512">
        <v>105482.00054400001</v>
      </c>
      <c r="G46" s="512">
        <v>0</v>
      </c>
      <c r="H46" s="513">
        <f t="shared" si="0"/>
        <v>105482.00054400001</v>
      </c>
    </row>
    <row r="47" spans="1:8" ht="15.75">
      <c r="A47" s="107">
        <v>8.1999999999999993</v>
      </c>
      <c r="B47" s="202" t="s">
        <v>319</v>
      </c>
      <c r="C47" s="512">
        <v>1969401.4799999997</v>
      </c>
      <c r="D47" s="512">
        <v>0</v>
      </c>
      <c r="E47" s="532">
        <f t="shared" si="1"/>
        <v>1969401.4799999997</v>
      </c>
      <c r="F47" s="512">
        <v>1944863.1760000002</v>
      </c>
      <c r="G47" s="512">
        <v>0</v>
      </c>
      <c r="H47" s="513">
        <f t="shared" si="0"/>
        <v>1944863.1760000002</v>
      </c>
    </row>
    <row r="48" spans="1:8" ht="15.75">
      <c r="A48" s="107">
        <v>8.3000000000000007</v>
      </c>
      <c r="B48" s="202" t="s">
        <v>320</v>
      </c>
      <c r="C48" s="512">
        <v>38600.32</v>
      </c>
      <c r="D48" s="512">
        <v>0</v>
      </c>
      <c r="E48" s="532">
        <f t="shared" si="1"/>
        <v>38600.32</v>
      </c>
      <c r="F48" s="512">
        <v>34013.226000000002</v>
      </c>
      <c r="G48" s="512">
        <v>0</v>
      </c>
      <c r="H48" s="513">
        <f t="shared" si="0"/>
        <v>34013.226000000002</v>
      </c>
    </row>
    <row r="49" spans="1:8" ht="15.75">
      <c r="A49" s="107">
        <v>8.4</v>
      </c>
      <c r="B49" s="202" t="s">
        <v>321</v>
      </c>
      <c r="C49" s="512">
        <v>17134.239999999998</v>
      </c>
      <c r="D49" s="512">
        <v>0</v>
      </c>
      <c r="E49" s="532">
        <f t="shared" si="1"/>
        <v>17134.239999999998</v>
      </c>
      <c r="F49" s="512">
        <v>14740.44</v>
      </c>
      <c r="G49" s="512">
        <v>0</v>
      </c>
      <c r="H49" s="513">
        <f t="shared" si="0"/>
        <v>14740.44</v>
      </c>
    </row>
    <row r="50" spans="1:8" ht="15.75">
      <c r="A50" s="107">
        <v>8.5</v>
      </c>
      <c r="B50" s="202" t="s">
        <v>322</v>
      </c>
      <c r="C50" s="512">
        <v>900</v>
      </c>
      <c r="D50" s="512">
        <v>0</v>
      </c>
      <c r="E50" s="532">
        <f t="shared" si="1"/>
        <v>900</v>
      </c>
      <c r="F50" s="512">
        <v>3600</v>
      </c>
      <c r="G50" s="512">
        <v>0</v>
      </c>
      <c r="H50" s="513">
        <f t="shared" si="0"/>
        <v>3600</v>
      </c>
    </row>
    <row r="51" spans="1:8" ht="15.75">
      <c r="A51" s="107">
        <v>8.6</v>
      </c>
      <c r="B51" s="202" t="s">
        <v>323</v>
      </c>
      <c r="C51" s="512">
        <v>0</v>
      </c>
      <c r="D51" s="512">
        <v>0</v>
      </c>
      <c r="E51" s="532">
        <f t="shared" si="1"/>
        <v>0</v>
      </c>
      <c r="F51" s="512">
        <v>900</v>
      </c>
      <c r="G51" s="512">
        <v>0</v>
      </c>
      <c r="H51" s="513">
        <f t="shared" si="0"/>
        <v>900</v>
      </c>
    </row>
    <row r="52" spans="1:8" ht="15.75">
      <c r="A52" s="107">
        <v>8.6999999999999993</v>
      </c>
      <c r="B52" s="202" t="s">
        <v>324</v>
      </c>
      <c r="C52" s="512">
        <v>0</v>
      </c>
      <c r="D52" s="512">
        <v>0</v>
      </c>
      <c r="E52" s="532">
        <f t="shared" si="1"/>
        <v>0</v>
      </c>
      <c r="F52" s="512">
        <v>0</v>
      </c>
      <c r="G52" s="512">
        <v>0</v>
      </c>
      <c r="H52" s="513">
        <f t="shared" si="0"/>
        <v>0</v>
      </c>
    </row>
    <row r="53" spans="1:8" ht="16.5" thickBot="1">
      <c r="A53" s="205">
        <v>9</v>
      </c>
      <c r="B53" s="206" t="s">
        <v>325</v>
      </c>
      <c r="C53" s="221"/>
      <c r="D53" s="221"/>
      <c r="E53" s="222">
        <f t="shared" ref="E53" si="2">C53+D53</f>
        <v>0</v>
      </c>
      <c r="F53" s="221"/>
      <c r="G53" s="221"/>
      <c r="H53" s="2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pane="topRight"/>
      <selection pane="bottomLeft"/>
      <selection pane="bottomRight" activeCell="C6" sqref="C6"/>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378">
        <f>'1. key ratios'!B2</f>
        <v>44561</v>
      </c>
      <c r="C2" s="13"/>
    </row>
    <row r="3" spans="1:7" ht="15">
      <c r="A3" s="14"/>
      <c r="B3" s="13"/>
      <c r="C3" s="13"/>
    </row>
    <row r="4" spans="1:7" ht="15" customHeight="1" thickBot="1">
      <c r="A4" s="196" t="s">
        <v>409</v>
      </c>
      <c r="B4" s="197" t="s">
        <v>187</v>
      </c>
      <c r="C4" s="198" t="s">
        <v>93</v>
      </c>
    </row>
    <row r="5" spans="1:7" ht="15" customHeight="1">
      <c r="A5" s="194" t="s">
        <v>26</v>
      </c>
      <c r="B5" s="195"/>
      <c r="C5" s="379" t="str">
        <f>INT((MONTH($B$2))/3)&amp;"Q"&amp;"-"&amp;YEAR($B$2)</f>
        <v>4Q-2021</v>
      </c>
      <c r="D5" s="379" t="str">
        <f>IF(INT(MONTH($B$2))=3, "4"&amp;"Q"&amp;"-"&amp;YEAR($B$2)-1, IF(INT(MONTH($B$2))=6, "1"&amp;"Q"&amp;"-"&amp;YEAR($B$2), IF(INT(MONTH($B$2))=9, "2"&amp;"Q"&amp;"-"&amp;YEAR($B$2),IF(INT(MONTH($B$2))=12, "3"&amp;"Q"&amp;"-"&amp;YEAR($B$2), 0))))</f>
        <v>3Q-2021</v>
      </c>
      <c r="E5" s="379" t="str">
        <f>IF(INT(MONTH($B$2))=3, "3"&amp;"Q"&amp;"-"&amp;YEAR($B$2)-1, IF(INT(MONTH($B$2))=6, "4"&amp;"Q"&amp;"-"&amp;YEAR($B$2)-1, IF(INT(MONTH($B$2))=9, "1"&amp;"Q"&amp;"-"&amp;YEAR($B$2),IF(INT(MONTH($B$2))=12, "2"&amp;"Q"&amp;"-"&amp;YEAR($B$2), 0))))</f>
        <v>2Q-2021</v>
      </c>
      <c r="F5" s="379" t="str">
        <f>IF(INT(MONTH($B$2))=3, "2"&amp;"Q"&amp;"-"&amp;YEAR($B$2)-1, IF(INT(MONTH($B$2))=6, "3"&amp;"Q"&amp;"-"&amp;YEAR($B$2)-1, IF(INT(MONTH($B$2))=9, "4"&amp;"Q"&amp;"-"&amp;YEAR($B$2)-1,IF(INT(MONTH($B$2))=12, "1"&amp;"Q"&amp;"-"&amp;YEAR($B$2), 0))))</f>
        <v>1Q-2021</v>
      </c>
      <c r="G5" s="379" t="str">
        <f>IF(INT(MONTH($B$2))=3, "1"&amp;"Q"&amp;"-"&amp;YEAR($B$2)-1, IF(INT(MONTH($B$2))=6, "2"&amp;"Q"&amp;"-"&amp;YEAR($B$2)-1, IF(INT(MONTH($B$2))=9, "3"&amp;"Q"&amp;"-"&amp;YEAR($B$2)-1,IF(INT(MONTH($B$2))=12, "4"&amp;"Q"&amp;"-"&amp;YEAR($B$2)-1, 0))))</f>
        <v>4Q-2020</v>
      </c>
    </row>
    <row r="6" spans="1:7" ht="15" customHeight="1">
      <c r="A6" s="317">
        <v>1</v>
      </c>
      <c r="B6" s="363" t="s">
        <v>192</v>
      </c>
      <c r="C6" s="318">
        <f>C7+C9+C10</f>
        <v>1161153557.2589002</v>
      </c>
      <c r="D6" s="365">
        <f>D7+D9+D10</f>
        <v>1174630332.3047283</v>
      </c>
      <c r="E6" s="365">
        <f t="shared" ref="E6:G6" si="0">E7+E9+E10</f>
        <v>1233193198.9992094</v>
      </c>
      <c r="F6" s="318">
        <f t="shared" si="0"/>
        <v>1341919280.7882493</v>
      </c>
      <c r="G6" s="366">
        <f t="shared" si="0"/>
        <v>1334090037.0837593</v>
      </c>
    </row>
    <row r="7" spans="1:7" ht="15" customHeight="1">
      <c r="A7" s="317">
        <v>1.1000000000000001</v>
      </c>
      <c r="B7" s="319" t="s">
        <v>605</v>
      </c>
      <c r="C7" s="320">
        <v>1128092368.3730202</v>
      </c>
      <c r="D7" s="367">
        <v>1131607065.0510361</v>
      </c>
      <c r="E7" s="367">
        <v>1203787592.3812177</v>
      </c>
      <c r="F7" s="320">
        <v>1310108647.8626573</v>
      </c>
      <c r="G7" s="368">
        <v>1295330298.2654977</v>
      </c>
    </row>
    <row r="8" spans="1:7" ht="25.5">
      <c r="A8" s="317" t="s">
        <v>252</v>
      </c>
      <c r="B8" s="321" t="s">
        <v>403</v>
      </c>
      <c r="C8" s="320">
        <v>40402657.5</v>
      </c>
      <c r="D8" s="367">
        <v>40152727.5</v>
      </c>
      <c r="E8" s="367">
        <v>39042007.5</v>
      </c>
      <c r="F8" s="320">
        <v>39752650</v>
      </c>
      <c r="G8" s="368">
        <v>40165010</v>
      </c>
    </row>
    <row r="9" spans="1:7" ht="15" customHeight="1">
      <c r="A9" s="317">
        <v>1.2</v>
      </c>
      <c r="B9" s="319" t="s">
        <v>22</v>
      </c>
      <c r="C9" s="320">
        <v>32460740.885879934</v>
      </c>
      <c r="D9" s="367">
        <v>42189467.253692165</v>
      </c>
      <c r="E9" s="367">
        <v>28803878.617991645</v>
      </c>
      <c r="F9" s="320">
        <v>31410192.925591871</v>
      </c>
      <c r="G9" s="368">
        <v>37155668.818261586</v>
      </c>
    </row>
    <row r="10" spans="1:7" ht="15" customHeight="1">
      <c r="A10" s="317">
        <v>1.3</v>
      </c>
      <c r="B10" s="364" t="s">
        <v>77</v>
      </c>
      <c r="C10" s="320">
        <v>600448</v>
      </c>
      <c r="D10" s="367">
        <v>833800</v>
      </c>
      <c r="E10" s="367">
        <v>601728</v>
      </c>
      <c r="F10" s="320">
        <v>400440</v>
      </c>
      <c r="G10" s="368">
        <v>1604070</v>
      </c>
    </row>
    <row r="11" spans="1:7" ht="15" customHeight="1">
      <c r="A11" s="317">
        <v>2</v>
      </c>
      <c r="B11" s="363" t="s">
        <v>193</v>
      </c>
      <c r="C11" s="320">
        <v>32703895.311471444</v>
      </c>
      <c r="D11" s="367">
        <v>43545013.770006515</v>
      </c>
      <c r="E11" s="367">
        <v>30807802.803780936</v>
      </c>
      <c r="F11" s="320">
        <v>15959405.689869506</v>
      </c>
      <c r="G11" s="368">
        <v>14246901.453070909</v>
      </c>
    </row>
    <row r="12" spans="1:7" ht="15" customHeight="1">
      <c r="A12" s="317">
        <v>3</v>
      </c>
      <c r="B12" s="363" t="s">
        <v>191</v>
      </c>
      <c r="C12" s="320">
        <v>105286124.37499999</v>
      </c>
      <c r="D12" s="367">
        <v>100202502.49999999</v>
      </c>
      <c r="E12" s="367">
        <v>100202502.49999999</v>
      </c>
      <c r="F12" s="320">
        <v>100202502.49999999</v>
      </c>
      <c r="G12" s="368">
        <v>100202502.49999999</v>
      </c>
    </row>
    <row r="13" spans="1:7" ht="15" customHeight="1" thickBot="1">
      <c r="A13" s="120">
        <v>4</v>
      </c>
      <c r="B13" s="371" t="s">
        <v>253</v>
      </c>
      <c r="C13" s="223">
        <f>C6+C11+C12</f>
        <v>1299143576.9453716</v>
      </c>
      <c r="D13" s="369">
        <f>D6+D11+D12</f>
        <v>1318377848.5747347</v>
      </c>
      <c r="E13" s="369">
        <f t="shared" ref="E13:G13" si="1">E6+E11+E12</f>
        <v>1364203504.3029904</v>
      </c>
      <c r="F13" s="223">
        <f t="shared" si="1"/>
        <v>1458081188.9781187</v>
      </c>
      <c r="G13" s="370">
        <f t="shared" si="1"/>
        <v>1448539441.0368302</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activeCell="B3" sqref="B3"/>
    </sheetView>
  </sheetViews>
  <sheetFormatPr defaultRowHeight="15"/>
  <cols>
    <col min="1" max="1" width="9.5703125" style="1" bestFit="1" customWidth="1"/>
    <col min="2" max="2" width="58.7109375" style="1" customWidth="1"/>
    <col min="3" max="3" width="34.28515625" style="1" customWidth="1"/>
  </cols>
  <sheetData>
    <row r="1" spans="1:8">
      <c r="A1" s="1" t="s">
        <v>188</v>
      </c>
      <c r="B1" s="1" t="str">
        <f>Info!C2</f>
        <v>სს "ბანკი ქართუ"</v>
      </c>
    </row>
    <row r="2" spans="1:8">
      <c r="A2" s="1" t="s">
        <v>189</v>
      </c>
      <c r="B2" s="390">
        <f>'1. key ratios'!B2</f>
        <v>44561</v>
      </c>
    </row>
    <row r="4" spans="1:8" ht="25.5" customHeight="1" thickBot="1">
      <c r="A4" s="207" t="s">
        <v>410</v>
      </c>
      <c r="B4" s="53" t="s">
        <v>149</v>
      </c>
      <c r="C4" s="10"/>
    </row>
    <row r="5" spans="1:8" ht="15.75">
      <c r="A5" s="8"/>
      <c r="B5" s="359" t="s">
        <v>150</v>
      </c>
      <c r="C5" s="376" t="s">
        <v>620</v>
      </c>
    </row>
    <row r="6" spans="1:8">
      <c r="A6" s="11">
        <v>1</v>
      </c>
      <c r="B6" s="533" t="s">
        <v>961</v>
      </c>
      <c r="C6" s="372" t="s">
        <v>962</v>
      </c>
    </row>
    <row r="7" spans="1:8">
      <c r="A7" s="11">
        <v>2</v>
      </c>
      <c r="B7" s="533" t="s">
        <v>963</v>
      </c>
      <c r="C7" s="372" t="s">
        <v>964</v>
      </c>
    </row>
    <row r="8" spans="1:8">
      <c r="A8" s="11">
        <v>3</v>
      </c>
      <c r="B8" s="533" t="s">
        <v>965</v>
      </c>
      <c r="C8" s="372" t="s">
        <v>966</v>
      </c>
    </row>
    <row r="9" spans="1:8">
      <c r="A9" s="11">
        <v>4</v>
      </c>
      <c r="B9" s="533" t="s">
        <v>967</v>
      </c>
      <c r="C9" s="372" t="s">
        <v>966</v>
      </c>
    </row>
    <row r="10" spans="1:8">
      <c r="A10" s="11">
        <v>5</v>
      </c>
      <c r="B10" s="533" t="s">
        <v>968</v>
      </c>
      <c r="C10" s="372" t="s">
        <v>969</v>
      </c>
    </row>
    <row r="11" spans="1:8">
      <c r="A11" s="11">
        <v>6</v>
      </c>
      <c r="B11" s="54"/>
      <c r="C11" s="372"/>
    </row>
    <row r="12" spans="1:8">
      <c r="A12" s="11">
        <v>7</v>
      </c>
      <c r="B12" s="54"/>
      <c r="C12" s="372"/>
      <c r="H12" s="2"/>
    </row>
    <row r="13" spans="1:8">
      <c r="A13" s="11">
        <v>8</v>
      </c>
      <c r="B13" s="54"/>
      <c r="C13" s="372"/>
    </row>
    <row r="14" spans="1:8">
      <c r="A14" s="11">
        <v>9</v>
      </c>
      <c r="B14" s="54"/>
      <c r="C14" s="372"/>
    </row>
    <row r="15" spans="1:8">
      <c r="A15" s="11">
        <v>10</v>
      </c>
      <c r="B15" s="54"/>
      <c r="C15" s="372"/>
    </row>
    <row r="16" spans="1:8">
      <c r="A16" s="11"/>
      <c r="B16" s="695"/>
      <c r="C16" s="696"/>
    </row>
    <row r="17" spans="1:3" ht="60">
      <c r="A17" s="11"/>
      <c r="B17" s="360" t="s">
        <v>151</v>
      </c>
      <c r="C17" s="377" t="s">
        <v>621</v>
      </c>
    </row>
    <row r="18" spans="1:3" ht="15.75">
      <c r="A18" s="11">
        <v>1</v>
      </c>
      <c r="B18" s="534" t="s">
        <v>970</v>
      </c>
      <c r="C18" s="374" t="s">
        <v>971</v>
      </c>
    </row>
    <row r="19" spans="1:3" ht="15.75">
      <c r="A19" s="11">
        <v>2</v>
      </c>
      <c r="B19" s="534" t="s">
        <v>972</v>
      </c>
      <c r="C19" s="374" t="s">
        <v>973</v>
      </c>
    </row>
    <row r="20" spans="1:3" ht="15.75">
      <c r="A20" s="11">
        <v>3</v>
      </c>
      <c r="B20" s="534" t="s">
        <v>974</v>
      </c>
      <c r="C20" s="374" t="s">
        <v>975</v>
      </c>
    </row>
    <row r="21" spans="1:3" ht="15.75">
      <c r="A21" s="11">
        <v>4</v>
      </c>
      <c r="B21" s="534" t="s">
        <v>976</v>
      </c>
      <c r="C21" s="374" t="s">
        <v>977</v>
      </c>
    </row>
    <row r="22" spans="1:3" ht="15.75">
      <c r="A22" s="11">
        <v>5</v>
      </c>
      <c r="B22" s="534" t="s">
        <v>978</v>
      </c>
      <c r="C22" s="374" t="s">
        <v>979</v>
      </c>
    </row>
    <row r="23" spans="1:3" ht="15.75">
      <c r="A23" s="11">
        <v>6</v>
      </c>
      <c r="B23" s="22"/>
      <c r="C23" s="374"/>
    </row>
    <row r="24" spans="1:3" ht="15.75">
      <c r="A24" s="11">
        <v>7</v>
      </c>
      <c r="B24" s="22"/>
      <c r="C24" s="374"/>
    </row>
    <row r="25" spans="1:3" ht="15.75">
      <c r="A25" s="11">
        <v>8</v>
      </c>
      <c r="B25" s="22"/>
      <c r="C25" s="374"/>
    </row>
    <row r="26" spans="1:3" ht="15.75">
      <c r="A26" s="11">
        <v>9</v>
      </c>
      <c r="B26" s="22"/>
      <c r="C26" s="374"/>
    </row>
    <row r="27" spans="1:3" ht="15.75" customHeight="1">
      <c r="A27" s="11">
        <v>10</v>
      </c>
      <c r="B27" s="22"/>
      <c r="C27" s="375"/>
    </row>
    <row r="28" spans="1:3" ht="15.75" customHeight="1">
      <c r="A28" s="11"/>
      <c r="B28" s="22"/>
      <c r="C28" s="23"/>
    </row>
    <row r="29" spans="1:3" ht="30" customHeight="1">
      <c r="A29" s="11"/>
      <c r="B29" s="697" t="s">
        <v>152</v>
      </c>
      <c r="C29" s="698"/>
    </row>
    <row r="30" spans="1:3">
      <c r="A30" s="11">
        <v>1</v>
      </c>
      <c r="B30" s="535" t="s">
        <v>980</v>
      </c>
      <c r="C30" s="536">
        <v>1</v>
      </c>
    </row>
    <row r="31" spans="1:3" ht="15.75" customHeight="1">
      <c r="A31" s="11"/>
      <c r="B31" s="54"/>
      <c r="C31" s="55"/>
    </row>
    <row r="32" spans="1:3" ht="29.25" customHeight="1">
      <c r="A32" s="11"/>
      <c r="B32" s="697" t="s">
        <v>273</v>
      </c>
      <c r="C32" s="698"/>
    </row>
    <row r="33" spans="1:3">
      <c r="A33" s="11">
        <v>1</v>
      </c>
      <c r="B33" s="533" t="s">
        <v>981</v>
      </c>
      <c r="C33" s="537">
        <v>1</v>
      </c>
    </row>
    <row r="34" spans="1:3" ht="16.5" thickBot="1">
      <c r="A34" s="12"/>
      <c r="B34" s="56"/>
      <c r="C34" s="37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9" activePane="bottomRight" state="frozen"/>
      <selection pane="topRight"/>
      <selection pane="bottomLeft"/>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390">
        <f>'1. key ratios'!B2</f>
        <v>44561</v>
      </c>
    </row>
    <row r="3" spans="1:5" s="14" customFormat="1" ht="15.75" customHeight="1"/>
    <row r="4" spans="1:5" s="14" customFormat="1" ht="15.75" customHeight="1" thickBot="1">
      <c r="A4" s="208" t="s">
        <v>411</v>
      </c>
      <c r="B4" s="209" t="s">
        <v>263</v>
      </c>
      <c r="C4" s="173"/>
      <c r="D4" s="173"/>
      <c r="E4" s="174" t="s">
        <v>93</v>
      </c>
    </row>
    <row r="5" spans="1:5" s="108" customFormat="1" ht="17.649999999999999" customHeight="1">
      <c r="A5" s="288"/>
      <c r="B5" s="289"/>
      <c r="C5" s="172" t="s">
        <v>0</v>
      </c>
      <c r="D5" s="172" t="s">
        <v>1</v>
      </c>
      <c r="E5" s="290" t="s">
        <v>2</v>
      </c>
    </row>
    <row r="6" spans="1:5" ht="14.65" customHeight="1">
      <c r="A6" s="291"/>
      <c r="B6" s="699" t="s">
        <v>231</v>
      </c>
      <c r="C6" s="699" t="s">
        <v>230</v>
      </c>
      <c r="D6" s="700" t="s">
        <v>229</v>
      </c>
      <c r="E6" s="701"/>
    </row>
    <row r="7" spans="1:5" ht="99.6" customHeight="1">
      <c r="A7" s="291"/>
      <c r="B7" s="699"/>
      <c r="C7" s="699"/>
      <c r="D7" s="286" t="s">
        <v>228</v>
      </c>
      <c r="E7" s="287" t="s">
        <v>522</v>
      </c>
    </row>
    <row r="8" spans="1:5">
      <c r="A8" s="292">
        <v>1</v>
      </c>
      <c r="B8" s="293" t="s">
        <v>154</v>
      </c>
      <c r="C8" s="294">
        <f>'2. RC'!E7</f>
        <v>26986427</v>
      </c>
      <c r="D8" s="294"/>
      <c r="E8" s="295">
        <f>C8-D8</f>
        <v>26986427</v>
      </c>
    </row>
    <row r="9" spans="1:5">
      <c r="A9" s="292">
        <v>2</v>
      </c>
      <c r="B9" s="293" t="s">
        <v>155</v>
      </c>
      <c r="C9" s="294">
        <f>'2. RC'!E8</f>
        <v>203907519</v>
      </c>
      <c r="D9" s="294"/>
      <c r="E9" s="295">
        <f t="shared" ref="E9:E20" si="0">C9-D9</f>
        <v>203907519</v>
      </c>
    </row>
    <row r="10" spans="1:5">
      <c r="A10" s="292">
        <v>3</v>
      </c>
      <c r="B10" s="293" t="s">
        <v>227</v>
      </c>
      <c r="C10" s="294">
        <f>'2. RC'!E9</f>
        <v>53942316</v>
      </c>
      <c r="D10" s="294"/>
      <c r="E10" s="295">
        <f t="shared" si="0"/>
        <v>53942316</v>
      </c>
    </row>
    <row r="11" spans="1:5">
      <c r="A11" s="292">
        <v>4</v>
      </c>
      <c r="B11" s="293" t="s">
        <v>185</v>
      </c>
      <c r="C11" s="294">
        <f>'2. RC'!E10</f>
        <v>0</v>
      </c>
      <c r="D11" s="294"/>
      <c r="E11" s="295">
        <f t="shared" si="0"/>
        <v>0</v>
      </c>
    </row>
    <row r="12" spans="1:5">
      <c r="A12" s="292">
        <v>5</v>
      </c>
      <c r="B12" s="293" t="s">
        <v>157</v>
      </c>
      <c r="C12" s="294">
        <f>'2. RC'!E11</f>
        <v>49652580</v>
      </c>
      <c r="D12" s="294">
        <f>'2. RC'!E39</f>
        <v>-132660</v>
      </c>
      <c r="E12" s="295">
        <f t="shared" si="0"/>
        <v>49785240</v>
      </c>
    </row>
    <row r="13" spans="1:5">
      <c r="A13" s="292">
        <v>6.1</v>
      </c>
      <c r="B13" s="293" t="s">
        <v>158</v>
      </c>
      <c r="C13" s="296">
        <f>'2. RC'!E12</f>
        <v>965168857</v>
      </c>
      <c r="D13" s="294"/>
      <c r="E13" s="295">
        <f>C13-D13</f>
        <v>965168857</v>
      </c>
    </row>
    <row r="14" spans="1:5">
      <c r="A14" s="292">
        <v>6.2</v>
      </c>
      <c r="B14" s="297" t="s">
        <v>159</v>
      </c>
      <c r="C14" s="538">
        <f>'2. RC'!E13</f>
        <v>-159165792</v>
      </c>
      <c r="D14" s="539"/>
      <c r="E14" s="540">
        <f>C14</f>
        <v>-159165792</v>
      </c>
    </row>
    <row r="15" spans="1:5">
      <c r="A15" s="292">
        <v>6</v>
      </c>
      <c r="B15" s="293" t="s">
        <v>226</v>
      </c>
      <c r="C15" s="294">
        <f>'2. RC'!E14</f>
        <v>806003065</v>
      </c>
      <c r="D15" s="294"/>
      <c r="E15" s="295">
        <f>SUM(E13:E14)</f>
        <v>806003065</v>
      </c>
    </row>
    <row r="16" spans="1:5">
      <c r="A16" s="292">
        <v>7</v>
      </c>
      <c r="B16" s="293" t="s">
        <v>161</v>
      </c>
      <c r="C16" s="294">
        <f>'2. RC'!E15</f>
        <v>20136682</v>
      </c>
      <c r="D16" s="294"/>
      <c r="E16" s="295">
        <f t="shared" si="0"/>
        <v>20136682</v>
      </c>
    </row>
    <row r="17" spans="1:7">
      <c r="A17" s="292">
        <v>8</v>
      </c>
      <c r="B17" s="293" t="s">
        <v>162</v>
      </c>
      <c r="C17" s="294">
        <f>'2. RC'!E16</f>
        <v>15691955</v>
      </c>
      <c r="D17" s="294"/>
      <c r="E17" s="295">
        <f t="shared" si="0"/>
        <v>15691955</v>
      </c>
      <c r="F17" s="3"/>
      <c r="G17" s="3"/>
    </row>
    <row r="18" spans="1:7">
      <c r="A18" s="292">
        <v>9</v>
      </c>
      <c r="B18" s="293" t="s">
        <v>163</v>
      </c>
      <c r="C18" s="294">
        <f>'2. RC'!E17</f>
        <v>7793239</v>
      </c>
      <c r="D18" s="294"/>
      <c r="E18" s="295">
        <f t="shared" si="0"/>
        <v>7793239</v>
      </c>
      <c r="G18" s="3"/>
    </row>
    <row r="19" spans="1:7" ht="25.5">
      <c r="A19" s="292">
        <v>10</v>
      </c>
      <c r="B19" s="293" t="s">
        <v>164</v>
      </c>
      <c r="C19" s="294">
        <f>'2. RC'!E18</f>
        <v>20363424</v>
      </c>
      <c r="D19" s="294">
        <f>'9. Capital'!C15</f>
        <v>3903149</v>
      </c>
      <c r="E19" s="295">
        <f t="shared" si="0"/>
        <v>16460275</v>
      </c>
      <c r="G19" s="3"/>
    </row>
    <row r="20" spans="1:7">
      <c r="A20" s="292">
        <v>11</v>
      </c>
      <c r="B20" s="293" t="s">
        <v>165</v>
      </c>
      <c r="C20" s="294">
        <f>'2. RC'!E19</f>
        <v>19414100</v>
      </c>
      <c r="D20" s="294">
        <f>'9. Capital'!C20</f>
        <v>0</v>
      </c>
      <c r="E20" s="295">
        <f t="shared" si="0"/>
        <v>19414100</v>
      </c>
    </row>
    <row r="21" spans="1:7" ht="39" thickBot="1">
      <c r="A21" s="298"/>
      <c r="B21" s="299" t="s">
        <v>485</v>
      </c>
      <c r="C21" s="257">
        <f>SUM(C8:C12, C15:C20)</f>
        <v>1223891307</v>
      </c>
      <c r="D21" s="257">
        <f>SUM(D8:D12, D15:D20)</f>
        <v>3770489</v>
      </c>
      <c r="E21" s="300">
        <f>SUM(E8:E12, E15:E20)</f>
        <v>1220120818</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390">
        <f>'1. key ratios'!B2</f>
        <v>44561</v>
      </c>
      <c r="C2"/>
      <c r="D2"/>
      <c r="E2"/>
      <c r="F2"/>
    </row>
    <row r="3" spans="1:6" s="14" customFormat="1" ht="15.75" customHeight="1">
      <c r="C3"/>
      <c r="D3"/>
      <c r="E3"/>
      <c r="F3"/>
    </row>
    <row r="4" spans="1:6" s="14" customFormat="1" ht="26.25" thickBot="1">
      <c r="A4" s="14" t="s">
        <v>412</v>
      </c>
      <c r="B4" s="180" t="s">
        <v>266</v>
      </c>
      <c r="C4" s="174" t="s">
        <v>93</v>
      </c>
      <c r="D4"/>
      <c r="E4"/>
      <c r="F4"/>
    </row>
    <row r="5" spans="1:6" ht="26.25">
      <c r="A5" s="175">
        <v>1</v>
      </c>
      <c r="B5" s="176" t="s">
        <v>434</v>
      </c>
      <c r="C5" s="224">
        <f>'7. LI1'!E21</f>
        <v>1220120818</v>
      </c>
    </row>
    <row r="6" spans="1:6">
      <c r="A6" s="107">
        <v>2.1</v>
      </c>
      <c r="B6" s="182" t="s">
        <v>267</v>
      </c>
      <c r="C6" s="541">
        <f>'13. CRME'!D22</f>
        <v>64896945.841371991</v>
      </c>
    </row>
    <row r="7" spans="1:6" s="2" customFormat="1" ht="25.5" outlineLevel="1">
      <c r="A7" s="181">
        <v>2.2000000000000002</v>
      </c>
      <c r="B7" s="177" t="s">
        <v>268</v>
      </c>
      <c r="C7" s="542">
        <f>'15. CCR'!C21</f>
        <v>30022400</v>
      </c>
    </row>
    <row r="8" spans="1:6" s="2" customFormat="1" ht="26.25">
      <c r="A8" s="181">
        <v>3</v>
      </c>
      <c r="B8" s="178" t="s">
        <v>435</v>
      </c>
      <c r="C8" s="227">
        <f>SUM(C5:C7)</f>
        <v>1315040163.841372</v>
      </c>
    </row>
    <row r="9" spans="1:6">
      <c r="A9" s="107">
        <v>4</v>
      </c>
      <c r="B9" s="185" t="s">
        <v>264</v>
      </c>
      <c r="C9" s="225">
        <v>11905017</v>
      </c>
    </row>
    <row r="10" spans="1:6" s="2" customFormat="1" ht="25.5" outlineLevel="1">
      <c r="A10" s="181">
        <v>5.0999999999999996</v>
      </c>
      <c r="B10" s="177" t="s">
        <v>274</v>
      </c>
      <c r="C10" s="226">
        <v>-30268762.203629993</v>
      </c>
    </row>
    <row r="11" spans="1:6" s="2" customFormat="1" ht="25.5" outlineLevel="1">
      <c r="A11" s="181">
        <v>5.2</v>
      </c>
      <c r="B11" s="177" t="s">
        <v>275</v>
      </c>
      <c r="C11" s="226">
        <v>-29421952</v>
      </c>
    </row>
    <row r="12" spans="1:6" s="2" customFormat="1">
      <c r="A12" s="181">
        <v>6</v>
      </c>
      <c r="B12" s="183" t="s">
        <v>607</v>
      </c>
      <c r="C12" s="226">
        <v>0</v>
      </c>
    </row>
    <row r="13" spans="1:6" s="2" customFormat="1" ht="15.75" thickBot="1">
      <c r="A13" s="184">
        <v>7</v>
      </c>
      <c r="B13" s="179" t="s">
        <v>265</v>
      </c>
      <c r="C13" s="228">
        <f>SUM(C8:C12)</f>
        <v>1267254466.637742</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XgSxUF10biZBxwDbQOwS58YNdnAFzJi7/uSGFqjSCyU=</DigestValue>
    </Reference>
    <Reference Type="http://www.w3.org/2000/09/xmldsig#Object" URI="#idOfficeObject">
      <DigestMethod Algorithm="http://www.w3.org/2001/04/xmlenc#sha256"/>
      <DigestValue>xZ5l01QimhHgy4oKpYP8vQJROZ7+zXjQ9won7xtGRRM=</DigestValue>
    </Reference>
    <Reference Type="http://uri.etsi.org/01903#SignedProperties" URI="#idSignedProperties">
      <Transforms>
        <Transform Algorithm="http://www.w3.org/TR/2001/REC-xml-c14n-20010315"/>
      </Transforms>
      <DigestMethod Algorithm="http://www.w3.org/2001/04/xmlenc#sha256"/>
      <DigestValue>j2z8olUq9McLbZYjfIdfdfrHmKKP/OtsR6jAKaxeNxA=</DigestValue>
    </Reference>
  </SignedInfo>
  <SignatureValue>QoRedJcCsSc5DREIARfbZW/fR+/TpWQbdP4Kk4vy5yo0a1FdwPgDLJJ71eqvRIQkUN7qGTT09Ggt
T8Ef+vVC0G58bazDIoIgCZnv7AsM4G4xSKfeBeBIf0P9dosS38W+pxwqgVgVz7fn0pFdNp4rCT7a
oIujMZ4/Lq7M35w0kodloWX1GeKSHH3jBpzuoCFu97WNG1KoWnofbZhzBCPElLJtati9lA06KO0q
PHjpw5pg2r+e4T2bjioGrBGLxNSfpI1oMpauYP2x2esw7S6xb/CbgGRpDg9dtRwNBOwKOsVRl17o
caWEbD/Q/Yo6bI4L0td8KYgUUm3ZNiBK81MHbw==</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E5uedIjBjhSF31G7Fc03YX7ltKwDOllrgjgfQ8/1akg=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kkwuOTQKnnIj1jH8nQdIiPsZW6v5W4OrpCMPiySmeiE=</DigestValue>
      </Reference>
      <Reference URI="/xl/styles.xml?ContentType=application/vnd.openxmlformats-officedocument.spreadsheetml.styles+xml">
        <DigestMethod Algorithm="http://www.w3.org/2001/04/xmlenc#sha256"/>
        <DigestValue>LtR7OF2oZZ6XR6OVjXZm9vu8K3kr5anxzKtAfO2ujrw=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bTnm8D4/VQ94sgKb1ow/SW36iCiP2WCtd77LJuBtunc=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H/PZyMANArIynJEX9xHUDatA+QB4tjblxp2H53OY33M=</DigestValue>
      </Reference>
      <Reference URI="/xl/worksheets/sheet11.xml?ContentType=application/vnd.openxmlformats-officedocument.spreadsheetml.worksheet+xml">
        <DigestMethod Algorithm="http://www.w3.org/2001/04/xmlenc#sha256"/>
        <DigestValue>+eC1t4cwvEic01AcJOxoRpE/pyd56hSWywTRsnx2j8c=</DigestValue>
      </Reference>
      <Reference URI="/xl/worksheets/sheet12.xml?ContentType=application/vnd.openxmlformats-officedocument.spreadsheetml.worksheet+xml">
        <DigestMethod Algorithm="http://www.w3.org/2001/04/xmlenc#sha256"/>
        <DigestValue>nGZrl85j0yiiheZB8WOBYLMyj8J5eN+frWDaa2e75Pw=</DigestValue>
      </Reference>
      <Reference URI="/xl/worksheets/sheet13.xml?ContentType=application/vnd.openxmlformats-officedocument.spreadsheetml.worksheet+xml">
        <DigestMethod Algorithm="http://www.w3.org/2001/04/xmlenc#sha256"/>
        <DigestValue>jumrFmpFzsKPwmPBgo626WAe07+cQSSWmMLz5OzBwzo=</DigestValue>
      </Reference>
      <Reference URI="/xl/worksheets/sheet14.xml?ContentType=application/vnd.openxmlformats-officedocument.spreadsheetml.worksheet+xml">
        <DigestMethod Algorithm="http://www.w3.org/2001/04/xmlenc#sha256"/>
        <DigestValue>ZdWCyxwvf8LN7qRSTmYjmVDNVezPWw8LbfPfuUzndPk=</DigestValue>
      </Reference>
      <Reference URI="/xl/worksheets/sheet15.xml?ContentType=application/vnd.openxmlformats-officedocument.spreadsheetml.worksheet+xml">
        <DigestMethod Algorithm="http://www.w3.org/2001/04/xmlenc#sha256"/>
        <DigestValue>d5k+JyCuS0FEY/OAC+mb0Crxo2dDrwS+tAE/2mVEolI=</DigestValue>
      </Reference>
      <Reference URI="/xl/worksheets/sheet16.xml?ContentType=application/vnd.openxmlformats-officedocument.spreadsheetml.worksheet+xml">
        <DigestMethod Algorithm="http://www.w3.org/2001/04/xmlenc#sha256"/>
        <DigestValue>ZiaLowOR9PiHbSZgxM5qKG0yUFLkqeGnHNBU7oBpkXQ=</DigestValue>
      </Reference>
      <Reference URI="/xl/worksheets/sheet17.xml?ContentType=application/vnd.openxmlformats-officedocument.spreadsheetml.worksheet+xml">
        <DigestMethod Algorithm="http://www.w3.org/2001/04/xmlenc#sha256"/>
        <DigestValue>G35MLZz/oO/4sV/786cBwB0Y4zIfgYQC3qB8i/zxr4I=</DigestValue>
      </Reference>
      <Reference URI="/xl/worksheets/sheet18.xml?ContentType=application/vnd.openxmlformats-officedocument.spreadsheetml.worksheet+xml">
        <DigestMethod Algorithm="http://www.w3.org/2001/04/xmlenc#sha256"/>
        <DigestValue>Ct3u0ScUkp7Yx4s8UmlzJXdPsiR2D+Z5NASvM3VfUHQ=</DigestValue>
      </Reference>
      <Reference URI="/xl/worksheets/sheet19.xml?ContentType=application/vnd.openxmlformats-officedocument.spreadsheetml.worksheet+xml">
        <DigestMethod Algorithm="http://www.w3.org/2001/04/xmlenc#sha256"/>
        <DigestValue>y9xf3AWlnHTgvaLEpdb0z1UOJn+34GiRNH3DbgPmpvY=</DigestValue>
      </Reference>
      <Reference URI="/xl/worksheets/sheet2.xml?ContentType=application/vnd.openxmlformats-officedocument.spreadsheetml.worksheet+xml">
        <DigestMethod Algorithm="http://www.w3.org/2001/04/xmlenc#sha256"/>
        <DigestValue>9GPBgqb9DXLgiTi5K5ahoxCojyJrHZ+PYPvlI5yNaog=</DigestValue>
      </Reference>
      <Reference URI="/xl/worksheets/sheet20.xml?ContentType=application/vnd.openxmlformats-officedocument.spreadsheetml.worksheet+xml">
        <DigestMethod Algorithm="http://www.w3.org/2001/04/xmlenc#sha256"/>
        <DigestValue>Php8G95xxK4smAftftkz3kj8P1B14vJ1EhXwkynaePY=</DigestValue>
      </Reference>
      <Reference URI="/xl/worksheets/sheet21.xml?ContentType=application/vnd.openxmlformats-officedocument.spreadsheetml.worksheet+xml">
        <DigestMethod Algorithm="http://www.w3.org/2001/04/xmlenc#sha256"/>
        <DigestValue>1koXSFm24bnTGdOVrZ/i6J4C1IlfqhNBqQnHcA6NaE4=</DigestValue>
      </Reference>
      <Reference URI="/xl/worksheets/sheet22.xml?ContentType=application/vnd.openxmlformats-officedocument.spreadsheetml.worksheet+xml">
        <DigestMethod Algorithm="http://www.w3.org/2001/04/xmlenc#sha256"/>
        <DigestValue>dBWbPvlHqGUnhj+MgUT6G5wzBf5/26lFvOE4IX6YRDE=</DigestValue>
      </Reference>
      <Reference URI="/xl/worksheets/sheet23.xml?ContentType=application/vnd.openxmlformats-officedocument.spreadsheetml.worksheet+xml">
        <DigestMethod Algorithm="http://www.w3.org/2001/04/xmlenc#sha256"/>
        <DigestValue>mNPmnxEakwlH0WPc21hnyGjPxgv15eMdstJEqnrMlk8=</DigestValue>
      </Reference>
      <Reference URI="/xl/worksheets/sheet24.xml?ContentType=application/vnd.openxmlformats-officedocument.spreadsheetml.worksheet+xml">
        <DigestMethod Algorithm="http://www.w3.org/2001/04/xmlenc#sha256"/>
        <DigestValue>InR3xdPBsnZERR7bNKLIKmOv6eyfeXALm419uehyfQI=</DigestValue>
      </Reference>
      <Reference URI="/xl/worksheets/sheet25.xml?ContentType=application/vnd.openxmlformats-officedocument.spreadsheetml.worksheet+xml">
        <DigestMethod Algorithm="http://www.w3.org/2001/04/xmlenc#sha256"/>
        <DigestValue>beVq3LZ66r5DuoRWRi5P9LAdwLecV1NRMyA4QfPU99E=</DigestValue>
      </Reference>
      <Reference URI="/xl/worksheets/sheet26.xml?ContentType=application/vnd.openxmlformats-officedocument.spreadsheetml.worksheet+xml">
        <DigestMethod Algorithm="http://www.w3.org/2001/04/xmlenc#sha256"/>
        <DigestValue>jcBHz0NphXcKxZjVCIh3Pf64aHYuGvRamM/znuT9/Z4=</DigestValue>
      </Reference>
      <Reference URI="/xl/worksheets/sheet27.xml?ContentType=application/vnd.openxmlformats-officedocument.spreadsheetml.worksheet+xml">
        <DigestMethod Algorithm="http://www.w3.org/2001/04/xmlenc#sha256"/>
        <DigestValue>Nh8XLtqufqyBeG4YZYiHhJ6sDsY2HaegE6AFl09QMbM=</DigestValue>
      </Reference>
      <Reference URI="/xl/worksheets/sheet28.xml?ContentType=application/vnd.openxmlformats-officedocument.spreadsheetml.worksheet+xml">
        <DigestMethod Algorithm="http://www.w3.org/2001/04/xmlenc#sha256"/>
        <DigestValue>YKgaU42q9yUuyfaQL9ZbW5eA4tcmeeE9h8SgJFmdISg=</DigestValue>
      </Reference>
      <Reference URI="/xl/worksheets/sheet29.xml?ContentType=application/vnd.openxmlformats-officedocument.spreadsheetml.worksheet+xml">
        <DigestMethod Algorithm="http://www.w3.org/2001/04/xmlenc#sha256"/>
        <DigestValue>/dwhzfmzaMy8rDzq3rQAd84yQb4WNVvEvKp53vWiPeI=</DigestValue>
      </Reference>
      <Reference URI="/xl/worksheets/sheet3.xml?ContentType=application/vnd.openxmlformats-officedocument.spreadsheetml.worksheet+xml">
        <DigestMethod Algorithm="http://www.w3.org/2001/04/xmlenc#sha256"/>
        <DigestValue>YFa/XIqzcjmwzn+d/zIbiHY9n7feK75Ncml+sFP11MI=</DigestValue>
      </Reference>
      <Reference URI="/xl/worksheets/sheet30.xml?ContentType=application/vnd.openxmlformats-officedocument.spreadsheetml.worksheet+xml">
        <DigestMethod Algorithm="http://www.w3.org/2001/04/xmlenc#sha256"/>
        <DigestValue>z8Sa0pWSQz/U8LBNUJWXyuoi0nIba4IICTPrL0t0QYM=</DigestValue>
      </Reference>
      <Reference URI="/xl/worksheets/sheet4.xml?ContentType=application/vnd.openxmlformats-officedocument.spreadsheetml.worksheet+xml">
        <DigestMethod Algorithm="http://www.w3.org/2001/04/xmlenc#sha256"/>
        <DigestValue>PfIBTTKSeTQEn1GEgYxAYVXarVwQruU2+y9n89k8i4g=</DigestValue>
      </Reference>
      <Reference URI="/xl/worksheets/sheet5.xml?ContentType=application/vnd.openxmlformats-officedocument.spreadsheetml.worksheet+xml">
        <DigestMethod Algorithm="http://www.w3.org/2001/04/xmlenc#sha256"/>
        <DigestValue>LCgHzxV+wIFbQmz3IP4Uei4NTqes1FZ2JDAfsM9NzAY=</DigestValue>
      </Reference>
      <Reference URI="/xl/worksheets/sheet6.xml?ContentType=application/vnd.openxmlformats-officedocument.spreadsheetml.worksheet+xml">
        <DigestMethod Algorithm="http://www.w3.org/2001/04/xmlenc#sha256"/>
        <DigestValue>c5nheM2ew3BWTrtgcFjohg8JA5ymxB1lTSQQ+zHY9n8=</DigestValue>
      </Reference>
      <Reference URI="/xl/worksheets/sheet7.xml?ContentType=application/vnd.openxmlformats-officedocument.spreadsheetml.worksheet+xml">
        <DigestMethod Algorithm="http://www.w3.org/2001/04/xmlenc#sha256"/>
        <DigestValue>Q+LbDbTRzz0T1KUSCJ2a5QdaSkcmn5ggUVilThKAA7I=</DigestValue>
      </Reference>
      <Reference URI="/xl/worksheets/sheet8.xml?ContentType=application/vnd.openxmlformats-officedocument.spreadsheetml.worksheet+xml">
        <DigestMethod Algorithm="http://www.w3.org/2001/04/xmlenc#sha256"/>
        <DigestValue>Sl3c1LVv9FZhfKI/tsh5b2SMHlMtxzojWz5RzIhc5LQ=</DigestValue>
      </Reference>
      <Reference URI="/xl/worksheets/sheet9.xml?ContentType=application/vnd.openxmlformats-officedocument.spreadsheetml.worksheet+xml">
        <DigestMethod Algorithm="http://www.w3.org/2001/04/xmlenc#sha256"/>
        <DigestValue>8kaAtexeGebPa8jia0F1e29b7yq84zHIMOe9HvouGho=</DigestValue>
      </Reference>
    </Manifest>
    <SignatureProperties>
      <SignatureProperty Id="idSignatureTime" Target="#idPackageSignature">
        <mdssi:SignatureTime xmlns:mdssi="http://schemas.openxmlformats.org/package/2006/digital-signature">
          <mdssi:Format>YYYY-MM-DDThh:mm:ssTZD</mdssi:Format>
          <mdssi:Value>2023-02-27T07:55:05Z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10</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2023-02-27T07:55:05Z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10</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bNcIHGJxL4y72ENxVre760GZUAZlUX906dMUYm3I3kU=</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Z9V87V97487XwsufwUX0nQCPscsYqvCBxyJkDFQyvgU=</DigestValue>
    </Reference>
  </SignedInfo>
  <SignatureValue>b++BsY0mPDlBUjqxwohOhzYD0y82ZpyrZhoKfY+Gl0I4dwERd+4phXaoLROqYNcaV+JGixv6VmUn
fPHC8OqxPu/GUZsMSq+XhfACW+aQbuAMJzE4c/GgUB+6HMsHorXjs2q9pMUKa9zz7lHaQk+Rix12
C/KUWGZvS628B77ilDdrib+VuVvg+2VJk/MUqtAbvv5o69WIgvXqMRarWa38P3ow29Pi9eMQNWK4
vOKrRrDrtGmQZhvBc0QxR2p/Kuw/iHohspUD4nbeF+FjUvBZZxgeAtikUZgyfhkmXLfwecpJcuO0
QpQe1e+8Xbk+24FHEzM/kcDYZnDQHqXaeO90Nw==</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E5uedIjBjhSF31G7Fc03YX7ltKwDOllrgjgfQ8/1akg=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kkwuOTQKnnIj1jH8nQdIiPsZW6v5W4OrpCMPiySmeiE=</DigestValue>
      </Reference>
      <Reference URI="/xl/styles.xml?ContentType=application/vnd.openxmlformats-officedocument.spreadsheetml.styles+xml">
        <DigestMethod Algorithm="http://www.w3.org/2001/04/xmlenc#sha256"/>
        <DigestValue>LtR7OF2oZZ6XR6OVjXZm9vu8K3kr5anxzKtAfO2ujrw=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bTnm8D4/VQ94sgKb1ow/SW36iCiP2WCtd77LJuBtunc=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H/PZyMANArIynJEX9xHUDatA+QB4tjblxp2H53OY33M=</DigestValue>
      </Reference>
      <Reference URI="/xl/worksheets/sheet11.xml?ContentType=application/vnd.openxmlformats-officedocument.spreadsheetml.worksheet+xml">
        <DigestMethod Algorithm="http://www.w3.org/2001/04/xmlenc#sha256"/>
        <DigestValue>+eC1t4cwvEic01AcJOxoRpE/pyd56hSWywTRsnx2j8c=</DigestValue>
      </Reference>
      <Reference URI="/xl/worksheets/sheet12.xml?ContentType=application/vnd.openxmlformats-officedocument.spreadsheetml.worksheet+xml">
        <DigestMethod Algorithm="http://www.w3.org/2001/04/xmlenc#sha256"/>
        <DigestValue>nGZrl85j0yiiheZB8WOBYLMyj8J5eN+frWDaa2e75Pw=</DigestValue>
      </Reference>
      <Reference URI="/xl/worksheets/sheet13.xml?ContentType=application/vnd.openxmlformats-officedocument.spreadsheetml.worksheet+xml">
        <DigestMethod Algorithm="http://www.w3.org/2001/04/xmlenc#sha256"/>
        <DigestValue>jumrFmpFzsKPwmPBgo626WAe07+cQSSWmMLz5OzBwzo=</DigestValue>
      </Reference>
      <Reference URI="/xl/worksheets/sheet14.xml?ContentType=application/vnd.openxmlformats-officedocument.spreadsheetml.worksheet+xml">
        <DigestMethod Algorithm="http://www.w3.org/2001/04/xmlenc#sha256"/>
        <DigestValue>ZdWCyxwvf8LN7qRSTmYjmVDNVezPWw8LbfPfuUzndPk=</DigestValue>
      </Reference>
      <Reference URI="/xl/worksheets/sheet15.xml?ContentType=application/vnd.openxmlformats-officedocument.spreadsheetml.worksheet+xml">
        <DigestMethod Algorithm="http://www.w3.org/2001/04/xmlenc#sha256"/>
        <DigestValue>d5k+JyCuS0FEY/OAC+mb0Crxo2dDrwS+tAE/2mVEolI=</DigestValue>
      </Reference>
      <Reference URI="/xl/worksheets/sheet16.xml?ContentType=application/vnd.openxmlformats-officedocument.spreadsheetml.worksheet+xml">
        <DigestMethod Algorithm="http://www.w3.org/2001/04/xmlenc#sha256"/>
        <DigestValue>ZiaLowOR9PiHbSZgxM5qKG0yUFLkqeGnHNBU7oBpkXQ=</DigestValue>
      </Reference>
      <Reference URI="/xl/worksheets/sheet17.xml?ContentType=application/vnd.openxmlformats-officedocument.spreadsheetml.worksheet+xml">
        <DigestMethod Algorithm="http://www.w3.org/2001/04/xmlenc#sha256"/>
        <DigestValue>G35MLZz/oO/4sV/786cBwB0Y4zIfgYQC3qB8i/zxr4I=</DigestValue>
      </Reference>
      <Reference URI="/xl/worksheets/sheet18.xml?ContentType=application/vnd.openxmlformats-officedocument.spreadsheetml.worksheet+xml">
        <DigestMethod Algorithm="http://www.w3.org/2001/04/xmlenc#sha256"/>
        <DigestValue>Ct3u0ScUkp7Yx4s8UmlzJXdPsiR2D+Z5NASvM3VfUHQ=</DigestValue>
      </Reference>
      <Reference URI="/xl/worksheets/sheet19.xml?ContentType=application/vnd.openxmlformats-officedocument.spreadsheetml.worksheet+xml">
        <DigestMethod Algorithm="http://www.w3.org/2001/04/xmlenc#sha256"/>
        <DigestValue>y9xf3AWlnHTgvaLEpdb0z1UOJn+34GiRNH3DbgPmpvY=</DigestValue>
      </Reference>
      <Reference URI="/xl/worksheets/sheet2.xml?ContentType=application/vnd.openxmlformats-officedocument.spreadsheetml.worksheet+xml">
        <DigestMethod Algorithm="http://www.w3.org/2001/04/xmlenc#sha256"/>
        <DigestValue>9GPBgqb9DXLgiTi5K5ahoxCojyJrHZ+PYPvlI5yNaog=</DigestValue>
      </Reference>
      <Reference URI="/xl/worksheets/sheet20.xml?ContentType=application/vnd.openxmlformats-officedocument.spreadsheetml.worksheet+xml">
        <DigestMethod Algorithm="http://www.w3.org/2001/04/xmlenc#sha256"/>
        <DigestValue>Php8G95xxK4smAftftkz3kj8P1B14vJ1EhXwkynaePY=</DigestValue>
      </Reference>
      <Reference URI="/xl/worksheets/sheet21.xml?ContentType=application/vnd.openxmlformats-officedocument.spreadsheetml.worksheet+xml">
        <DigestMethod Algorithm="http://www.w3.org/2001/04/xmlenc#sha256"/>
        <DigestValue>1koXSFm24bnTGdOVrZ/i6J4C1IlfqhNBqQnHcA6NaE4=</DigestValue>
      </Reference>
      <Reference URI="/xl/worksheets/sheet22.xml?ContentType=application/vnd.openxmlformats-officedocument.spreadsheetml.worksheet+xml">
        <DigestMethod Algorithm="http://www.w3.org/2001/04/xmlenc#sha256"/>
        <DigestValue>dBWbPvlHqGUnhj+MgUT6G5wzBf5/26lFvOE4IX6YRDE=</DigestValue>
      </Reference>
      <Reference URI="/xl/worksheets/sheet23.xml?ContentType=application/vnd.openxmlformats-officedocument.spreadsheetml.worksheet+xml">
        <DigestMethod Algorithm="http://www.w3.org/2001/04/xmlenc#sha256"/>
        <DigestValue>mNPmnxEakwlH0WPc21hnyGjPxgv15eMdstJEqnrMlk8=</DigestValue>
      </Reference>
      <Reference URI="/xl/worksheets/sheet24.xml?ContentType=application/vnd.openxmlformats-officedocument.spreadsheetml.worksheet+xml">
        <DigestMethod Algorithm="http://www.w3.org/2001/04/xmlenc#sha256"/>
        <DigestValue>InR3xdPBsnZERR7bNKLIKmOv6eyfeXALm419uehyfQI=</DigestValue>
      </Reference>
      <Reference URI="/xl/worksheets/sheet25.xml?ContentType=application/vnd.openxmlformats-officedocument.spreadsheetml.worksheet+xml">
        <DigestMethod Algorithm="http://www.w3.org/2001/04/xmlenc#sha256"/>
        <DigestValue>beVq3LZ66r5DuoRWRi5P9LAdwLecV1NRMyA4QfPU99E=</DigestValue>
      </Reference>
      <Reference URI="/xl/worksheets/sheet26.xml?ContentType=application/vnd.openxmlformats-officedocument.spreadsheetml.worksheet+xml">
        <DigestMethod Algorithm="http://www.w3.org/2001/04/xmlenc#sha256"/>
        <DigestValue>jcBHz0NphXcKxZjVCIh3Pf64aHYuGvRamM/znuT9/Z4=</DigestValue>
      </Reference>
      <Reference URI="/xl/worksheets/sheet27.xml?ContentType=application/vnd.openxmlformats-officedocument.spreadsheetml.worksheet+xml">
        <DigestMethod Algorithm="http://www.w3.org/2001/04/xmlenc#sha256"/>
        <DigestValue>Nh8XLtqufqyBeG4YZYiHhJ6sDsY2HaegE6AFl09QMbM=</DigestValue>
      </Reference>
      <Reference URI="/xl/worksheets/sheet28.xml?ContentType=application/vnd.openxmlformats-officedocument.spreadsheetml.worksheet+xml">
        <DigestMethod Algorithm="http://www.w3.org/2001/04/xmlenc#sha256"/>
        <DigestValue>YKgaU42q9yUuyfaQL9ZbW5eA4tcmeeE9h8SgJFmdISg=</DigestValue>
      </Reference>
      <Reference URI="/xl/worksheets/sheet29.xml?ContentType=application/vnd.openxmlformats-officedocument.spreadsheetml.worksheet+xml">
        <DigestMethod Algorithm="http://www.w3.org/2001/04/xmlenc#sha256"/>
        <DigestValue>/dwhzfmzaMy8rDzq3rQAd84yQb4WNVvEvKp53vWiPeI=</DigestValue>
      </Reference>
      <Reference URI="/xl/worksheets/sheet3.xml?ContentType=application/vnd.openxmlformats-officedocument.spreadsheetml.worksheet+xml">
        <DigestMethod Algorithm="http://www.w3.org/2001/04/xmlenc#sha256"/>
        <DigestValue>YFa/XIqzcjmwzn+d/zIbiHY9n7feK75Ncml+sFP11MI=</DigestValue>
      </Reference>
      <Reference URI="/xl/worksheets/sheet30.xml?ContentType=application/vnd.openxmlformats-officedocument.spreadsheetml.worksheet+xml">
        <DigestMethod Algorithm="http://www.w3.org/2001/04/xmlenc#sha256"/>
        <DigestValue>z8Sa0pWSQz/U8LBNUJWXyuoi0nIba4IICTPrL0t0QYM=</DigestValue>
      </Reference>
      <Reference URI="/xl/worksheets/sheet4.xml?ContentType=application/vnd.openxmlformats-officedocument.spreadsheetml.worksheet+xml">
        <DigestMethod Algorithm="http://www.w3.org/2001/04/xmlenc#sha256"/>
        <DigestValue>PfIBTTKSeTQEn1GEgYxAYVXarVwQruU2+y9n89k8i4g=</DigestValue>
      </Reference>
      <Reference URI="/xl/worksheets/sheet5.xml?ContentType=application/vnd.openxmlformats-officedocument.spreadsheetml.worksheet+xml">
        <DigestMethod Algorithm="http://www.w3.org/2001/04/xmlenc#sha256"/>
        <DigestValue>LCgHzxV+wIFbQmz3IP4Uei4NTqes1FZ2JDAfsM9NzAY=</DigestValue>
      </Reference>
      <Reference URI="/xl/worksheets/sheet6.xml?ContentType=application/vnd.openxmlformats-officedocument.spreadsheetml.worksheet+xml">
        <DigestMethod Algorithm="http://www.w3.org/2001/04/xmlenc#sha256"/>
        <DigestValue>c5nheM2ew3BWTrtgcFjohg8JA5ymxB1lTSQQ+zHY9n8=</DigestValue>
      </Reference>
      <Reference URI="/xl/worksheets/sheet7.xml?ContentType=application/vnd.openxmlformats-officedocument.spreadsheetml.worksheet+xml">
        <DigestMethod Algorithm="http://www.w3.org/2001/04/xmlenc#sha256"/>
        <DigestValue>Q+LbDbTRzz0T1KUSCJ2a5QdaSkcmn5ggUVilThKAA7I=</DigestValue>
      </Reference>
      <Reference URI="/xl/worksheets/sheet8.xml?ContentType=application/vnd.openxmlformats-officedocument.spreadsheetml.worksheet+xml">
        <DigestMethod Algorithm="http://www.w3.org/2001/04/xmlenc#sha256"/>
        <DigestValue>Sl3c1LVv9FZhfKI/tsh5b2SMHlMtxzojWz5RzIhc5LQ=</DigestValue>
      </Reference>
      <Reference URI="/xl/worksheets/sheet9.xml?ContentType=application/vnd.openxmlformats-officedocument.spreadsheetml.worksheet+xml">
        <DigestMethod Algorithm="http://www.w3.org/2001/04/xmlenc#sha256"/>
        <DigestValue>8kaAtexeGebPa8jia0F1e29b7yq84zHIMOe9HvouGho=</DigestValue>
      </Reference>
    </Manifest>
    <SignatureProperties>
      <SignatureProperty Id="idSignatureTime" Target="#idPackageSignature">
        <mdssi:SignatureTime xmlns:mdssi="http://schemas.openxmlformats.org/package/2006/digital-signature">
          <mdssi:Format>YYYY-MM-DDThh:mm:ssTZD</mdssi:Format>
          <mdssi:Value>2023-02-27T08:08:05Z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2023-02-27T08:08:05Z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2023-02-24T13:33:12Z</dcterms:modified>
</cp:coreProperties>
</file>