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4D2C5423-B5BD-4BB0-ABA2-DF598B43C857}" xr6:coauthVersionLast="47" xr6:coauthVersionMax="47" xr10:uidLastSave="{00000000-0000-0000-0000-000000000000}"/>
  <bookViews>
    <workbookView xWindow="-120" yWindow="-120" windowWidth="29040" windowHeight="1599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28">[3]Sheet2!$H$5:$H$31</definedName>
    <definedName name="Sheet">[3]Sheet2!$H$5:$H$31</definedName>
    <definedName name="საკრედიტო" localSheetId="28">[3]Sheet2!$B$6:$B$8</definedName>
    <definedName name="საკრედიტო">[3]Sheet2!$B$6:$B$8</definedName>
    <definedName name="ფაილი" localSheetId="28">[3]Sheet2!$B$2:$B$3</definedName>
    <definedName name="ფაილი">[3]Sheet2!$B$2:$B$3</definedName>
    <definedName name="ცვლილება_კორექტირება_რეგულაციაში" localSheetId="28">[3]Sheet2!$K$5:$K$9</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84" l="1"/>
  <c r="F53" i="53"/>
  <c r="G53" i="53"/>
  <c r="B2" i="91" l="1"/>
  <c r="N33" i="88" l="1"/>
  <c r="M33" i="88"/>
  <c r="L33" i="88"/>
  <c r="K33" i="88"/>
  <c r="J33" i="88"/>
  <c r="I33" i="88"/>
  <c r="H33" i="88"/>
  <c r="G33" i="88"/>
  <c r="F33" i="88"/>
  <c r="E33" i="88"/>
  <c r="D33" i="88"/>
  <c r="C33" i="88"/>
  <c r="U22" i="86"/>
  <c r="L22" i="86"/>
  <c r="G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C10" i="85"/>
  <c r="C19" i="85" s="1"/>
  <c r="D12" i="84"/>
  <c r="D7" i="84"/>
  <c r="D19" i="84" s="1"/>
  <c r="C7"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F21" i="82"/>
  <c r="E21" i="82"/>
  <c r="D21" i="82"/>
  <c r="C21" i="82"/>
  <c r="I20" i="82"/>
  <c r="I19" i="82"/>
  <c r="I18" i="82"/>
  <c r="I17" i="82"/>
  <c r="I16" i="82"/>
  <c r="I15" i="82"/>
  <c r="I14" i="82"/>
  <c r="I13" i="82"/>
  <c r="I12" i="82"/>
  <c r="I11" i="82"/>
  <c r="I10" i="82"/>
  <c r="I9" i="82"/>
  <c r="I8" i="82"/>
  <c r="I7" i="82"/>
  <c r="B2" i="89"/>
  <c r="B2" i="88"/>
  <c r="B2" i="87"/>
  <c r="B2" i="86"/>
  <c r="B2" i="85"/>
  <c r="B2" i="84"/>
  <c r="B2" i="83"/>
  <c r="B2" i="82"/>
  <c r="B2" i="81"/>
  <c r="C35" i="79"/>
  <c r="G22" i="81"/>
  <c r="F22" i="81"/>
  <c r="E22" i="81"/>
  <c r="D22" i="81"/>
  <c r="C22" i="81"/>
  <c r="H21" i="81"/>
  <c r="H20" i="81"/>
  <c r="H19" i="81"/>
  <c r="H18" i="81"/>
  <c r="H17" i="81"/>
  <c r="H16" i="81"/>
  <c r="H15" i="81"/>
  <c r="H14" i="81"/>
  <c r="H13" i="81"/>
  <c r="H12" i="81"/>
  <c r="H11" i="81"/>
  <c r="H10" i="81"/>
  <c r="H9" i="81"/>
  <c r="H8" i="81"/>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C30" i="79"/>
  <c r="C26" i="79"/>
  <c r="C8" i="79"/>
  <c r="K23" i="36"/>
  <c r="J23" i="36"/>
  <c r="I23" i="36"/>
  <c r="H23" i="36"/>
  <c r="G23" i="36"/>
  <c r="F23" i="36"/>
  <c r="K21" i="36"/>
  <c r="J21" i="36"/>
  <c r="I21" i="36"/>
  <c r="H21" i="36"/>
  <c r="G21" i="36"/>
  <c r="F21" i="36"/>
  <c r="E21" i="36"/>
  <c r="D21" i="36"/>
  <c r="C21" i="36"/>
  <c r="K16" i="36"/>
  <c r="J16" i="36"/>
  <c r="I16" i="36"/>
  <c r="H16" i="36"/>
  <c r="G16" i="36"/>
  <c r="F16" i="36"/>
  <c r="F24" i="36" s="1"/>
  <c r="E16" i="36"/>
  <c r="D16" i="36"/>
  <c r="C16" i="36"/>
  <c r="G22" i="74"/>
  <c r="F22" i="74"/>
  <c r="E22" i="74"/>
  <c r="D22" i="74"/>
  <c r="C6" i="73" s="1"/>
  <c r="C22" i="74"/>
  <c r="H21" i="74"/>
  <c r="H20" i="74"/>
  <c r="H19" i="74"/>
  <c r="H18" i="74"/>
  <c r="H17" i="74"/>
  <c r="H16" i="74"/>
  <c r="H15" i="74"/>
  <c r="H14" i="74"/>
  <c r="H13" i="74"/>
  <c r="H12" i="74"/>
  <c r="H11" i="74"/>
  <c r="H10" i="74"/>
  <c r="H9" i="74"/>
  <c r="H8"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C29" i="69"/>
  <c r="C27" i="69"/>
  <c r="D20" i="72"/>
  <c r="D19" i="72"/>
  <c r="C20" i="69"/>
  <c r="C47" i="28"/>
  <c r="C43" i="28"/>
  <c r="C52" i="28" s="1"/>
  <c r="C35" i="28"/>
  <c r="C31" i="28"/>
  <c r="C30" i="28" s="1"/>
  <c r="C41" i="28" s="1"/>
  <c r="C12" i="28"/>
  <c r="C6" i="28"/>
  <c r="G6" i="71"/>
  <c r="G13" i="71" s="1"/>
  <c r="F6" i="71"/>
  <c r="F13" i="71" s="1"/>
  <c r="E6" i="71"/>
  <c r="E13" i="71" s="1"/>
  <c r="D6" i="71"/>
  <c r="D13" i="71" s="1"/>
  <c r="C6" i="71"/>
  <c r="C13" i="71" s="1"/>
  <c r="B2" i="71"/>
  <c r="H52" i="75"/>
  <c r="E52" i="75"/>
  <c r="H51" i="75"/>
  <c r="E51" i="75"/>
  <c r="H50" i="75"/>
  <c r="E50" i="75"/>
  <c r="H49" i="75"/>
  <c r="E49" i="75"/>
  <c r="H48" i="75"/>
  <c r="E48" i="75"/>
  <c r="H47" i="75"/>
  <c r="E47" i="75"/>
  <c r="H46" i="75"/>
  <c r="E46" i="75"/>
  <c r="H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66" i="53"/>
  <c r="E66" i="53"/>
  <c r="H64" i="53"/>
  <c r="E64" i="53"/>
  <c r="G61" i="53"/>
  <c r="F61" i="53"/>
  <c r="D61" i="53"/>
  <c r="C61" i="53"/>
  <c r="H60" i="53"/>
  <c r="E60" i="53"/>
  <c r="H59" i="53"/>
  <c r="E59" i="53"/>
  <c r="H58" i="53"/>
  <c r="E58" i="53"/>
  <c r="H53" i="53"/>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F54" i="53" s="1"/>
  <c r="D34" i="53"/>
  <c r="D45" i="53" s="1"/>
  <c r="D54" i="53" s="1"/>
  <c r="C34" i="53"/>
  <c r="C45" i="53" s="1"/>
  <c r="G30" i="53"/>
  <c r="F30" i="53"/>
  <c r="D30" i="53"/>
  <c r="C30" i="53"/>
  <c r="E30" i="53" s="1"/>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F9" i="53"/>
  <c r="F22" i="53" s="1"/>
  <c r="D9" i="53"/>
  <c r="D22" i="53" s="1"/>
  <c r="C9" i="53"/>
  <c r="C22" i="53" s="1"/>
  <c r="H8" i="53"/>
  <c r="E8" i="53"/>
  <c r="H40" i="62"/>
  <c r="E40" i="62"/>
  <c r="H39" i="62"/>
  <c r="E39" i="62"/>
  <c r="C54" i="69" s="1"/>
  <c r="H38" i="62"/>
  <c r="E38" i="62"/>
  <c r="C53" i="69" s="1"/>
  <c r="H37" i="62"/>
  <c r="E37" i="62"/>
  <c r="C50" i="69" s="1"/>
  <c r="H36" i="62"/>
  <c r="E36" i="62"/>
  <c r="C49" i="69" s="1"/>
  <c r="H35" i="62"/>
  <c r="E35" i="62"/>
  <c r="C48" i="69" s="1"/>
  <c r="H34" i="62"/>
  <c r="E34" i="62"/>
  <c r="C47" i="69" s="1"/>
  <c r="H33" i="62"/>
  <c r="E33" i="62"/>
  <c r="C46" i="69" s="1"/>
  <c r="G31" i="62"/>
  <c r="G41" i="62" s="1"/>
  <c r="F31" i="62"/>
  <c r="F41" i="62" s="1"/>
  <c r="D31" i="62"/>
  <c r="C31" i="62"/>
  <c r="C41" i="62" s="1"/>
  <c r="H30" i="62"/>
  <c r="E30" i="62"/>
  <c r="C43" i="69" s="1"/>
  <c r="C44" i="69" s="1"/>
  <c r="H29" i="62"/>
  <c r="E29" i="62"/>
  <c r="C41" i="69" s="1"/>
  <c r="H28" i="62"/>
  <c r="E28" i="62"/>
  <c r="C40" i="69" s="1"/>
  <c r="H27" i="62"/>
  <c r="E27" i="62"/>
  <c r="C39" i="69" s="1"/>
  <c r="H26" i="62"/>
  <c r="E26" i="62"/>
  <c r="C38" i="69" s="1"/>
  <c r="H25" i="62"/>
  <c r="E25" i="62"/>
  <c r="C37" i="69" s="1"/>
  <c r="H24" i="62"/>
  <c r="E24" i="62"/>
  <c r="C36" i="69" s="1"/>
  <c r="H23" i="62"/>
  <c r="E23" i="62"/>
  <c r="C35" i="69" s="1"/>
  <c r="H22" i="62"/>
  <c r="E22" i="62"/>
  <c r="C34" i="69" s="1"/>
  <c r="G20" i="62"/>
  <c r="H19" i="62"/>
  <c r="E19" i="62"/>
  <c r="C20" i="72" s="1"/>
  <c r="H18" i="62"/>
  <c r="E18" i="62"/>
  <c r="C26" i="69" s="1"/>
  <c r="H17" i="62"/>
  <c r="E17" i="62"/>
  <c r="C18" i="72" s="1"/>
  <c r="E18" i="72" s="1"/>
  <c r="H16" i="62"/>
  <c r="E16" i="62"/>
  <c r="C19" i="69" s="1"/>
  <c r="H15" i="62"/>
  <c r="E15" i="62"/>
  <c r="C16" i="72" s="1"/>
  <c r="E16" i="72" s="1"/>
  <c r="G14" i="62"/>
  <c r="H14" i="62" s="1"/>
  <c r="F14" i="62"/>
  <c r="F20" i="62" s="1"/>
  <c r="D14" i="62"/>
  <c r="D20" i="62" s="1"/>
  <c r="C14" i="62"/>
  <c r="C20" i="62" s="1"/>
  <c r="H13" i="62"/>
  <c r="E13" i="62"/>
  <c r="C14" i="72" s="1"/>
  <c r="E14" i="72" s="1"/>
  <c r="H12" i="62"/>
  <c r="E12" i="62"/>
  <c r="C13" i="69" s="1"/>
  <c r="H11" i="62"/>
  <c r="E11" i="62"/>
  <c r="C12" i="72" s="1"/>
  <c r="H10" i="62"/>
  <c r="E10" i="62"/>
  <c r="C11" i="72" s="1"/>
  <c r="E11" i="72" s="1"/>
  <c r="H9" i="62"/>
  <c r="E9" i="62"/>
  <c r="C10" i="72" s="1"/>
  <c r="E10" i="72" s="1"/>
  <c r="H8" i="62"/>
  <c r="E8" i="62"/>
  <c r="C9" i="72" s="1"/>
  <c r="E9" i="72" s="1"/>
  <c r="H7" i="62"/>
  <c r="E7" i="62"/>
  <c r="C8" i="72" s="1"/>
  <c r="E8" i="72" s="1"/>
  <c r="G5" i="6"/>
  <c r="F5" i="6"/>
  <c r="E5" i="6"/>
  <c r="D5" i="6"/>
  <c r="C5" i="6"/>
  <c r="G21" i="80" l="1"/>
  <c r="E61" i="53"/>
  <c r="H22" i="81"/>
  <c r="I21" i="82"/>
  <c r="I24" i="36"/>
  <c r="S22" i="35"/>
  <c r="E45" i="75"/>
  <c r="G31" i="53"/>
  <c r="G56" i="53" s="1"/>
  <c r="D12" i="72"/>
  <c r="D21" i="72" s="1"/>
  <c r="C28" i="69"/>
  <c r="C32" i="69" s="1"/>
  <c r="C17" i="72"/>
  <c r="E17" i="72" s="1"/>
  <c r="C6" i="69"/>
  <c r="C13" i="72"/>
  <c r="E13" i="72" s="1"/>
  <c r="C14" i="69"/>
  <c r="C55" i="69"/>
  <c r="C45" i="69"/>
  <c r="E45" i="53"/>
  <c r="C19" i="72"/>
  <c r="E19" i="72" s="1"/>
  <c r="C7" i="69"/>
  <c r="C18" i="69"/>
  <c r="V21" i="64"/>
  <c r="I34" i="83"/>
  <c r="E31" i="62"/>
  <c r="E34" i="53"/>
  <c r="C8" i="69"/>
  <c r="G24" i="36"/>
  <c r="G25" i="36" s="1"/>
  <c r="J24" i="36"/>
  <c r="J25" i="36" s="1"/>
  <c r="G37" i="80"/>
  <c r="G39" i="80" s="1"/>
  <c r="H31" i="62"/>
  <c r="D31" i="53"/>
  <c r="D56" i="53" s="1"/>
  <c r="D63" i="53" s="1"/>
  <c r="D65" i="53" s="1"/>
  <c r="D67" i="53" s="1"/>
  <c r="C28" i="28"/>
  <c r="C9" i="69"/>
  <c r="H22" i="74"/>
  <c r="H24" i="36"/>
  <c r="H25" i="36" s="1"/>
  <c r="K24" i="36"/>
  <c r="K25" i="36" s="1"/>
  <c r="H41" i="62"/>
  <c r="E9" i="53"/>
  <c r="H30" i="53"/>
  <c r="E53" i="53"/>
  <c r="H61" i="53"/>
  <c r="E20" i="72"/>
  <c r="C10" i="69"/>
  <c r="C12" i="69" s="1"/>
  <c r="C19" i="84"/>
  <c r="E20" i="62"/>
  <c r="H20" i="62"/>
  <c r="C17" i="69"/>
  <c r="I25" i="36"/>
  <c r="F25" i="36"/>
  <c r="E15" i="72"/>
  <c r="C21" i="72"/>
  <c r="F31" i="53"/>
  <c r="F56" i="53" s="1"/>
  <c r="H22" i="53"/>
  <c r="G63" i="53"/>
  <c r="G65" i="53" s="1"/>
  <c r="G67" i="53" s="1"/>
  <c r="C31" i="53"/>
  <c r="E22" i="53"/>
  <c r="H45" i="53"/>
  <c r="H54" i="53"/>
  <c r="H34" i="53"/>
  <c r="H9" i="53"/>
  <c r="C54" i="53"/>
  <c r="E54" i="53" s="1"/>
  <c r="D41" i="62"/>
  <c r="E41" i="62" s="1"/>
  <c r="E14" i="62"/>
  <c r="C15" i="72" s="1"/>
  <c r="C33" i="69" l="1"/>
  <c r="E12" i="72"/>
  <c r="E21" i="72" s="1"/>
  <c r="C5" i="73" s="1"/>
  <c r="C56" i="53"/>
  <c r="E31" i="53"/>
  <c r="H31" i="53"/>
  <c r="H56" i="53" l="1"/>
  <c r="F63" i="53"/>
  <c r="E56" i="53"/>
  <c r="C63" i="53"/>
  <c r="C65" i="53" l="1"/>
  <c r="E63" i="53"/>
  <c r="F65" i="53"/>
  <c r="H63" i="53"/>
  <c r="B2" i="80"/>
  <c r="B1" i="80"/>
  <c r="C67" i="53" l="1"/>
  <c r="E67" i="53" s="1"/>
  <c r="E65" i="53"/>
  <c r="H65" i="53"/>
  <c r="F67" i="53"/>
  <c r="H67" i="53" s="1"/>
  <c r="B2" i="79"/>
  <c r="B2" i="37"/>
  <c r="B2" i="36"/>
  <c r="B2" i="74"/>
  <c r="B2" i="64"/>
  <c r="B2" i="35"/>
  <c r="B2" i="69"/>
  <c r="B2" i="77"/>
  <c r="B2" i="28"/>
  <c r="B2" i="73"/>
  <c r="B2" i="72"/>
  <c r="B2" i="52"/>
  <c r="B2" i="75"/>
  <c r="B2" i="53"/>
  <c r="B2" i="62"/>
  <c r="G5" i="71" l="1"/>
  <c r="F5" i="71"/>
  <c r="E5" i="71"/>
  <c r="D5" i="71"/>
  <c r="C5" i="71"/>
  <c r="B1" i="79" l="1"/>
  <c r="B1" i="37"/>
  <c r="B1" i="36"/>
  <c r="B1" i="74"/>
  <c r="B1" i="64"/>
  <c r="B1" i="35"/>
  <c r="B1" i="69"/>
  <c r="B1" i="77"/>
  <c r="B1" i="28"/>
  <c r="B1" i="73"/>
  <c r="B1" i="72"/>
  <c r="B1" i="52"/>
  <c r="B1" i="71"/>
  <c r="B1" i="75"/>
  <c r="B1" i="53"/>
  <c r="B1" i="62"/>
  <c r="B1" i="6"/>
  <c r="B1" i="91" s="1"/>
  <c r="B1" i="87" l="1"/>
  <c r="B1" i="84"/>
  <c r="B1" i="81"/>
  <c r="B1" i="89"/>
  <c r="B1" i="86"/>
  <c r="B1" i="83"/>
  <c r="B1" i="88"/>
  <c r="B1" i="85"/>
  <c r="B1" i="82"/>
  <c r="C21" i="77"/>
  <c r="D16" i="77"/>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G7" i="37"/>
  <c r="F7" i="37"/>
  <c r="C7" i="37"/>
  <c r="F21" i="37" l="1"/>
  <c r="G21" i="37"/>
  <c r="H21" i="37"/>
  <c r="N14" i="37"/>
  <c r="E14" i="37"/>
  <c r="E7" i="37"/>
  <c r="C21" i="37"/>
  <c r="C7" i="73" s="1"/>
  <c r="C8" i="73" s="1"/>
  <c r="C13" i="73" s="1"/>
  <c r="N8" i="37"/>
  <c r="E21" i="37" l="1"/>
  <c r="C12" i="79" s="1"/>
  <c r="C18" i="79" s="1"/>
  <c r="C36" i="79" s="1"/>
  <c r="C38" i="79" s="1"/>
  <c r="N7" i="37"/>
  <c r="N21" i="37" s="1"/>
  <c r="K7" i="37"/>
  <c r="K21" i="37" s="1"/>
  <c r="H53" i="75" l="1"/>
  <c r="E53" i="75"/>
  <c r="H7" i="75"/>
  <c r="E7" i="75"/>
</calcChain>
</file>

<file path=xl/sharedStrings.xml><?xml version="1.0" encoding="utf-8"?>
<sst xmlns="http://schemas.openxmlformats.org/spreadsheetml/2006/main" count="1586" uniqueCount="1052">
  <si>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</si>
  <si>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</si>
  <si>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</si>
  <si>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</si>
  <si>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</si>
  <si>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</si>
  <si>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</si>
  <si>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</si>
  <si>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</si>
  <si>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</si>
  <si>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</si>
  <si>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</si>
  <si>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</si>
  <si>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</si>
  <si>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</si>
  <si>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</si>
  <si>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</si>
  <si>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</si>
  <si>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</si>
  <si>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</si>
  <si>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</si>
  <si>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</si>
  <si>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</si>
  <si>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</si>
  <si>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</si>
  <si>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</si>
  <si>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</si>
  <si>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</si>
  <si>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</si>
  <si>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</si>
  <si>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</si>
  <si>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</si>
  <si>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</si>
  <si>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</si>
  <si>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</si>
  <si>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</si>
  <si>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</si>
  <si>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</si>
  <si>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</si>
  <si>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</si>
  <si>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</si>
  <si>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</si>
  <si>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</si>
  <si>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</si>
  <si>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</si>
  <si>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</si>
  <si>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</si>
  <si>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</si>
  <si>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</si>
  <si>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</si>
  <si>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</si>
  <si>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</si>
  <si>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</si>
  <si>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</si>
  <si>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</si>
  <si>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</si>
  <si>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</si>
  <si>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</si>
  <si>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</si>
  <si>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</si>
  <si>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</si>
  <si>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</si>
  <si>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</si>
  <si>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</si>
  <si>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</si>
  <si>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</si>
  <si>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</si>
  <si>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</si>
  <si>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</si>
  <si>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</si>
  <si>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</si>
  <si>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</si>
  <si>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</si>
  <si>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</si>
  <si>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</si>
  <si>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</si>
  <si>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</si>
  <si>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</si>
  <si>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</si>
  <si>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</si>
  <si>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</si>
  <si>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</si>
  <si>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</si>
  <si>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</si>
  <si>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</si>
  <si>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</si>
  <si>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</si>
  <si>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</si>
  <si>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</si>
  <si>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</si>
  <si>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</si>
  <si>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</si>
  <si>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</si>
  <si>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</si>
  <si>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</si>
  <si>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</si>
  <si>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</si>
  <si>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</si>
  <si>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</si>
  <si>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</si>
  <si>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</si>
  <si>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</si>
  <si>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</si>
  <si>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</si>
  <si>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</si>
  <si>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</si>
  <si>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</si>
  <si>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</si>
  <si>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</si>
  <si>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</si>
  <si>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</si>
  <si>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</si>
  <si>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</si>
  <si>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</si>
  <si>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</si>
  <si>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</si>
  <si>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</si>
  <si>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</si>
  <si>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</si>
  <si>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</si>
  <si>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</si>
  <si>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</si>
  <si>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</si>
  <si>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</si>
  <si>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</si>
  <si>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</si>
  <si>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</si>
  <si>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</si>
  <si>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</si>
  <si>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</si>
  <si>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</si>
  <si>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</si>
  <si>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</si>
  <si>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</si>
  <si>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</si>
  <si>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</si>
  <si>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</si>
  <si>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</si>
  <si>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</si>
  <si>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</si>
  <si>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</si>
  <si>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</si>
  <si>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</si>
  <si>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</si>
  <si>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</si>
  <si>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</si>
  <si>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</si>
  <si>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</si>
  <si>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</si>
  <si>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</si>
  <si>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</si>
  <si>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</si>
  <si>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</si>
  <si>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</si>
  <si>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</si>
  <si>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</si>
  <si>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</si>
  <si>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</si>
  <si>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</si>
  <si>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</si>
  <si>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</si>
  <si>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</si>
  <si>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</si>
  <si>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</si>
  <si>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</si>
  <si>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</si>
  <si>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</si>
  <si>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</si>
  <si>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</si>
  <si>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</si>
  <si>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</si>
  <si>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</si>
  <si>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</si>
  <si>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</si>
  <si>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</si>
  <si>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</si>
  <si>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</si>
  <si>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</si>
  <si>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</si>
  <si>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</si>
  <si>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</si>
  <si>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</si>
  <si>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</si>
  <si>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</si>
  <si>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</si>
  <si>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</si>
  <si>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</si>
  <si>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</si>
  <si>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</si>
  <si>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</si>
  <si>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</si>
  <si>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</si>
  <si>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</si>
  <si>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</si>
  <si>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</si>
  <si>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</si>
  <si>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</si>
  <si>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</si>
  <si>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</si>
  <si>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</si>
  <si>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</si>
  <si>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</si>
  <si>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</si>
  <si>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</si>
  <si>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</si>
  <si>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</si>
  <si>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</si>
  <si>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</si>
  <si>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</si>
  <si>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</si>
  <si>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</si>
  <si>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</si>
  <si>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</si>
  <si>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</si>
  <si>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</si>
  <si>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</si>
  <si>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</si>
  <si>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</si>
  <si>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</si>
  <si>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</si>
  <si>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</si>
  <si>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</si>
  <si>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</si>
  <si>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</si>
  <si>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</si>
  <si>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</si>
  <si>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</si>
  <si>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</si>
  <si>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</si>
  <si>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</si>
  <si>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</si>
  <si>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</si>
  <si>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</si>
  <si>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</si>
  <si>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</si>
  <si>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</si>
  <si>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</si>
  <si>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</si>
  <si>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</si>
  <si>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</si>
  <si>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</si>
  <si>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</si>
  <si>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</si>
  <si>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</si>
  <si>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</si>
  <si>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</si>
  <si>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</si>
  <si>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</si>
  <si>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</si>
  <si>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</si>
  <si>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</si>
  <si>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</si>
  <si>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</si>
  <si>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</si>
  <si>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</si>
  <si>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</si>
  <si>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</si>
  <si>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</si>
  <si>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</si>
  <si>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</si>
  <si>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</si>
  <si>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</si>
  <si>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</si>
  <si>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</si>
  <si>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</si>
  <si>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</si>
  <si>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</si>
  <si>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</si>
  <si>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</si>
  <si>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</si>
  <si>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</si>
  <si>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</si>
  <si>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</si>
  <si>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</si>
  <si>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</si>
  <si>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</si>
  <si>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</si>
  <si>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</si>
  <si>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</si>
  <si>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</si>
  <si>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</si>
  <si>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</si>
  <si>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</si>
  <si>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</si>
  <si>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</si>
  <si>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</si>
  <si>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</si>
  <si>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</si>
  <si>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</si>
  <si>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</si>
  <si>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</si>
  <si>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</si>
  <si>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</si>
  <si>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</si>
  <si>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</si>
  <si>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</si>
  <si>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</si>
  <si>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</si>
  <si>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</si>
  <si>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</si>
  <si>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</si>
  <si>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</si>
  <si>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</si>
  <si>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</si>
  <si>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</si>
  <si>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</si>
  <si>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</si>
  <si>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</si>
  <si>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</si>
  <si>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</si>
  <si>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</si>
  <si>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</si>
  <si>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</si>
  <si>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</si>
  <si>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</si>
  <si>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</si>
  <si>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</si>
  <si>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</si>
  <si>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</si>
  <si>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</si>
  <si>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</si>
  <si>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</si>
  <si>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</si>
  <si>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</si>
  <si>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</si>
  <si>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</si>
  <si>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</si>
  <si>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</si>
  <si>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</si>
  <si>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</si>
  <si>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</si>
  <si>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</si>
  <si>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</si>
  <si>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</si>
  <si>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</si>
  <si>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</si>
  <si>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</si>
  <si>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</si>
  <si>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</si>
  <si>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</si>
  <si>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</si>
  <si>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</si>
  <si>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</si>
  <si>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</si>
  <si>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</si>
  <si>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</si>
  <si>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</si>
  <si>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</si>
  <si>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</si>
  <si>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</si>
  <si>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</si>
  <si>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</si>
  <si>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</si>
  <si>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</si>
  <si>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</si>
  <si>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</si>
  <si>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</si>
  <si>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</si>
  <si>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</si>
  <si>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</si>
  <si>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</si>
  <si>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</si>
  <si>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</si>
  <si>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</si>
  <si>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</si>
  <si>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</si>
  <si>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</si>
  <si>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</si>
  <si>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</si>
  <si>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</si>
  <si>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</si>
  <si>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</si>
  <si>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</si>
  <si>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</si>
  <si>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</si>
  <si>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</si>
  <si>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</si>
  <si>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</si>
  <si>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</si>
  <si>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</si>
  <si>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</si>
  <si>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</si>
  <si>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</si>
  <si>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</si>
  <si>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</si>
  <si>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</si>
  <si>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</si>
  <si>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</si>
  <si>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</si>
  <si>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</si>
  <si>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</si>
  <si>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</si>
  <si>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</si>
  <si>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</si>
  <si>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</si>
  <si>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</si>
  <si>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</si>
  <si>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</si>
  <si>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</si>
  <si>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</si>
  <si>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</si>
  <si>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</si>
  <si>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</si>
  <si>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</si>
  <si>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</si>
  <si>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</si>
  <si>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</si>
  <si>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</si>
  <si>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</si>
  <si>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</si>
  <si>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</si>
  <si>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</si>
  <si>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</si>
  <si>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</si>
  <si>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</si>
  <si>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</si>
  <si>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</si>
  <si>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</si>
  <si>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</si>
  <si>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</si>
  <si>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</si>
  <si>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</si>
  <si>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</si>
  <si>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</si>
  <si>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</si>
  <si>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</si>
  <si>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</si>
  <si>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</si>
  <si>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</si>
  <si>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</si>
  <si>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</si>
  <si>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</si>
  <si>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</si>
  <si>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</si>
  <si>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</si>
  <si>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</si>
  <si>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</si>
  <si>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</si>
  <si>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</si>
  <si>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</si>
  <si>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</si>
  <si>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</si>
  <si>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</si>
  <si>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</si>
  <si>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</si>
  <si>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</si>
  <si>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</si>
  <si>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</si>
  <si>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</si>
  <si>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</si>
  <si>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</si>
  <si>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</si>
  <si>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</si>
  <si>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</si>
  <si>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</si>
  <si>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</si>
  <si>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</si>
  <si>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</si>
  <si>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</si>
  <si>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</si>
  <si>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</si>
  <si>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</si>
  <si>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</si>
  <si>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</si>
  <si>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</si>
  <si>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</si>
  <si>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</si>
  <si>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</si>
  <si>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</si>
  <si>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</si>
  <si>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</si>
  <si>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</si>
  <si>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</si>
  <si>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</si>
  <si>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</si>
  <si>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</si>
  <si>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</si>
  <si>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</si>
  <si>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</si>
  <si>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</si>
  <si>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</si>
  <si>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</si>
  <si>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</si>
  <si>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</si>
  <si>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</si>
  <si>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</si>
  <si>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</si>
  <si>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</si>
  <si>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</si>
  <si>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</si>
  <si>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</si>
  <si>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</si>
  <si>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</si>
  <si>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</si>
  <si>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</si>
  <si>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</si>
  <si>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</si>
  <si>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</si>
  <si>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</si>
  <si>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</si>
  <si>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</si>
  <si>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</si>
  <si>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</si>
  <si>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</si>
  <si>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</si>
  <si>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</si>
  <si>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</si>
  <si>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</si>
  <si>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</si>
  <si>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</si>
  <si>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</si>
  <si>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</si>
  <si>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</si>
  <si>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</si>
  <si>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</si>
  <si>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</si>
  <si>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</si>
  <si>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</si>
  <si>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</si>
  <si>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</si>
  <si>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</si>
  <si>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</si>
  <si>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</si>
  <si>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</si>
  <si>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</si>
  <si>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</si>
  <si>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</si>
  <si>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</si>
  <si>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</si>
  <si>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</si>
  <si>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</si>
  <si>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</si>
  <si>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</si>
  <si>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</si>
  <si>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</si>
  <si>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</si>
  <si>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</si>
  <si>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</si>
  <si>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</si>
  <si>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</si>
  <si>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</si>
  <si>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</si>
  <si>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</si>
  <si>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</si>
  <si>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</si>
  <si>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</si>
  <si>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</si>
  <si>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</si>
  <si>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</si>
  <si>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</si>
  <si>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</si>
  <si>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</si>
  <si>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</si>
  <si>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</si>
  <si>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</si>
  <si>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</si>
  <si>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</si>
  <si>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</si>
  <si>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</si>
  <si>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</si>
  <si>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</si>
  <si>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</si>
  <si>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</si>
  <si>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</si>
  <si>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</si>
  <si>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</si>
  <si>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</si>
  <si>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</si>
  <si>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</si>
  <si>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</si>
  <si>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</si>
  <si>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</si>
  <si>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</si>
  <si>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</si>
  <si>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</si>
  <si>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</si>
  <si>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</si>
  <si>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</si>
  <si>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</si>
  <si>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</si>
  <si>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</si>
  <si>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</si>
  <si>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</si>
  <si>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</si>
  <si>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</si>
  <si>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</si>
  <si>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</si>
  <si>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</si>
  <si>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</si>
  <si>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</si>
  <si>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</si>
  <si>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</si>
  <si>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</si>
  <si>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</si>
  <si>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</si>
  <si>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</si>
  <si>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</si>
  <si>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</si>
  <si>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</si>
  <si>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</si>
  <si>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</si>
  <si>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</si>
  <si>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</si>
  <si>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</si>
  <si>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</si>
  <si>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</si>
  <si>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</si>
  <si>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</si>
  <si>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</si>
  <si>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</si>
  <si>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</si>
  <si>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</si>
  <si>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</si>
  <si>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</si>
  <si>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</si>
  <si>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</si>
  <si>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</si>
  <si>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</si>
  <si>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</si>
  <si>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</si>
  <si>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</si>
  <si>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</si>
  <si>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</si>
  <si>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</si>
  <si>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</si>
  <si>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</si>
  <si>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</si>
  <si>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</si>
  <si>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</si>
  <si>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</si>
  <si>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</si>
  <si>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</si>
  <si>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</si>
  <si>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</si>
  <si>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</si>
  <si>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</si>
  <si>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</si>
  <si>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</si>
  <si>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</si>
  <si>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</si>
  <si>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</si>
  <si>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</si>
  <si>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</si>
  <si>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</si>
  <si>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</si>
  <si>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</si>
  <si>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</si>
  <si>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</si>
  <si>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</si>
  <si>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</si>
  <si>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</si>
  <si>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</si>
  <si>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</si>
  <si>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</si>
  <si>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</si>
  <si>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</si>
  <si>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</si>
  <si>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</si>
  <si>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</si>
  <si>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</si>
  <si>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</si>
  <si>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</si>
  <si>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</si>
  <si>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</si>
  <si>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</si>
  <si>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</si>
  <si>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</si>
  <si>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</si>
  <si>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</si>
  <si>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</si>
  <si>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</si>
  <si>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</si>
  <si>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</si>
  <si>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</si>
  <si>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</si>
  <si>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</si>
  <si>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</si>
  <si>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</si>
  <si>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</si>
  <si>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</si>
  <si>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</si>
  <si>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</si>
  <si>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</si>
  <si>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</si>
  <si>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</si>
  <si>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</si>
  <si>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</si>
  <si>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</si>
  <si>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</si>
  <si>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</si>
  <si>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</si>
  <si>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</si>
  <si>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</si>
  <si>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</si>
  <si>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</si>
  <si>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</si>
  <si>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</si>
  <si>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</si>
  <si>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</si>
  <si>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</si>
  <si>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</si>
  <si>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</si>
  <si>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</si>
  <si>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</si>
  <si>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</si>
  <si>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</si>
  <si>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</si>
  <si>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</si>
  <si>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</si>
  <si>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</si>
  <si>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</si>
  <si>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</si>
  <si>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</si>
  <si>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</si>
  <si>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</si>
  <si>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</si>
  <si>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</si>
  <si>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</si>
  <si>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</si>
  <si>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</si>
  <si>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</si>
  <si>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</si>
  <si>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</si>
  <si>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</si>
  <si>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</si>
  <si>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</si>
  <si>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</si>
  <si>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</si>
  <si>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</si>
  <si>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</si>
  <si>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</si>
  <si>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</si>
  <si>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</si>
  <si>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</si>
  <si>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</si>
  <si>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</si>
  <si>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</si>
  <si>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</si>
  <si>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</si>
  <si>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</si>
  <si>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</si>
  <si>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</si>
  <si>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</si>
  <si>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</si>
  <si>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</si>
  <si>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</si>
  <si>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</si>
  <si>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</si>
  <si>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</si>
  <si>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</si>
  <si>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</si>
  <si>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</si>
  <si>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</si>
  <si>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</si>
  <si>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</si>
  <si>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</si>
  <si>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</si>
  <si>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</si>
  <si>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</si>
  <si>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</si>
  <si>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</si>
  <si>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</si>
  <si>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</si>
  <si>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</si>
  <si>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</si>
  <si>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</si>
  <si>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</si>
  <si>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</si>
  <si>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</si>
  <si>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</si>
  <si>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</si>
  <si>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</si>
  <si>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</si>
  <si>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</si>
  <si>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</si>
  <si>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</si>
  <si>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</si>
  <si>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</si>
  <si>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</si>
  <si>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</si>
  <si>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</si>
  <si>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</si>
  <si>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</si>
  <si>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</si>
  <si>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</si>
  <si>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</si>
  <si>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</si>
  <si>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</si>
  <si>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</si>
  <si>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</si>
  <si>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</si>
  <si>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</si>
  <si>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</si>
  <si>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</si>
  <si>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</si>
  <si>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</si>
  <si>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</si>
  <si>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</si>
  <si>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</si>
  <si>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</si>
  <si>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</si>
  <si>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</si>
  <si>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</si>
  <si>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</si>
  <si>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</si>
  <si>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</si>
  <si>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</si>
  <si>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</si>
  <si>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</si>
  <si>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</si>
  <si>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</si>
  <si>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</si>
  <si>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</si>
  <si>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</si>
  <si>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</si>
  <si>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</si>
  <si>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</si>
  <si>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</si>
  <si>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</si>
  <si>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</si>
  <si>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</si>
  <si>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</si>
  <si>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</si>
  <si>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</si>
  <si>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</si>
  <si>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</si>
  <si>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</si>
  <si>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</si>
  <si>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</si>
  <si>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</si>
  <si>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</si>
  <si>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</si>
  <si>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</si>
  <si>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</si>
  <si>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</si>
  <si>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</si>
  <si>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</si>
  <si>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</si>
  <si>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</si>
  <si>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</si>
  <si>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</si>
  <si>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</si>
  <si>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</si>
  <si>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</si>
  <si>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</si>
  <si>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</si>
  <si>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</si>
  <si>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</si>
  <si>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</si>
  <si>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</si>
  <si>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</si>
  <si>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</si>
  <si>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</si>
  <si>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</si>
  <si>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</si>
  <si>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</si>
  <si>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</si>
  <si>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</si>
  <si>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</si>
  <si>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</si>
  <si>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</si>
  <si>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</si>
  <si>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</si>
  <si>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</si>
  <si>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</si>
  <si>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</si>
  <si>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</si>
  <si>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</si>
  <si>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</si>
  <si>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</si>
  <si>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</si>
  <si>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</si>
  <si>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</si>
  <si>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</si>
  <si>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</si>
  <si>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</si>
  <si>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</si>
  <si>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</si>
  <si>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</si>
  <si>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</si>
  <si>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</si>
  <si>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</si>
  <si>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</si>
  <si>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</si>
  <si>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</si>
  <si>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</si>
  <si>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</si>
  <si>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</si>
  <si>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</si>
  <si>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</si>
  <si>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</si>
  <si>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</si>
  <si>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</si>
  <si>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</si>
  <si>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</si>
  <si>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</si>
  <si>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</si>
  <si>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</si>
  <si>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</si>
  <si>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</si>
  <si>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</si>
  <si>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</si>
  <si>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</si>
  <si>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</si>
  <si>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</si>
  <si>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</si>
  <si>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</si>
  <si>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</si>
  <si>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</si>
  <si>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</si>
  <si>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</si>
  <si>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</si>
  <si>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</si>
  <si>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</si>
  <si>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</si>
  <si>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</si>
  <si>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</si>
  <si>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</si>
  <si>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</si>
  <si>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</si>
  <si>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</si>
  <si>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</si>
  <si>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</si>
  <si>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</si>
  <si>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</si>
  <si>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</si>
  <si>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</si>
  <si>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</si>
  <si>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</si>
  <si>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</si>
  <si>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</si>
  <si>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</si>
  <si>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</si>
  <si>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</si>
  <si>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</si>
  <si>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</si>
  <si>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</si>
  <si>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</si>
  <si>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</si>
  <si>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</si>
  <si>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</si>
  <si>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</si>
  <si>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</si>
  <si>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</si>
  <si>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</si>
  <si>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</si>
  <si>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</si>
  <si>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</si>
  <si>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</si>
  <si>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</si>
  <si>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</si>
  <si>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</si>
  <si>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</si>
  <si>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</si>
  <si>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</si>
  <si>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</si>
  <si>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 xml:space="preserve">  </t>
  </si>
  <si>
    <t>სს "ბანკი ქართუ"</t>
  </si>
  <si>
    <t>ნ. ჩხეტიანი</t>
  </si>
  <si>
    <t>ნ. ხაინდრავა</t>
  </si>
  <si>
    <t>www.cartubank.ge</t>
  </si>
  <si>
    <t>ნიკოლოზ ჩხეტიანი</t>
  </si>
  <si>
    <t>არადამოუკიდებელი თავმჯდომარე</t>
  </si>
  <si>
    <t xml:space="preserve">ბესიკ დემეტრაშვილი                                                                                  </t>
  </si>
  <si>
    <t>არადამოუკიდებელი წევრი</t>
  </si>
  <si>
    <t>თემური კობახიძე</t>
  </si>
  <si>
    <t>დამოუკიდებელი წევრი</t>
  </si>
  <si>
    <t>ზაზა ვერძეული</t>
  </si>
  <si>
    <t>თეა ჯოხაძე</t>
  </si>
  <si>
    <t>არადამოუკიდებელ წევრი</t>
  </si>
  <si>
    <t>ნატო ხაინდრავა</t>
  </si>
  <si>
    <t>გენერალური დირექტორი</t>
  </si>
  <si>
    <t>გივი ლებანიძე</t>
  </si>
  <si>
    <t>ფინანსური დირექტორი</t>
  </si>
  <si>
    <t>ბექა კვარაცხელია</t>
  </si>
  <si>
    <t>რისკების დირექტორი</t>
  </si>
  <si>
    <t>ზურაბ გოგუა</t>
  </si>
  <si>
    <t>კომერციული დირექტორი</t>
  </si>
  <si>
    <t>დავით გალუაშვილი</t>
  </si>
  <si>
    <t>ოპერაციების დირექტორი</t>
  </si>
  <si>
    <t>ა(ა)იპ საერთაშორისო საქველმოქმედო ფონდი "ქართუ"</t>
  </si>
  <si>
    <t xml:space="preserve">უტა ივანიშვილი </t>
  </si>
  <si>
    <t>მინუს: საინვესტიციო ფასიანი ქაღალდების საეთო რეზერვები</t>
  </si>
  <si>
    <t>ცხრილი 9 (Capital), N39</t>
  </si>
  <si>
    <t>წმინდა საინვესტიციო ფასიანი ქაღალდები</t>
  </si>
  <si>
    <t>მინუს: მნიშვნელოვანი ინვესტიციების შესაძლო დანაკარგების რეზერვები</t>
  </si>
  <si>
    <t>მინუს: ინვესტიციების შესაძლო დანაკარგების საეთო რეზერვები</t>
  </si>
  <si>
    <t>მათ შორის გადავადებული საგადასახადო აქტივები</t>
  </si>
  <si>
    <t>ცხრილი 9 (Capital), N15</t>
  </si>
  <si>
    <t>მინუს: სხვა აქტივების შესაძლო დანაკარგების საეთო რეზერვები</t>
  </si>
  <si>
    <t>მინუს: სხვა აქტივების შესაძლო დანაკარგების სპეციალური  რეზერვები</t>
  </si>
  <si>
    <t>წმინდა სხვა აქტივები</t>
  </si>
  <si>
    <t>ცხრილი 9 (Capital), N37</t>
  </si>
  <si>
    <t>ცხრილი 9 (Capital), N2</t>
  </si>
  <si>
    <t>მათ შორის სარეზერვო ფონდი</t>
  </si>
  <si>
    <t>ცხრილი 9 (Capital), N5</t>
  </si>
  <si>
    <t>მათ შორის მიზნობრივი ფონდი</t>
  </si>
  <si>
    <t>ცხრილი 9 (Capital), N6</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</si>
  <si>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</si>
  <si>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</si>
  <si>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</si>
  <si>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</si>
  <si>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</si>
  <si>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</si>
  <si>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</si>
  <si>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</si>
  <si>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</si>
  <si>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</si>
  <si>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</si>
  <si>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</si>
  <si>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</si>
  <si>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</si>
  <si>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</si>
  <si>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</si>
  <si>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</si>
  <si>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</si>
  <si>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</si>
  <si>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</si>
  <si>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</si>
  <si>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</si>
  <si>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</si>
  <si>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</si>
  <si>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</si>
  <si>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</si>
  <si>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</si>
  <si>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</si>
  <si>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</si>
  <si>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</si>
  <si>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</si>
  <si>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</si>
  <si>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</si>
  <si>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</si>
  <si>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</si>
  <si>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</si>
  <si>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</si>
  <si>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</si>
  <si>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</si>
  <si>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</si>
  <si>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</si>
  <si>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</si>
  <si>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</si>
  <si>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</si>
  <si>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</si>
  <si>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</si>
  <si>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</si>
  <si>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</si>
  <si>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</si>
  <si>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</si>
  <si>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</si>
  <si>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</si>
  <si>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</si>
  <si>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და ხარისხობრივი ინფორმაცია საცალო პროდუქტებზე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</si>
</sst>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u/>
      <sz val="12"/>
      <color indexed="12"/>
      <name val="Arial"/>
      <family val="2"/>
    </font>
    <font>
      <i/>
      <sz val="10"/>
      <color rgb="FFFF0000"/>
      <name val="Calibri"/>
      <family val="2"/>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style="medium">
        <color indexed="64"/>
      </left>
      <right style="medium">
        <color indexed="64"/>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9"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88" fontId="2" fillId="70" borderId="105" applyFont="0">
      <alignment horizontal="right" vertical="center"/>
    </xf>
    <xf numFmtId="3" fontId="2" fillId="70" borderId="105" applyFont="0">
      <alignment horizontal="right" vertical="center"/>
    </xf>
    <xf numFmtId="0" fontId="85"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9"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3" fontId="2" fillId="75" borderId="105"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3" fontId="2" fillId="72" borderId="105" applyFont="0">
      <alignment horizontal="right" vertical="center"/>
      <protection locked="0"/>
    </xf>
    <xf numFmtId="0" fontId="68"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9"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2" fillId="71" borderId="106" applyNumberFormat="0" applyFont="0" applyBorder="0" applyProtection="0">
      <alignment horizontal="left" vertical="center"/>
    </xf>
    <xf numFmtId="9" fontId="2" fillId="71" borderId="105" applyFont="0" applyProtection="0">
      <alignment horizontal="right" vertical="center"/>
    </xf>
    <xf numFmtId="3" fontId="2" fillId="71" borderId="105" applyFont="0" applyProtection="0">
      <alignment horizontal="right" vertical="center"/>
    </xf>
    <xf numFmtId="0" fontId="64" fillId="70" borderId="106" applyFont="0" applyBorder="0">
      <alignment horizontal="center" wrapText="1"/>
    </xf>
    <xf numFmtId="168" fontId="56" fillId="0" borderId="103">
      <alignment horizontal="left" vertical="center"/>
    </xf>
    <xf numFmtId="0" fontId="56" fillId="0" borderId="103">
      <alignment horizontal="left" vertical="center"/>
    </xf>
    <xf numFmtId="0" fontId="56" fillId="0" borderId="103">
      <alignment horizontal="left" vertical="center"/>
    </xf>
    <xf numFmtId="0" fontId="2" fillId="69" borderId="105" applyNumberFormat="0" applyFont="0" applyBorder="0" applyProtection="0">
      <alignment horizontal="center" vertical="center"/>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40"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9"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43">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58" xfId="0" applyFont="1" applyBorder="1"/>
    <xf numFmtId="0" fontId="22" fillId="0" borderId="25" xfId="0" applyFont="1" applyBorder="1" applyAlignment="1">
      <alignment horizontal="center" vertical="center" wrapText="1"/>
    </xf>
    <xf numFmtId="0" fontId="4" fillId="0" borderId="59"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167" fontId="25" fillId="0" borderId="68"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9"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7" borderId="65"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36" borderId="26"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9" fillId="0" borderId="3" xfId="0" applyNumberFormat="1" applyFont="1" applyBorder="1" applyAlignment="1">
      <alignment horizontal="center" vertical="center"/>
    </xf>
    <xf numFmtId="0" fontId="6" fillId="0" borderId="0" xfId="0" applyFont="1" applyAlignment="1">
      <alignment horizontal="center" wrapText="1"/>
    </xf>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98" xfId="20" applyBorder="1"/>
    <xf numFmtId="0" fontId="4" fillId="0" borderId="7" xfId="0" applyFont="1" applyBorder="1" applyAlignment="1">
      <alignment vertical="center"/>
    </xf>
    <xf numFmtId="0" fontId="4" fillId="0" borderId="105" xfId="0" applyFont="1" applyBorder="1" applyAlignment="1">
      <alignment vertical="center"/>
    </xf>
    <xf numFmtId="0" fontId="6" fillId="0" borderId="105" xfId="0" applyFont="1" applyBorder="1" applyAlignment="1">
      <alignment vertical="center"/>
    </xf>
    <xf numFmtId="0" fontId="4" fillId="0" borderId="20" xfId="0" applyFont="1" applyBorder="1" applyAlignment="1">
      <alignment vertical="center"/>
    </xf>
    <xf numFmtId="0" fontId="4" fillId="0" borderId="100" xfId="0" applyFont="1" applyBorder="1" applyAlignment="1">
      <alignment vertical="center"/>
    </xf>
    <xf numFmtId="0" fontId="4" fillId="0" borderId="102" xfId="0" applyFont="1" applyBorder="1" applyAlignment="1">
      <alignment vertical="center"/>
    </xf>
    <xf numFmtId="0" fontId="4" fillId="0" borderId="19" xfId="0" applyFont="1" applyBorder="1" applyAlignment="1">
      <alignment horizontal="center" vertical="center"/>
    </xf>
    <xf numFmtId="0" fontId="4" fillId="0" borderId="112" xfId="0" applyFont="1" applyBorder="1" applyAlignment="1">
      <alignment horizontal="center" vertical="center"/>
    </xf>
    <xf numFmtId="0" fontId="4" fillId="0" borderId="114" xfId="0" applyFont="1" applyBorder="1" applyAlignment="1">
      <alignment horizontal="center" vertical="center"/>
    </xf>
    <xf numFmtId="169" fontId="28" fillId="37" borderId="34" xfId="20" applyBorder="1"/>
    <xf numFmtId="169" fontId="28" fillId="37" borderId="116" xfId="20" applyBorder="1"/>
    <xf numFmtId="169" fontId="28" fillId="37" borderId="59" xfId="20" applyBorder="1"/>
    <xf numFmtId="0" fontId="4" fillId="3" borderId="69" xfId="0" applyFont="1" applyFill="1" applyBorder="1" applyAlignment="1">
      <alignment horizontal="center" vertical="center"/>
    </xf>
    <xf numFmtId="0" fontId="4" fillId="3" borderId="0" xfId="0" applyFont="1" applyFill="1" applyAlignment="1">
      <alignment vertical="center"/>
    </xf>
    <xf numFmtId="0" fontId="4" fillId="0" borderId="75" xfId="0" applyFont="1" applyBorder="1" applyAlignment="1">
      <alignment horizontal="center" vertical="center"/>
    </xf>
    <xf numFmtId="0" fontId="4" fillId="3" borderId="103"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105" xfId="0" applyFont="1" applyBorder="1" applyAlignment="1">
      <alignment horizontal="center" vertical="center" wrapText="1"/>
    </xf>
    <xf numFmtId="0" fontId="4" fillId="0" borderId="119" xfId="0" applyFont="1" applyBorder="1" applyAlignment="1">
      <alignment horizontal="center" vertical="center" wrapText="1"/>
    </xf>
    <xf numFmtId="0" fontId="6" fillId="3" borderId="120" xfId="0" applyFont="1" applyFill="1" applyBorder="1" applyAlignment="1">
      <alignment vertical="center"/>
    </xf>
    <xf numFmtId="0" fontId="4" fillId="3" borderId="24" xfId="0" applyFont="1" applyFill="1" applyBorder="1" applyAlignment="1">
      <alignment vertical="center"/>
    </xf>
    <xf numFmtId="0" fontId="4" fillId="0" borderId="121"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21" xfId="0" applyBorder="1"/>
    <xf numFmtId="0" fontId="0" fillId="0" borderId="121" xfId="0" applyBorder="1" applyAlignment="1">
      <alignment horizontal="center"/>
    </xf>
    <xf numFmtId="0" fontId="4" fillId="0" borderId="104" xfId="0" applyFont="1" applyBorder="1" applyAlignment="1">
      <alignment vertical="center" wrapText="1"/>
    </xf>
    <xf numFmtId="167" fontId="4" fillId="0" borderId="105" xfId="0" applyNumberFormat="1" applyFont="1" applyBorder="1" applyAlignment="1">
      <alignment horizontal="center" vertical="center"/>
    </xf>
    <xf numFmtId="167" fontId="4" fillId="0" borderId="119" xfId="0" applyNumberFormat="1" applyFont="1" applyBorder="1" applyAlignment="1">
      <alignment horizontal="center" vertical="center"/>
    </xf>
    <xf numFmtId="167" fontId="14" fillId="0" borderId="105" xfId="0" applyNumberFormat="1" applyFont="1" applyBorder="1" applyAlignment="1">
      <alignment horizontal="center" vertical="center"/>
    </xf>
    <xf numFmtId="0" fontId="14" fillId="0" borderId="104" xfId="0" applyFont="1" applyBorder="1" applyAlignment="1">
      <alignment vertical="center" wrapText="1"/>
    </xf>
    <xf numFmtId="0" fontId="0" fillId="0" borderId="25" xfId="0" applyBorder="1"/>
    <xf numFmtId="0" fontId="6" fillId="36" borderId="122"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5"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4" fillId="0" borderId="121" xfId="0" applyFont="1" applyBorder="1" applyAlignment="1">
      <alignment horizontal="right" vertical="center" wrapText="1"/>
    </xf>
    <xf numFmtId="0" fontId="4" fillId="0" borderId="105" xfId="0" applyFont="1" applyBorder="1" applyAlignment="1">
      <alignment horizontal="left" vertical="center" wrapText="1"/>
    </xf>
    <xf numFmtId="0" fontId="111" fillId="0" borderId="121" xfId="0" applyFont="1" applyBorder="1" applyAlignment="1">
      <alignment horizontal="right" vertical="center" wrapText="1"/>
    </xf>
    <xf numFmtId="0" fontId="111" fillId="0" borderId="105" xfId="0" applyFont="1" applyBorder="1" applyAlignment="1">
      <alignment horizontal="left" vertical="center" wrapText="1"/>
    </xf>
    <xf numFmtId="0" fontId="6" fillId="0" borderId="121"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11" fillId="0" borderId="0" xfId="0" applyFont="1" applyAlignment="1">
      <alignment horizontal="left" vertical="center"/>
    </xf>
    <xf numFmtId="49" fontId="112" fillId="0" borderId="25" xfId="5" applyNumberFormat="1" applyFont="1" applyBorder="1" applyAlignment="1" applyProtection="1">
      <alignment horizontal="left" vertical="center"/>
      <protection locked="0"/>
    </xf>
    <xf numFmtId="0" fontId="113" fillId="0" borderId="26" xfId="9" applyFont="1" applyBorder="1" applyAlignment="1" applyProtection="1">
      <alignment horizontal="left" vertical="center" wrapText="1"/>
      <protection locked="0"/>
    </xf>
    <xf numFmtId="0" fontId="22" fillId="0" borderId="121" xfId="0" applyFont="1" applyBorder="1" applyAlignment="1">
      <alignment horizontal="center" vertical="center" wrapText="1"/>
    </xf>
    <xf numFmtId="3" fontId="23" fillId="36" borderId="105" xfId="0" applyNumberFormat="1" applyFont="1" applyFill="1" applyBorder="1" applyAlignment="1">
      <alignment vertical="center" wrapText="1"/>
    </xf>
    <xf numFmtId="14" fontId="7" fillId="3" borderId="105" xfId="8" quotePrefix="1" applyNumberFormat="1" applyFont="1" applyFill="1" applyBorder="1" applyAlignment="1" applyProtection="1">
      <alignment horizontal="left" vertical="center" wrapText="1" indent="2"/>
      <protection locked="0"/>
    </xf>
    <xf numFmtId="3" fontId="23" fillId="0" borderId="105" xfId="0" applyNumberFormat="1" applyFont="1" applyBorder="1" applyAlignment="1">
      <alignment vertical="center" wrapText="1"/>
    </xf>
    <xf numFmtId="14" fontId="7" fillId="3" borderId="105" xfId="8" quotePrefix="1" applyNumberFormat="1" applyFont="1" applyFill="1" applyBorder="1" applyAlignment="1" applyProtection="1">
      <alignment horizontal="left" vertical="center" wrapText="1" indent="3"/>
      <protection locked="0"/>
    </xf>
    <xf numFmtId="0" fontId="11" fillId="0" borderId="105" xfId="17" applyFill="1" applyBorder="1" applyAlignment="1" applyProtection="1"/>
    <xf numFmtId="49" fontId="111" fillId="0" borderId="121" xfId="0" applyNumberFormat="1" applyFont="1" applyBorder="1" applyAlignment="1">
      <alignment horizontal="right" vertical="center" wrapText="1"/>
    </xf>
    <xf numFmtId="0" fontId="7" fillId="3" borderId="105" xfId="20960" applyFont="1" applyFill="1" applyBorder="1"/>
    <xf numFmtId="0" fontId="105" fillId="0" borderId="105" xfId="20960" applyFont="1" applyBorder="1" applyAlignment="1">
      <alignment horizontal="center" vertical="center"/>
    </xf>
    <xf numFmtId="0" fontId="4" fillId="0" borderId="105" xfId="0" applyFont="1" applyBorder="1"/>
    <xf numFmtId="0" fontId="11" fillId="0" borderId="105" xfId="17" applyFill="1" applyBorder="1" applyAlignment="1" applyProtection="1">
      <alignment horizontal="left" vertical="center" wrapText="1"/>
    </xf>
    <xf numFmtId="49" fontId="111" fillId="0" borderId="105" xfId="0" applyNumberFormat="1" applyFont="1" applyBorder="1" applyAlignment="1">
      <alignment horizontal="right" vertical="center" wrapText="1"/>
    </xf>
    <xf numFmtId="0" fontId="11" fillId="0" borderId="105" xfId="17" applyFill="1" applyBorder="1" applyAlignment="1" applyProtection="1">
      <alignment horizontal="left" vertical="center"/>
    </xf>
    <xf numFmtId="0" fontId="11" fillId="0" borderId="105" xfId="17" applyBorder="1" applyAlignment="1" applyProtection="1"/>
    <xf numFmtId="0" fontId="114" fillId="79" borderId="106" xfId="21412" applyFont="1" applyFill="1" applyBorder="1" applyAlignment="1" applyProtection="1">
      <alignment vertical="center" wrapText="1"/>
      <protection locked="0"/>
    </xf>
    <xf numFmtId="0" fontId="115" fillId="70" borderId="100" xfId="21412" applyFont="1" applyFill="1" applyBorder="1" applyAlignment="1" applyProtection="1">
      <alignment horizontal="center" vertical="center"/>
      <protection locked="0"/>
    </xf>
    <xf numFmtId="0" fontId="114" fillId="80" borderId="105" xfId="21412" applyFont="1" applyFill="1" applyBorder="1" applyAlignment="1" applyProtection="1">
      <alignment horizontal="center" vertical="center"/>
      <protection locked="0"/>
    </xf>
    <xf numFmtId="0" fontId="114" fillId="79" borderId="106" xfId="21412" applyFont="1" applyFill="1" applyBorder="1" applyProtection="1">
      <alignment vertical="center"/>
      <protection locked="0"/>
    </xf>
    <xf numFmtId="0" fontId="116" fillId="70" borderId="100" xfId="21412" applyFont="1" applyFill="1" applyBorder="1" applyAlignment="1" applyProtection="1">
      <alignment horizontal="center" vertical="center"/>
      <protection locked="0"/>
    </xf>
    <xf numFmtId="0" fontId="116" fillId="3" borderId="100" xfId="21412" applyFont="1" applyFill="1" applyBorder="1" applyAlignment="1" applyProtection="1">
      <alignment horizontal="center" vertical="center"/>
      <protection locked="0"/>
    </xf>
    <xf numFmtId="0" fontId="116" fillId="0" borderId="100" xfId="21412" applyFont="1" applyBorder="1" applyAlignment="1" applyProtection="1">
      <alignment horizontal="center" vertical="center"/>
      <protection locked="0"/>
    </xf>
    <xf numFmtId="0" fontId="117" fillId="80" borderId="105" xfId="21412" applyFont="1" applyFill="1" applyBorder="1" applyAlignment="1" applyProtection="1">
      <alignment horizontal="center" vertical="center"/>
      <protection locked="0"/>
    </xf>
    <xf numFmtId="0" fontId="114" fillId="79" borderId="106" xfId="21412" applyFont="1" applyFill="1" applyBorder="1" applyAlignment="1" applyProtection="1">
      <alignment horizontal="center" vertical="center"/>
      <protection locked="0"/>
    </xf>
    <xf numFmtId="0" fontId="64" fillId="79" borderId="106" xfId="21412" applyFont="1" applyFill="1" applyBorder="1" applyProtection="1">
      <alignment vertical="center"/>
      <protection locked="0"/>
    </xf>
    <xf numFmtId="0" fontId="116" fillId="70" borderId="105" xfId="21412" applyFont="1" applyFill="1" applyBorder="1" applyAlignment="1" applyProtection="1">
      <alignment horizontal="center" vertical="center"/>
      <protection locked="0"/>
    </xf>
    <xf numFmtId="0" fontId="38" fillId="70" borderId="105" xfId="21412" applyFont="1" applyFill="1" applyBorder="1" applyAlignment="1" applyProtection="1">
      <alignment horizontal="center" vertical="center"/>
      <protection locked="0"/>
    </xf>
    <xf numFmtId="0" fontId="64" fillId="79" borderId="104" xfId="21412" applyFont="1" applyFill="1" applyBorder="1" applyProtection="1">
      <alignment vertical="center"/>
      <protection locked="0"/>
    </xf>
    <xf numFmtId="0" fontId="115" fillId="0" borderId="104" xfId="21412" applyFont="1" applyBorder="1" applyAlignment="1" applyProtection="1">
      <alignment horizontal="left" vertical="center" wrapText="1"/>
      <protection locked="0"/>
    </xf>
    <xf numFmtId="164" fontId="115" fillId="0" borderId="105" xfId="948" applyNumberFormat="1" applyFont="1" applyFill="1" applyBorder="1" applyAlignment="1" applyProtection="1">
      <alignment horizontal="right" vertical="center"/>
      <protection locked="0"/>
    </xf>
    <xf numFmtId="0" fontId="114" fillId="80" borderId="104" xfId="21412" applyFont="1" applyFill="1" applyBorder="1" applyAlignment="1" applyProtection="1">
      <alignment vertical="top" wrapText="1"/>
      <protection locked="0"/>
    </xf>
    <xf numFmtId="164" fontId="115" fillId="80" borderId="105" xfId="948" applyNumberFormat="1" applyFont="1" applyFill="1" applyBorder="1" applyAlignment="1" applyProtection="1">
      <alignment horizontal="right" vertical="center"/>
    </xf>
    <xf numFmtId="164" fontId="64" fillId="79" borderId="104" xfId="948" applyNumberFormat="1" applyFont="1" applyFill="1" applyBorder="1" applyAlignment="1" applyProtection="1">
      <alignment horizontal="right" vertical="center"/>
      <protection locked="0"/>
    </xf>
    <xf numFmtId="0" fontId="115" fillId="70" borderId="104" xfId="21412" applyFont="1" applyFill="1" applyBorder="1" applyAlignment="1" applyProtection="1">
      <alignment vertical="center" wrapText="1"/>
      <protection locked="0"/>
    </xf>
    <xf numFmtId="0" fontId="115" fillId="70" borderId="104" xfId="21412" applyFont="1" applyFill="1" applyBorder="1" applyAlignment="1" applyProtection="1">
      <alignment horizontal="left" vertical="center" wrapText="1"/>
      <protection locked="0"/>
    </xf>
    <xf numFmtId="0" fontId="115" fillId="0" borderId="104" xfId="21412" applyFont="1" applyBorder="1" applyAlignment="1" applyProtection="1">
      <alignment vertical="center" wrapText="1"/>
      <protection locked="0"/>
    </xf>
    <xf numFmtId="0" fontId="115" fillId="3" borderId="104" xfId="21412" applyFont="1" applyFill="1" applyBorder="1" applyAlignment="1" applyProtection="1">
      <alignment horizontal="left" vertical="center" wrapText="1"/>
      <protection locked="0"/>
    </xf>
    <xf numFmtId="0" fontId="114" fillId="80" borderId="104" xfId="21412" applyFont="1" applyFill="1" applyBorder="1" applyAlignment="1" applyProtection="1">
      <alignment vertical="center" wrapText="1"/>
      <protection locked="0"/>
    </xf>
    <xf numFmtId="164" fontId="114" fillId="79" borderId="104" xfId="948" applyNumberFormat="1" applyFont="1" applyFill="1" applyBorder="1" applyAlignment="1" applyProtection="1">
      <alignment horizontal="right" vertical="center"/>
      <protection locked="0"/>
    </xf>
    <xf numFmtId="164" fontId="115" fillId="3" borderId="105" xfId="948" applyNumberFormat="1" applyFont="1" applyFill="1" applyBorder="1" applyAlignment="1" applyProtection="1">
      <alignment horizontal="right" vertical="center"/>
      <protection locked="0"/>
    </xf>
    <xf numFmtId="10" fontId="6" fillId="36" borderId="105" xfId="0" applyNumberFormat="1" applyFont="1" applyFill="1" applyBorder="1" applyAlignment="1">
      <alignment horizontal="center" vertical="center" wrapText="1"/>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1" xfId="0" applyFont="1" applyBorder="1" applyAlignment="1">
      <alignment horizontal="right" vertical="center" wrapText="1"/>
    </xf>
    <xf numFmtId="0" fontId="7" fillId="0" borderId="105" xfId="0" applyFont="1" applyBorder="1" applyAlignment="1">
      <alignment vertical="center" wrapText="1"/>
    </xf>
    <xf numFmtId="0" fontId="4" fillId="0" borderId="105" xfId="0" applyFont="1" applyBorder="1" applyAlignment="1">
      <alignment vertical="center" wrapText="1"/>
    </xf>
    <xf numFmtId="0" fontId="4" fillId="0" borderId="105" xfId="0" applyFont="1" applyBorder="1" applyAlignment="1">
      <alignment horizontal="left" vertical="center" wrapText="1" indent="2"/>
    </xf>
    <xf numFmtId="3" fontId="23" fillId="36" borderId="106"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6"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1" xfId="0" applyNumberFormat="1" applyFont="1" applyFill="1" applyBorder="1" applyAlignment="1">
      <alignment vertical="center" wrapText="1"/>
    </xf>
    <xf numFmtId="0" fontId="6" fillId="0" borderId="26" xfId="0" applyFont="1" applyBorder="1" applyAlignment="1">
      <alignment vertical="center" wrapText="1"/>
    </xf>
    <xf numFmtId="0" fontId="4" fillId="0" borderId="119" xfId="0" applyFont="1" applyBorder="1"/>
    <xf numFmtId="0" fontId="4" fillId="0" borderId="27" xfId="0" applyFont="1" applyBorder="1"/>
    <xf numFmtId="0" fontId="9" fillId="0" borderId="119" xfId="0" applyFont="1" applyBorder="1"/>
    <xf numFmtId="0" fontId="9" fillId="0" borderId="119" xfId="0" applyFont="1" applyBorder="1" applyAlignment="1">
      <alignment wrapText="1"/>
    </xf>
    <xf numFmtId="0" fontId="10" fillId="0" borderId="21" xfId="0" applyFont="1" applyBorder="1" applyAlignment="1">
      <alignment horizontal="center"/>
    </xf>
    <xf numFmtId="0" fontId="10" fillId="0" borderId="119"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9" fillId="0" borderId="121" xfId="0" applyFont="1" applyBorder="1" applyAlignment="1">
      <alignment horizontal="center" vertical="center" wrapText="1"/>
    </xf>
    <xf numFmtId="0" fontId="15" fillId="0" borderId="105" xfId="0" applyFont="1" applyBorder="1" applyAlignment="1">
      <alignment horizontal="center" vertical="center" wrapText="1"/>
    </xf>
    <xf numFmtId="0" fontId="16" fillId="0" borderId="105" xfId="0" applyFont="1" applyBorder="1" applyAlignment="1">
      <alignment horizontal="left" vertical="center" wrapText="1"/>
    </xf>
    <xf numFmtId="0" fontId="9" fillId="2" borderId="121" xfId="0" applyFont="1" applyFill="1" applyBorder="1" applyAlignment="1">
      <alignment horizontal="right" vertical="center"/>
    </xf>
    <xf numFmtId="0" fontId="9" fillId="2" borderId="105" xfId="0" applyFont="1" applyFill="1" applyBorder="1" applyAlignment="1">
      <alignment vertical="center"/>
    </xf>
    <xf numFmtId="193" fontId="9" fillId="2" borderId="105" xfId="0" applyNumberFormat="1" applyFont="1" applyFill="1" applyBorder="1" applyAlignment="1" applyProtection="1">
      <alignment vertical="center"/>
      <protection locked="0"/>
    </xf>
    <xf numFmtId="193" fontId="17" fillId="2" borderId="105" xfId="0" applyNumberFormat="1" applyFont="1" applyFill="1" applyBorder="1" applyAlignment="1" applyProtection="1">
      <alignment vertical="center"/>
      <protection locked="0"/>
    </xf>
    <xf numFmtId="193" fontId="17" fillId="2" borderId="119" xfId="0" applyNumberFormat="1" applyFont="1" applyFill="1" applyBorder="1" applyAlignment="1" applyProtection="1">
      <alignment vertical="center"/>
      <protection locked="0"/>
    </xf>
    <xf numFmtId="193" fontId="9" fillId="2" borderId="119" xfId="0" applyNumberFormat="1" applyFont="1" applyFill="1" applyBorder="1" applyAlignment="1" applyProtection="1">
      <alignment vertical="center"/>
      <protection locked="0"/>
    </xf>
    <xf numFmtId="0" fontId="15" fillId="0" borderId="121" xfId="0" applyFont="1" applyBorder="1" applyAlignment="1">
      <alignment horizontal="center" vertical="center" wrapText="1"/>
    </xf>
    <xf numFmtId="14" fontId="4" fillId="0" borderId="0" xfId="0" applyNumberFormat="1" applyFont="1"/>
    <xf numFmtId="10" fontId="4" fillId="0" borderId="105" xfId="20961" applyNumberFormat="1" applyFont="1" applyBorder="1" applyAlignment="1" applyProtection="1">
      <alignment vertical="center" wrapText="1"/>
      <protection locked="0"/>
    </xf>
    <xf numFmtId="10" fontId="4" fillId="0" borderId="119" xfId="20961" applyNumberFormat="1" applyFont="1" applyBorder="1" applyAlignment="1" applyProtection="1">
      <alignment vertical="center" wrapText="1"/>
      <protection locked="0"/>
    </xf>
    <xf numFmtId="0" fontId="4" fillId="3" borderId="58"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5" xfId="0" applyFont="1" applyBorder="1" applyAlignment="1">
      <alignment horizontal="center"/>
    </xf>
    <xf numFmtId="0" fontId="4" fillId="3" borderId="69"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8" xfId="0" applyFont="1" applyFill="1" applyBorder="1" applyAlignment="1">
      <alignment horizontal="center" vertical="center" wrapText="1"/>
    </xf>
    <xf numFmtId="0" fontId="4" fillId="0" borderId="121" xfId="0" applyFont="1" applyBorder="1"/>
    <xf numFmtId="0" fontId="4" fillId="0" borderId="105" xfId="0" applyFont="1" applyBorder="1" applyAlignment="1">
      <alignment wrapText="1"/>
    </xf>
    <xf numFmtId="164" fontId="4" fillId="0" borderId="105" xfId="7" applyNumberFormat="1" applyFont="1" applyBorder="1"/>
    <xf numFmtId="164" fontId="4" fillId="0" borderId="119" xfId="7" applyNumberFormat="1" applyFont="1" applyBorder="1"/>
    <xf numFmtId="0" fontId="14" fillId="0" borderId="105" xfId="0" applyFont="1" applyBorder="1" applyAlignment="1">
      <alignment horizontal="left" wrapText="1" indent="2"/>
    </xf>
    <xf numFmtId="169" fontId="28" fillId="37" borderId="105" xfId="20" applyBorder="1"/>
    <xf numFmtId="164" fontId="4" fillId="0" borderId="105" xfId="7" applyNumberFormat="1" applyFont="1" applyBorder="1" applyAlignment="1">
      <alignment vertical="center"/>
    </xf>
    <xf numFmtId="0" fontId="6" fillId="0" borderId="121" xfId="0" applyFont="1" applyBorder="1"/>
    <xf numFmtId="0" fontId="6" fillId="0" borderId="105" xfId="0" applyFont="1" applyBorder="1" applyAlignment="1">
      <alignment wrapText="1"/>
    </xf>
    <xf numFmtId="164" fontId="6" fillId="0" borderId="119" xfId="7" applyNumberFormat="1" applyFont="1" applyBorder="1"/>
    <xf numFmtId="0" fontId="3" fillId="3" borderId="69"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8" xfId="7" applyNumberFormat="1" applyFont="1" applyFill="1" applyBorder="1"/>
    <xf numFmtId="164" fontId="4" fillId="0" borderId="105" xfId="7" applyNumberFormat="1" applyFont="1" applyFill="1" applyBorder="1"/>
    <xf numFmtId="164" fontId="4" fillId="0" borderId="105" xfId="7" applyNumberFormat="1" applyFont="1" applyFill="1" applyBorder="1" applyAlignment="1">
      <alignment vertical="center"/>
    </xf>
    <xf numFmtId="0" fontId="14" fillId="0" borderId="105" xfId="0" applyFont="1" applyBorder="1" applyAlignment="1">
      <alignment horizontal="left" wrapText="1" indent="4"/>
    </xf>
    <xf numFmtId="0" fontId="4" fillId="3" borderId="0" xfId="0" applyFont="1" applyFill="1" applyAlignment="1">
      <alignment wrapText="1"/>
    </xf>
    <xf numFmtId="0" fontId="4" fillId="3" borderId="98" xfId="0" applyFont="1" applyFill="1" applyBorder="1"/>
    <xf numFmtId="0" fontId="6" fillId="0" borderId="25" xfId="0" applyFont="1" applyBorder="1"/>
    <xf numFmtId="0" fontId="6" fillId="0" borderId="26" xfId="0" applyFont="1" applyBorder="1" applyAlignment="1">
      <alignment wrapText="1"/>
    </xf>
    <xf numFmtId="169" fontId="28" fillId="37" borderId="122" xfId="20" applyBorder="1"/>
    <xf numFmtId="10" fontId="6" fillId="0" borderId="27" xfId="20961" applyNumberFormat="1" applyFont="1" applyBorder="1"/>
    <xf numFmtId="0" fontId="9" fillId="2" borderId="112" xfId="0" applyFont="1" applyFill="1" applyBorder="1" applyAlignment="1">
      <alignment horizontal="right" vertical="center"/>
    </xf>
    <xf numFmtId="0" fontId="9" fillId="2" borderId="100" xfId="0" applyFont="1" applyFill="1" applyBorder="1" applyAlignment="1">
      <alignment vertical="center"/>
    </xf>
    <xf numFmtId="0" fontId="9" fillId="0" borderId="105" xfId="0" applyFont="1" applyBorder="1" applyAlignment="1">
      <alignment horizontal="left" vertical="center" wrapText="1"/>
    </xf>
    <xf numFmtId="0" fontId="6" fillId="3" borderId="0" xfId="0" applyFont="1" applyFill="1" applyAlignment="1">
      <alignment horizontal="center"/>
    </xf>
    <xf numFmtId="0" fontId="118" fillId="0" borderId="0" xfId="11" applyFont="1"/>
    <xf numFmtId="0" fontId="119" fillId="0" borderId="0" xfId="0" applyFont="1"/>
    <xf numFmtId="0" fontId="120" fillId="0" borderId="0" xfId="11" applyFont="1"/>
    <xf numFmtId="14" fontId="119" fillId="0" borderId="0" xfId="0" applyNumberFormat="1" applyFont="1"/>
    <xf numFmtId="0" fontId="122" fillId="0" borderId="105" xfId="0" applyFont="1" applyBorder="1" applyAlignment="1">
      <alignment horizontal="center" vertical="center" wrapText="1"/>
    </xf>
    <xf numFmtId="49" fontId="123" fillId="3" borderId="105" xfId="5" applyNumberFormat="1" applyFont="1" applyFill="1" applyBorder="1" applyAlignment="1" applyProtection="1">
      <alignment horizontal="right" vertical="center"/>
      <protection locked="0"/>
    </xf>
    <xf numFmtId="0" fontId="123" fillId="3" borderId="105" xfId="13" applyFont="1" applyFill="1" applyBorder="1" applyAlignment="1" applyProtection="1">
      <alignment horizontal="left" vertical="center" wrapText="1"/>
      <protection locked="0"/>
    </xf>
    <xf numFmtId="0" fontId="122" fillId="0" borderId="105" xfId="0" applyFont="1" applyBorder="1"/>
    <xf numFmtId="0" fontId="123" fillId="0" borderId="105" xfId="13" applyFont="1" applyBorder="1" applyAlignment="1" applyProtection="1">
      <alignment horizontal="left" vertical="center" wrapText="1"/>
      <protection locked="0"/>
    </xf>
    <xf numFmtId="49" fontId="123" fillId="0" borderId="105" xfId="5" applyNumberFormat="1" applyFont="1" applyBorder="1" applyAlignment="1" applyProtection="1">
      <alignment horizontal="right" vertical="center"/>
      <protection locked="0"/>
    </xf>
    <xf numFmtId="49" fontId="124" fillId="0" borderId="105" xfId="5" applyNumberFormat="1" applyFont="1" applyBorder="1" applyAlignment="1" applyProtection="1">
      <alignment horizontal="right" vertical="center"/>
      <protection locked="0"/>
    </xf>
    <xf numFmtId="0" fontId="119" fillId="0" borderId="0" xfId="0" applyFont="1" applyAlignment="1">
      <alignment wrapText="1"/>
    </xf>
    <xf numFmtId="0" fontId="119" fillId="0" borderId="105" xfId="0" applyFont="1" applyBorder="1" applyAlignment="1">
      <alignment horizontal="center" vertical="center"/>
    </xf>
    <xf numFmtId="0" fontId="119" fillId="0" borderId="105" xfId="0" applyFont="1" applyBorder="1" applyAlignment="1">
      <alignment horizontal="center" vertical="center" wrapText="1"/>
    </xf>
    <xf numFmtId="49" fontId="123" fillId="3" borderId="105" xfId="5" applyNumberFormat="1" applyFont="1" applyFill="1" applyBorder="1" applyAlignment="1" applyProtection="1">
      <alignment horizontal="right" vertical="center" wrapText="1"/>
      <protection locked="0"/>
    </xf>
    <xf numFmtId="0" fontId="119" fillId="0" borderId="105" xfId="0" applyFont="1" applyBorder="1"/>
    <xf numFmtId="49" fontId="123" fillId="0" borderId="105" xfId="5" applyNumberFormat="1" applyFont="1" applyBorder="1" applyAlignment="1" applyProtection="1">
      <alignment horizontal="right" vertical="center" wrapText="1"/>
      <protection locked="0"/>
    </xf>
    <xf numFmtId="49" fontId="124" fillId="0" borderId="105" xfId="5" applyNumberFormat="1" applyFont="1" applyBorder="1" applyAlignment="1" applyProtection="1">
      <alignment horizontal="right" vertical="center" wrapText="1"/>
      <protection locked="0"/>
    </xf>
    <xf numFmtId="0" fontId="122" fillId="0" borderId="0" xfId="0" applyFont="1"/>
    <xf numFmtId="0" fontId="119" fillId="0" borderId="105" xfId="0" applyFont="1" applyBorder="1" applyAlignment="1">
      <alignment wrapText="1"/>
    </xf>
    <xf numFmtId="0" fontId="119" fillId="0" borderId="105" xfId="0" applyFont="1" applyBorder="1" applyAlignment="1">
      <alignment horizontal="left" indent="8"/>
    </xf>
    <xf numFmtId="0" fontId="118" fillId="0" borderId="105" xfId="0" applyFont="1" applyBorder="1" applyAlignment="1">
      <alignment horizontal="left" vertical="center" wrapText="1"/>
    </xf>
    <xf numFmtId="0" fontId="119" fillId="0" borderId="0" xfId="0" applyFont="1" applyAlignment="1">
      <alignment horizontal="left"/>
    </xf>
    <xf numFmtId="0" fontId="121" fillId="0" borderId="105" xfId="0" applyFont="1" applyBorder="1" applyAlignment="1">
      <alignment horizontal="left" indent="1"/>
    </xf>
    <xf numFmtId="0" fontId="121" fillId="0" borderId="105" xfId="0" applyFont="1" applyBorder="1" applyAlignment="1">
      <alignment horizontal="left" wrapText="1" indent="1"/>
    </xf>
    <xf numFmtId="0" fontId="118" fillId="0" borderId="105" xfId="0" applyFont="1" applyBorder="1" applyAlignment="1">
      <alignment horizontal="left" indent="1"/>
    </xf>
    <xf numFmtId="0" fontId="118" fillId="0" borderId="105" xfId="0" applyFont="1" applyBorder="1" applyAlignment="1">
      <alignment horizontal="left" wrapText="1" indent="2"/>
    </xf>
    <xf numFmtId="0" fontId="121" fillId="0" borderId="105" xfId="0" applyFont="1" applyBorder="1" applyAlignment="1">
      <alignment horizontal="left" vertical="center" indent="1"/>
    </xf>
    <xf numFmtId="0" fontId="119" fillId="0" borderId="105" xfId="0" applyFont="1" applyBorder="1" applyAlignment="1">
      <alignment horizontal="left" wrapText="1"/>
    </xf>
    <xf numFmtId="0" fontId="119" fillId="0" borderId="105" xfId="0" applyFont="1" applyBorder="1" applyAlignment="1">
      <alignment horizontal="left" wrapText="1" indent="2"/>
    </xf>
    <xf numFmtId="0" fontId="122" fillId="0" borderId="7" xfId="0" applyFont="1" applyBorder="1"/>
    <xf numFmtId="0" fontId="119" fillId="0" borderId="0" xfId="0" applyFont="1" applyAlignment="1">
      <alignment horizontal="center" vertical="center"/>
    </xf>
    <xf numFmtId="0" fontId="119" fillId="0" borderId="0" xfId="0" applyFont="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5" xfId="0" applyNumberFormat="1" applyFont="1" applyBorder="1" applyAlignment="1">
      <alignment horizontal="center" vertical="center" wrapText="1"/>
    </xf>
    <xf numFmtId="0" fontId="119" fillId="0" borderId="105" xfId="0" applyFont="1" applyBorder="1" applyAlignment="1">
      <alignment horizontal="center"/>
    </xf>
    <xf numFmtId="0" fontId="119" fillId="0" borderId="105" xfId="0" applyFont="1" applyBorder="1" applyAlignment="1">
      <alignment horizontal="left" indent="1"/>
    </xf>
    <xf numFmtId="0" fontId="119" fillId="0" borderId="7" xfId="0" applyFont="1" applyBorder="1"/>
    <xf numFmtId="0" fontId="119" fillId="0" borderId="105" xfId="0" applyFont="1" applyBorder="1" applyAlignment="1">
      <alignment horizontal="left" indent="2"/>
    </xf>
    <xf numFmtId="49" fontId="119" fillId="0" borderId="105" xfId="0" applyNumberFormat="1" applyFont="1" applyBorder="1" applyAlignment="1">
      <alignment horizontal="left" indent="3"/>
    </xf>
    <xf numFmtId="49" fontId="119" fillId="0" borderId="105" xfId="0" applyNumberFormat="1" applyFont="1" applyBorder="1" applyAlignment="1">
      <alignment horizontal="left" indent="1"/>
    </xf>
    <xf numFmtId="49" fontId="119" fillId="0" borderId="105" xfId="0" applyNumberFormat="1" applyFont="1" applyBorder="1" applyAlignment="1">
      <alignment horizontal="left" wrapText="1" indent="2"/>
    </xf>
    <xf numFmtId="49" fontId="119" fillId="0" borderId="105" xfId="0" applyNumberFormat="1" applyFont="1" applyBorder="1" applyAlignment="1">
      <alignment horizontal="left" vertical="top" wrapText="1" indent="2"/>
    </xf>
    <xf numFmtId="49" fontId="119" fillId="0" borderId="105" xfId="0" applyNumberFormat="1" applyFont="1" applyBorder="1" applyAlignment="1">
      <alignment horizontal="left" wrapText="1" indent="3"/>
    </xf>
    <xf numFmtId="0" fontId="119" fillId="0" borderId="105" xfId="0" applyFont="1" applyBorder="1" applyAlignment="1">
      <alignment horizontal="left" wrapText="1" indent="1"/>
    </xf>
    <xf numFmtId="0" fontId="121" fillId="0" borderId="135" xfId="0" applyFont="1" applyBorder="1" applyAlignment="1">
      <alignment horizontal="left" vertical="center" wrapText="1"/>
    </xf>
    <xf numFmtId="0" fontId="119" fillId="0" borderId="100" xfId="0" applyFont="1" applyBorder="1" applyAlignment="1">
      <alignment horizontal="center" vertical="center" wrapText="1"/>
    </xf>
    <xf numFmtId="0" fontId="121" fillId="0" borderId="105" xfId="0" applyFont="1" applyBorder="1" applyAlignment="1">
      <alignment horizontal="left" vertical="center" wrapText="1"/>
    </xf>
    <xf numFmtId="0" fontId="127" fillId="0" borderId="0" xfId="0" applyFont="1"/>
    <xf numFmtId="0" fontId="127" fillId="0" borderId="0" xfId="0" applyFont="1" applyAlignment="1">
      <alignment horizontal="center" vertical="center"/>
    </xf>
    <xf numFmtId="2" fontId="108" fillId="3" borderId="105" xfId="5" applyNumberFormat="1" applyFont="1" applyFill="1" applyBorder="1" applyAlignment="1" applyProtection="1">
      <alignment horizontal="right" vertical="center"/>
      <protection locked="0"/>
    </xf>
    <xf numFmtId="0" fontId="130" fillId="0" borderId="105" xfId="0" applyFont="1" applyBorder="1"/>
    <xf numFmtId="0" fontId="128" fillId="0" borderId="105" xfId="0" applyFont="1" applyBorder="1" applyAlignment="1">
      <alignment horizontal="left" vertical="top" wrapText="1"/>
    </xf>
    <xf numFmtId="0" fontId="128" fillId="0" borderId="105" xfId="0" applyFont="1" applyBorder="1"/>
    <xf numFmtId="0" fontId="128" fillId="0" borderId="105" xfId="0" applyFont="1" applyBorder="1" applyAlignment="1">
      <alignment horizontal="left" wrapText="1" indent="2"/>
    </xf>
    <xf numFmtId="0" fontId="128" fillId="0" borderId="105" xfId="0" applyFont="1" applyBorder="1" applyAlignment="1">
      <alignment horizontal="left" vertical="top" wrapText="1" indent="2"/>
    </xf>
    <xf numFmtId="0" fontId="130" fillId="0" borderId="7" xfId="0" applyFont="1" applyBorder="1"/>
    <xf numFmtId="0" fontId="128" fillId="0" borderId="105" xfId="0" applyFont="1" applyBorder="1" applyAlignment="1">
      <alignment horizontal="left" indent="1"/>
    </xf>
    <xf numFmtId="0" fontId="128" fillId="0" borderId="105" xfId="0" applyFont="1" applyBorder="1" applyAlignment="1">
      <alignment horizontal="left" indent="2"/>
    </xf>
    <xf numFmtId="0" fontId="11" fillId="0" borderId="105" xfId="17" applyFill="1" applyBorder="1" applyAlignment="1" applyProtection="1">
      <alignment wrapText="1"/>
    </xf>
    <xf numFmtId="49" fontId="119" fillId="0" borderId="105" xfId="0" applyNumberFormat="1" applyFont="1" applyBorder="1" applyAlignment="1">
      <alignment horizontal="left" wrapText="1" indent="1"/>
    </xf>
    <xf numFmtId="0" fontId="128" fillId="0" borderId="105" xfId="0" applyFont="1" applyBorder="1" applyAlignment="1">
      <alignment horizontal="left" vertical="center" wrapText="1" indent="2"/>
    </xf>
    <xf numFmtId="0" fontId="119" fillId="0" borderId="0" xfId="0" applyFont="1" applyAlignment="1">
      <alignment horizontal="left" vertical="top" wrapText="1"/>
    </xf>
    <xf numFmtId="0" fontId="125" fillId="0" borderId="105" xfId="13" applyFont="1" applyBorder="1" applyAlignment="1" applyProtection="1">
      <alignment horizontal="left" vertical="center" wrapText="1"/>
      <protection locked="0"/>
    </xf>
    <xf numFmtId="0" fontId="2" fillId="0" borderId="21" xfId="0" applyFont="1" applyBorder="1" applyAlignment="1">
      <alignment horizontal="left" vertical="center" wrapText="1" indent="1"/>
    </xf>
    <xf numFmtId="169" fontId="28" fillId="37" borderId="0" xfId="20"/>
    <xf numFmtId="193" fontId="4" fillId="0" borderId="105" xfId="0" applyNumberFormat="1" applyFont="1" applyBorder="1" applyAlignment="1" applyProtection="1">
      <alignment vertical="center" wrapText="1"/>
      <protection locked="0"/>
    </xf>
    <xf numFmtId="193" fontId="4" fillId="0" borderId="119" xfId="0" applyNumberFormat="1" applyFont="1" applyBorder="1" applyAlignment="1" applyProtection="1">
      <alignment vertical="center" wrapText="1"/>
      <protection locked="0"/>
    </xf>
    <xf numFmtId="10" fontId="4" fillId="0" borderId="105" xfId="20961" applyNumberFormat="1" applyFont="1" applyFill="1" applyBorder="1" applyAlignment="1" applyProtection="1">
      <alignment vertical="center" wrapText="1"/>
      <protection locked="0"/>
    </xf>
    <xf numFmtId="10" fontId="4" fillId="0" borderId="119" xfId="20961" applyNumberFormat="1" applyFont="1" applyFill="1" applyBorder="1" applyAlignment="1" applyProtection="1">
      <alignment vertical="center" wrapText="1"/>
      <protection locked="0"/>
    </xf>
    <xf numFmtId="10" fontId="17" fillId="2" borderId="119" xfId="20961" applyNumberFormat="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93" fontId="9" fillId="0" borderId="105" xfId="0" applyNumberFormat="1" applyFont="1" applyBorder="1" applyAlignment="1" applyProtection="1">
      <alignment vertical="center"/>
      <protection locked="0"/>
    </xf>
    <xf numFmtId="193" fontId="9" fillId="0" borderId="119" xfId="0" applyNumberFormat="1" applyFont="1" applyBorder="1" applyAlignment="1" applyProtection="1">
      <alignment vertical="center"/>
      <protection locked="0"/>
    </xf>
    <xf numFmtId="193" fontId="17" fillId="0" borderId="105" xfId="0" applyNumberFormat="1" applyFont="1" applyBorder="1" applyAlignment="1" applyProtection="1">
      <alignment vertical="center"/>
      <protection locked="0"/>
    </xf>
    <xf numFmtId="193" fontId="17" fillId="0" borderId="119" xfId="0" applyNumberFormat="1" applyFont="1" applyBorder="1" applyAlignment="1" applyProtection="1">
      <alignment vertical="center"/>
      <protection locked="0"/>
    </xf>
    <xf numFmtId="9" fontId="17" fillId="0" borderId="26" xfId="20961" applyFont="1" applyFill="1" applyBorder="1" applyAlignment="1" applyProtection="1">
      <alignment vertical="center"/>
      <protection locked="0"/>
    </xf>
    <xf numFmtId="9" fontId="17" fillId="0" borderId="27" xfId="20961" applyFont="1" applyFill="1" applyBorder="1" applyAlignment="1" applyProtection="1">
      <alignment vertical="center"/>
      <protection locked="0"/>
    </xf>
    <xf numFmtId="193" fontId="9" fillId="0" borderId="105" xfId="7" applyNumberFormat="1" applyFont="1" applyFill="1" applyBorder="1" applyAlignment="1" applyProtection="1">
      <alignment horizontal="right"/>
    </xf>
    <xf numFmtId="193" fontId="9" fillId="36" borderId="105" xfId="7" applyNumberFormat="1" applyFont="1" applyFill="1" applyBorder="1" applyAlignment="1" applyProtection="1">
      <alignment horizontal="right"/>
    </xf>
    <xf numFmtId="193" fontId="9" fillId="0" borderId="104" xfId="0" applyNumberFormat="1" applyFont="1" applyBorder="1" applyAlignment="1">
      <alignment horizontal="right"/>
    </xf>
    <xf numFmtId="193" fontId="9" fillId="0" borderId="105" xfId="0" applyNumberFormat="1" applyFont="1" applyBorder="1" applyAlignment="1">
      <alignment horizontal="right"/>
    </xf>
    <xf numFmtId="193" fontId="9" fillId="36" borderId="119" xfId="0" applyNumberFormat="1" applyFont="1" applyFill="1" applyBorder="1" applyAlignment="1">
      <alignment horizontal="right"/>
    </xf>
    <xf numFmtId="193" fontId="9" fillId="0" borderId="105" xfId="7" applyNumberFormat="1" applyFont="1" applyFill="1" applyBorder="1" applyAlignment="1" applyProtection="1">
      <alignment horizontal="right"/>
      <protection locked="0"/>
    </xf>
    <xf numFmtId="193" fontId="9" fillId="0" borderId="104" xfId="0" applyNumberFormat="1" applyFont="1" applyBorder="1" applyAlignment="1" applyProtection="1">
      <alignment horizontal="right"/>
      <protection locked="0"/>
    </xf>
    <xf numFmtId="193" fontId="9" fillId="0" borderId="105" xfId="0" applyNumberFormat="1" applyFont="1" applyBorder="1" applyAlignment="1" applyProtection="1">
      <alignment horizontal="right"/>
      <protection locked="0"/>
    </xf>
    <xf numFmtId="193" fontId="9" fillId="0" borderId="119" xfId="0" applyNumberFormat="1" applyFont="1" applyBorder="1" applyAlignment="1">
      <alignment horizontal="right"/>
    </xf>
    <xf numFmtId="0" fontId="104" fillId="0" borderId="105" xfId="0" applyFont="1" applyBorder="1"/>
    <xf numFmtId="0" fontId="132" fillId="70" borderId="105" xfId="17" applyFont="1" applyFill="1" applyBorder="1" applyAlignment="1" applyProtection="1">
      <alignment horizontal="left" vertical="center"/>
      <protection locked="0"/>
    </xf>
    <xf numFmtId="193" fontId="20" fillId="0" borderId="105" xfId="0" applyNumberFormat="1" applyFont="1" applyBorder="1" applyAlignment="1" applyProtection="1">
      <alignment horizontal="right"/>
      <protection locked="0"/>
    </xf>
    <xf numFmtId="193" fontId="9" fillId="36" borderId="119" xfId="7" applyNumberFormat="1" applyFont="1" applyFill="1" applyBorder="1" applyAlignment="1" applyProtection="1">
      <alignment horizontal="right"/>
    </xf>
    <xf numFmtId="193" fontId="20" fillId="36" borderId="105" xfId="0" applyNumberFormat="1" applyFont="1" applyFill="1" applyBorder="1" applyAlignment="1">
      <alignment horizontal="right"/>
    </xf>
    <xf numFmtId="193" fontId="9" fillId="0" borderId="119" xfId="7" applyNumberFormat="1" applyFont="1" applyFill="1" applyBorder="1" applyAlignment="1" applyProtection="1">
      <alignment horizontal="right"/>
    </xf>
    <xf numFmtId="193" fontId="21" fillId="0" borderId="105" xfId="0" applyNumberFormat="1" applyFont="1" applyBorder="1" applyAlignment="1">
      <alignment horizontal="center"/>
    </xf>
    <xf numFmtId="193" fontId="21" fillId="0" borderId="119" xfId="0" applyNumberFormat="1" applyFont="1" applyBorder="1" applyAlignment="1">
      <alignment horizontal="center"/>
    </xf>
    <xf numFmtId="193" fontId="20" fillId="0" borderId="119" xfId="0" applyNumberFormat="1" applyFont="1" applyBorder="1" applyAlignment="1" applyProtection="1">
      <alignment horizontal="right"/>
      <protection locked="0"/>
    </xf>
    <xf numFmtId="193" fontId="20" fillId="0" borderId="105" xfId="0" applyNumberFormat="1" applyFont="1" applyBorder="1" applyAlignment="1" applyProtection="1">
      <alignment horizontal="left" indent="1"/>
      <protection locked="0"/>
    </xf>
    <xf numFmtId="193" fontId="9" fillId="36" borderId="105" xfId="7" applyNumberFormat="1" applyFont="1" applyFill="1" applyBorder="1" applyAlignment="1" applyProtection="1"/>
    <xf numFmtId="193" fontId="20" fillId="0" borderId="105" xfId="0" applyNumberFormat="1" applyFont="1" applyBorder="1" applyProtection="1">
      <protection locked="0"/>
    </xf>
    <xf numFmtId="193" fontId="9" fillId="36" borderId="119" xfId="7" applyNumberFormat="1" applyFont="1" applyFill="1" applyBorder="1" applyAlignment="1" applyProtection="1"/>
    <xf numFmtId="193" fontId="20" fillId="0" borderId="105" xfId="0" applyNumberFormat="1" applyFont="1" applyBorder="1" applyAlignment="1" applyProtection="1">
      <alignment horizontal="right" vertical="center"/>
      <protection locked="0"/>
    </xf>
    <xf numFmtId="193" fontId="9" fillId="36" borderId="105" xfId="0" applyNumberFormat="1" applyFont="1" applyFill="1" applyBorder="1" applyAlignment="1">
      <alignment horizontal="right"/>
    </xf>
    <xf numFmtId="0" fontId="13" fillId="0" borderId="106" xfId="0" applyFont="1" applyBorder="1" applyAlignment="1">
      <alignment wrapText="1"/>
    </xf>
    <xf numFmtId="0" fontId="9" fillId="0" borderId="106" xfId="0" applyFont="1" applyBorder="1" applyAlignment="1">
      <alignment wrapText="1"/>
    </xf>
    <xf numFmtId="0" fontId="13" fillId="0" borderId="105" xfId="0" applyFont="1" applyBorder="1" applyAlignment="1">
      <alignment wrapText="1"/>
    </xf>
    <xf numFmtId="9" fontId="4" fillId="0" borderId="24" xfId="20961" applyFont="1" applyBorder="1" applyAlignment="1"/>
    <xf numFmtId="9" fontId="4" fillId="0" borderId="119" xfId="0" applyNumberFormat="1" applyFont="1" applyBorder="1"/>
    <xf numFmtId="167" fontId="133" fillId="0" borderId="105" xfId="0" applyNumberFormat="1" applyFont="1" applyBorder="1" applyAlignment="1">
      <alignment horizontal="center" vertical="center"/>
    </xf>
    <xf numFmtId="167" fontId="26" fillId="0" borderId="105" xfId="0" applyNumberFormat="1" applyFont="1" applyBorder="1" applyAlignment="1">
      <alignment horizontal="center" vertical="center"/>
    </xf>
    <xf numFmtId="167" fontId="26" fillId="0" borderId="119" xfId="0" applyNumberFormat="1" applyFont="1" applyBorder="1" applyAlignment="1">
      <alignment horizontal="center" vertical="center"/>
    </xf>
    <xf numFmtId="193" fontId="0" fillId="0" borderId="119" xfId="0" applyNumberFormat="1" applyBorder="1"/>
    <xf numFmtId="193" fontId="0" fillId="0" borderId="119" xfId="0" applyNumberFormat="1" applyBorder="1" applyAlignment="1">
      <alignment wrapText="1"/>
    </xf>
    <xf numFmtId="193" fontId="7" fillId="36" borderId="119" xfId="2" applyNumberFormat="1" applyFont="1" applyFill="1" applyBorder="1" applyAlignment="1" applyProtection="1">
      <alignment vertical="top"/>
    </xf>
    <xf numFmtId="193" fontId="7" fillId="3" borderId="119" xfId="2" applyNumberFormat="1" applyFont="1" applyFill="1" applyBorder="1" applyAlignment="1" applyProtection="1">
      <alignment vertical="top"/>
      <protection locked="0"/>
    </xf>
    <xf numFmtId="193" fontId="7" fillId="36" borderId="119" xfId="2" applyNumberFormat="1" applyFont="1" applyFill="1" applyBorder="1" applyAlignment="1" applyProtection="1">
      <alignment vertical="top" wrapText="1"/>
    </xf>
    <xf numFmtId="193" fontId="7" fillId="3" borderId="119" xfId="2" applyNumberFormat="1" applyFont="1" applyFill="1" applyBorder="1" applyAlignment="1" applyProtection="1">
      <alignment vertical="top" wrapText="1"/>
      <protection locked="0"/>
    </xf>
    <xf numFmtId="193" fontId="7" fillId="36" borderId="119" xfId="2" applyNumberFormat="1" applyFont="1" applyFill="1" applyBorder="1" applyAlignment="1" applyProtection="1">
      <alignment vertical="top" wrapText="1"/>
      <protection locked="0"/>
    </xf>
    <xf numFmtId="10" fontId="7" fillId="0" borderId="105" xfId="20961" applyNumberFormat="1" applyFont="1" applyFill="1" applyBorder="1" applyAlignment="1">
      <alignment horizontal="center" vertical="center" wrapText="1"/>
    </xf>
    <xf numFmtId="164" fontId="4" fillId="0" borderId="119" xfId="7" applyNumberFormat="1" applyFont="1" applyFill="1" applyBorder="1" applyAlignment="1">
      <alignment horizontal="right" vertical="center" wrapText="1"/>
    </xf>
    <xf numFmtId="10" fontId="4" fillId="0" borderId="105" xfId="20961" applyNumberFormat="1" applyFont="1" applyFill="1" applyBorder="1" applyAlignment="1">
      <alignment horizontal="center" vertical="center" wrapText="1"/>
    </xf>
    <xf numFmtId="164" fontId="6" fillId="36" borderId="119" xfId="7" applyNumberFormat="1" applyFont="1" applyFill="1" applyBorder="1" applyAlignment="1">
      <alignment horizontal="right" vertical="center" wrapText="1"/>
    </xf>
    <xf numFmtId="10" fontId="111" fillId="0" borderId="105" xfId="20961" applyNumberFormat="1" applyFont="1" applyFill="1" applyBorder="1" applyAlignment="1">
      <alignment horizontal="center" vertical="center" wrapText="1"/>
    </xf>
    <xf numFmtId="164" fontId="111" fillId="0" borderId="119" xfId="7" applyNumberFormat="1" applyFont="1" applyFill="1" applyBorder="1" applyAlignment="1">
      <alignment horizontal="right" vertical="center" wrapText="1"/>
    </xf>
    <xf numFmtId="10" fontId="6" fillId="36" borderId="105" xfId="20961" applyNumberFormat="1" applyFont="1" applyFill="1" applyBorder="1" applyAlignment="1">
      <alignment horizontal="center" vertical="center" wrapText="1"/>
    </xf>
    <xf numFmtId="164" fontId="6" fillId="36" borderId="119" xfId="7"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center" vertical="center"/>
    </xf>
    <xf numFmtId="164" fontId="7" fillId="0" borderId="27" xfId="7" applyNumberFormat="1" applyFont="1" applyFill="1" applyBorder="1" applyAlignment="1" applyProtection="1">
      <alignment horizontal="right" vertical="center"/>
    </xf>
    <xf numFmtId="0" fontId="25" fillId="0" borderId="121" xfId="0" applyFont="1" applyBorder="1" applyAlignment="1">
      <alignment horizontal="center"/>
    </xf>
    <xf numFmtId="0" fontId="25" fillId="0" borderId="139" xfId="0" applyFont="1" applyBorder="1" applyAlignment="1">
      <alignment wrapText="1"/>
    </xf>
    <xf numFmtId="193" fontId="25" fillId="0" borderId="140" xfId="0" applyNumberFormat="1" applyFont="1" applyBorder="1" applyAlignment="1">
      <alignment vertical="center"/>
    </xf>
    <xf numFmtId="167" fontId="25" fillId="0" borderId="141" xfId="0" applyNumberFormat="1" applyFont="1" applyBorder="1" applyAlignment="1">
      <alignment horizontal="center"/>
    </xf>
    <xf numFmtId="0" fontId="19" fillId="0" borderId="12" xfId="0" applyFont="1" applyBorder="1" applyAlignment="1">
      <alignment horizontal="left" wrapText="1" indent="6"/>
    </xf>
    <xf numFmtId="193" fontId="9" fillId="0" borderId="140" xfId="0" applyNumberFormat="1" applyFont="1" applyBorder="1" applyAlignment="1">
      <alignment vertical="center"/>
    </xf>
    <xf numFmtId="0" fontId="19" fillId="0" borderId="12" xfId="0" applyFont="1" applyBorder="1" applyAlignment="1">
      <alignment horizontal="left" wrapText="1"/>
    </xf>
    <xf numFmtId="193" fontId="9" fillId="0" borderId="14" xfId="0" applyNumberFormat="1" applyFont="1" applyBorder="1" applyAlignment="1">
      <alignment vertical="center"/>
    </xf>
    <xf numFmtId="0" fontId="19" fillId="0" borderId="13" xfId="0" applyFont="1" applyBorder="1" applyAlignment="1">
      <alignment horizontal="left" wrapText="1" indent="3"/>
    </xf>
    <xf numFmtId="193" fontId="9" fillId="0" borderId="15" xfId="0" applyNumberFormat="1" applyFont="1" applyBorder="1" applyAlignment="1">
      <alignment vertical="center"/>
    </xf>
    <xf numFmtId="193" fontId="9" fillId="0" borderId="142" xfId="0" applyNumberFormat="1" applyFont="1" applyBorder="1" applyAlignment="1">
      <alignment vertical="center"/>
    </xf>
    <xf numFmtId="193" fontId="4" fillId="0" borderId="105" xfId="0" applyNumberFormat="1" applyFont="1" applyBorder="1"/>
    <xf numFmtId="193" fontId="4" fillId="0" borderId="106" xfId="0" applyNumberFormat="1" applyFont="1" applyBorder="1"/>
    <xf numFmtId="167" fontId="4" fillId="0" borderId="119" xfId="0" applyNumberFormat="1" applyFont="1" applyBorder="1"/>
    <xf numFmtId="164" fontId="4" fillId="36" borderId="27" xfId="7" applyNumberFormat="1" applyFont="1" applyFill="1" applyBorder="1"/>
    <xf numFmtId="193" fontId="4" fillId="0" borderId="121" xfId="0" applyNumberFormat="1" applyFont="1" applyBorder="1"/>
    <xf numFmtId="193" fontId="4" fillId="0" borderId="119" xfId="0" applyNumberFormat="1" applyFont="1" applyBorder="1"/>
    <xf numFmtId="193" fontId="4" fillId="0" borderId="24" xfId="0" applyNumberFormat="1" applyFont="1" applyBorder="1"/>
    <xf numFmtId="193" fontId="4" fillId="36" borderId="143" xfId="0" applyNumberFormat="1" applyFont="1" applyFill="1" applyBorder="1"/>
    <xf numFmtId="9" fontId="4" fillId="0" borderId="119" xfId="20961" applyFont="1" applyBorder="1"/>
    <xf numFmtId="164" fontId="4" fillId="0" borderId="106" xfId="7" applyNumberFormat="1" applyFont="1" applyFill="1" applyBorder="1" applyAlignment="1">
      <alignment vertical="center"/>
    </xf>
    <xf numFmtId="164" fontId="4" fillId="0" borderId="119" xfId="7" applyNumberFormat="1" applyFont="1" applyFill="1" applyBorder="1" applyAlignment="1">
      <alignment vertical="center"/>
    </xf>
    <xf numFmtId="164" fontId="6" fillId="0" borderId="105" xfId="7" applyNumberFormat="1" applyFont="1" applyFill="1" applyBorder="1" applyAlignment="1">
      <alignment vertical="center"/>
    </xf>
    <xf numFmtId="164" fontId="6" fillId="0" borderId="119" xfId="7" applyNumberFormat="1" applyFont="1" applyFill="1" applyBorder="1" applyAlignment="1">
      <alignment vertical="center"/>
    </xf>
    <xf numFmtId="164" fontId="6" fillId="0" borderId="26" xfId="7" applyNumberFormat="1" applyFont="1" applyFill="1" applyBorder="1" applyAlignment="1">
      <alignment vertical="center"/>
    </xf>
    <xf numFmtId="164" fontId="6"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1" xfId="7" applyNumberFormat="1" applyFont="1" applyFill="1" applyBorder="1" applyAlignment="1">
      <alignment vertical="center"/>
    </xf>
    <xf numFmtId="164" fontId="4" fillId="0" borderId="113" xfId="7" applyNumberFormat="1" applyFont="1" applyFill="1" applyBorder="1" applyAlignment="1">
      <alignment vertical="center"/>
    </xf>
    <xf numFmtId="10" fontId="4" fillId="0" borderId="99" xfId="20961" applyNumberFormat="1" applyFont="1" applyFill="1" applyBorder="1" applyAlignment="1">
      <alignment vertical="center"/>
    </xf>
    <xf numFmtId="10" fontId="4" fillId="0" borderId="115" xfId="20961" applyNumberFormat="1" applyFont="1" applyFill="1" applyBorder="1" applyAlignment="1">
      <alignment vertical="center"/>
    </xf>
    <xf numFmtId="193" fontId="9" fillId="3" borderId="105" xfId="5" applyNumberFormat="1" applyFont="1" applyFill="1" applyBorder="1" applyProtection="1">
      <protection locked="0"/>
    </xf>
    <xf numFmtId="10" fontId="115" fillId="80" borderId="105" xfId="20961" applyNumberFormat="1" applyFont="1" applyFill="1" applyBorder="1" applyAlignment="1" applyProtection="1">
      <alignment horizontal="right" vertical="center"/>
    </xf>
    <xf numFmtId="0" fontId="4" fillId="3" borderId="0" xfId="0" applyFont="1" applyFill="1"/>
    <xf numFmtId="164" fontId="119" fillId="0" borderId="105" xfId="7" applyNumberFormat="1" applyFont="1" applyBorder="1"/>
    <xf numFmtId="164" fontId="122" fillId="0" borderId="105" xfId="7" applyNumberFormat="1" applyFont="1" applyBorder="1"/>
    <xf numFmtId="14" fontId="119" fillId="0" borderId="0" xfId="0" applyNumberFormat="1" applyFont="1" applyAlignment="1">
      <alignment wrapText="1"/>
    </xf>
    <xf numFmtId="43" fontId="119" fillId="0" borderId="0" xfId="0" applyNumberFormat="1" applyFont="1"/>
    <xf numFmtId="164" fontId="118" fillId="36" borderId="105" xfId="7" applyNumberFormat="1" applyFont="1" applyFill="1" applyBorder="1"/>
    <xf numFmtId="164" fontId="119" fillId="81" borderId="105" xfId="7" applyNumberFormat="1" applyFont="1" applyFill="1" applyBorder="1"/>
    <xf numFmtId="164" fontId="122" fillId="81" borderId="105" xfId="7" applyNumberFormat="1" applyFont="1" applyFill="1" applyBorder="1"/>
    <xf numFmtId="164" fontId="119" fillId="0" borderId="105" xfId="7" applyNumberFormat="1" applyFont="1" applyBorder="1" applyAlignment="1">
      <alignment horizontal="left" indent="1"/>
    </xf>
    <xf numFmtId="164" fontId="119" fillId="82" borderId="105" xfId="7" applyNumberFormat="1" applyFont="1" applyFill="1" applyBorder="1"/>
    <xf numFmtId="164" fontId="122" fillId="0" borderId="7" xfId="7" applyNumberFormat="1" applyFont="1" applyBorder="1"/>
    <xf numFmtId="164" fontId="119" fillId="0" borderId="105" xfId="7" applyNumberFormat="1" applyFont="1" applyBorder="1" applyAlignment="1">
      <alignment horizontal="left" indent="2"/>
    </xf>
    <xf numFmtId="164" fontId="119" fillId="0" borderId="105" xfId="7" applyNumberFormat="1" applyFont="1" applyBorder="1" applyAlignment="1">
      <alignment horizontal="left" indent="3"/>
    </xf>
    <xf numFmtId="164" fontId="119" fillId="83" borderId="105" xfId="7" applyNumberFormat="1" applyFont="1" applyFill="1" applyBorder="1"/>
    <xf numFmtId="164" fontId="119" fillId="0" borderId="105" xfId="7" applyNumberFormat="1" applyFont="1" applyBorder="1" applyAlignment="1">
      <alignment horizontal="left" vertical="top" wrapText="1" indent="2"/>
    </xf>
    <xf numFmtId="164" fontId="119" fillId="0" borderId="105" xfId="7" applyNumberFormat="1" applyFont="1" applyBorder="1" applyAlignment="1">
      <alignment horizontal="left" wrapText="1" indent="3"/>
    </xf>
    <xf numFmtId="164" fontId="119" fillId="0" borderId="105" xfId="7" applyNumberFormat="1" applyFont="1" applyBorder="1" applyAlignment="1">
      <alignment horizontal="left" wrapText="1" indent="2"/>
    </xf>
    <xf numFmtId="164" fontId="119" fillId="0" borderId="105" xfId="7" applyNumberFormat="1" applyFont="1" applyBorder="1" applyAlignment="1">
      <alignment horizontal="left" wrapText="1" indent="1"/>
    </xf>
    <xf numFmtId="164" fontId="118" fillId="0" borderId="105" xfId="7" applyNumberFormat="1" applyFont="1" applyBorder="1" applyAlignment="1">
      <alignment horizontal="left" vertical="center" wrapText="1"/>
    </xf>
    <xf numFmtId="164" fontId="119" fillId="0" borderId="105" xfId="7" applyNumberFormat="1" applyFont="1" applyBorder="1" applyAlignment="1">
      <alignment horizontal="center" vertical="center" wrapText="1"/>
    </xf>
    <xf numFmtId="164" fontId="119" fillId="0" borderId="105" xfId="7" applyNumberFormat="1" applyFont="1" applyBorder="1" applyAlignment="1">
      <alignment horizontal="center" vertical="center"/>
    </xf>
    <xf numFmtId="164" fontId="121" fillId="0" borderId="105" xfId="7" applyNumberFormat="1" applyFont="1" applyBorder="1" applyAlignment="1">
      <alignment horizontal="left" vertical="center" wrapText="1"/>
    </xf>
    <xf numFmtId="0" fontId="0" fillId="0" borderId="7" xfId="0" applyBorder="1"/>
    <xf numFmtId="0" fontId="127" fillId="0" borderId="105" xfId="0" applyFont="1" applyBorder="1" applyAlignment="1">
      <alignment horizontal="left" indent="2"/>
    </xf>
    <xf numFmtId="0" fontId="135" fillId="0" borderId="144" xfId="0" applyFont="1" applyBorder="1" applyAlignment="1">
      <alignment vertical="center" wrapText="1" readingOrder="1"/>
    </xf>
    <xf numFmtId="0" fontId="127" fillId="0" borderId="105" xfId="0" applyFont="1" applyBorder="1"/>
    <xf numFmtId="0" fontId="135" fillId="0" borderId="145" xfId="0" applyFont="1" applyBorder="1" applyAlignment="1">
      <alignment vertical="center" wrapText="1" readingOrder="1"/>
    </xf>
    <xf numFmtId="0" fontId="127" fillId="0" borderId="105" xfId="0" applyFont="1" applyBorder="1" applyAlignment="1">
      <alignment horizontal="left" indent="3"/>
    </xf>
    <xf numFmtId="0" fontId="135" fillId="0" borderId="145" xfId="0" applyFont="1" applyBorder="1" applyAlignment="1">
      <alignment horizontal="left" vertical="center" wrapText="1" indent="1" readingOrder="1"/>
    </xf>
    <xf numFmtId="0" fontId="127" fillId="0" borderId="100" xfId="0" applyFont="1" applyBorder="1" applyAlignment="1">
      <alignment horizontal="left" indent="2"/>
    </xf>
    <xf numFmtId="0" fontId="135" fillId="0" borderId="146" xfId="0" applyFont="1" applyBorder="1" applyAlignment="1">
      <alignment vertical="center" wrapText="1" readingOrder="1"/>
    </xf>
    <xf numFmtId="0" fontId="136" fillId="0" borderId="105" xfId="0" applyFont="1" applyBorder="1" applyAlignment="1">
      <alignment vertical="center" wrapText="1" readingOrder="1"/>
    </xf>
    <xf numFmtId="0" fontId="108" fillId="0" borderId="0" xfId="0" applyFont="1"/>
    <xf numFmtId="49" fontId="108" fillId="0" borderId="105" xfId="0" applyNumberFormat="1" applyFont="1" applyBorder="1" applyAlignment="1">
      <alignment horizontal="right" vertical="center"/>
    </xf>
    <xf numFmtId="49" fontId="108" fillId="0" borderId="90" xfId="0" applyNumberFormat="1" applyFont="1" applyBorder="1" applyAlignment="1">
      <alignment horizontal="right" vertical="center"/>
    </xf>
    <xf numFmtId="0" fontId="108" fillId="0" borderId="0" xfId="0" applyFont="1" applyAlignment="1">
      <alignment horizontal="left"/>
    </xf>
    <xf numFmtId="49" fontId="108" fillId="0" borderId="7" xfId="0" applyNumberFormat="1" applyFont="1" applyBorder="1" applyAlignment="1">
      <alignment horizontal="right" vertical="center"/>
    </xf>
    <xf numFmtId="49" fontId="108" fillId="0" borderId="82" xfId="0" applyNumberFormat="1" applyFont="1" applyBorder="1" applyAlignment="1">
      <alignment horizontal="right" vertical="center"/>
    </xf>
    <xf numFmtId="49" fontId="108" fillId="0" borderId="85" xfId="0" applyNumberFormat="1" applyFont="1" applyBorder="1" applyAlignment="1">
      <alignment horizontal="right" vertical="center"/>
    </xf>
    <xf numFmtId="0" fontId="108" fillId="0" borderId="92" xfId="0" applyFont="1" applyBorder="1" applyAlignment="1">
      <alignment horizontal="right" vertical="center"/>
    </xf>
    <xf numFmtId="0" fontId="108" fillId="0" borderId="92" xfId="0" applyFont="1" applyBorder="1" applyAlignment="1">
      <alignment horizontal="left" vertical="center"/>
    </xf>
    <xf numFmtId="0" fontId="108" fillId="0" borderId="90" xfId="0" applyFont="1" applyBorder="1" applyAlignment="1">
      <alignment horizontal="right" vertical="center"/>
    </xf>
    <xf numFmtId="0" fontId="108" fillId="0" borderId="90" xfId="0" applyFont="1" applyBorder="1" applyAlignment="1">
      <alignment vertical="center" wrapText="1"/>
    </xf>
    <xf numFmtId="0" fontId="108" fillId="0" borderId="90" xfId="0" applyFont="1" applyBorder="1" applyAlignment="1">
      <alignment horizontal="left" vertical="center" wrapText="1"/>
    </xf>
    <xf numFmtId="0" fontId="108" fillId="3" borderId="105" xfId="5" applyFont="1" applyFill="1" applyBorder="1" applyAlignment="1" applyProtection="1">
      <alignment horizontal="right" vertical="center"/>
      <protection locked="0"/>
    </xf>
    <xf numFmtId="0" fontId="108" fillId="0" borderId="105" xfId="0" applyFont="1" applyBorder="1" applyAlignment="1">
      <alignment vertical="center" wrapText="1"/>
    </xf>
    <xf numFmtId="0" fontId="108" fillId="0" borderId="105" xfId="0" applyFont="1" applyBorder="1" applyAlignment="1">
      <alignment horizontal="left" vertical="center" wrapText="1"/>
    </xf>
    <xf numFmtId="0" fontId="128" fillId="0" borderId="105" xfId="0" applyFont="1" applyBorder="1" applyAlignment="1">
      <alignment horizontal="left" vertical="center" wrapText="1"/>
    </xf>
    <xf numFmtId="0" fontId="108" fillId="0" borderId="105" xfId="0" applyFont="1" applyBorder="1" applyAlignment="1">
      <alignment vertical="center"/>
    </xf>
    <xf numFmtId="0" fontId="128" fillId="0" borderId="105" xfId="0" applyFont="1" applyBorder="1" applyAlignment="1">
      <alignment vertical="center" wrapText="1"/>
    </xf>
    <xf numFmtId="0" fontId="108" fillId="0" borderId="104" xfId="0" applyFont="1" applyBorder="1" applyAlignment="1">
      <alignment horizontal="left" vertical="center" wrapText="1"/>
    </xf>
    <xf numFmtId="0" fontId="108" fillId="0" borderId="105" xfId="0" applyFont="1" applyBorder="1" applyAlignment="1">
      <alignment horizontal="right" vertical="center"/>
    </xf>
    <xf numFmtId="0" fontId="129" fillId="0" borderId="0" xfId="0" applyFont="1"/>
    <xf numFmtId="0" fontId="108" fillId="0" borderId="105" xfId="12672" applyFont="1" applyBorder="1" applyAlignment="1">
      <alignment horizontal="left" vertical="center" wrapText="1"/>
    </xf>
    <xf numFmtId="0" fontId="108" fillId="0" borderId="100" xfId="0" applyFont="1" applyBorder="1" applyAlignment="1">
      <alignment horizontal="left" vertical="top" wrapText="1"/>
    </xf>
    <xf numFmtId="0" fontId="108" fillId="0" borderId="105" xfId="12672" applyFont="1" applyBorder="1" applyAlignment="1">
      <alignment horizontal="left" vertical="center" wrapText="1" indent="2"/>
    </xf>
    <xf numFmtId="49" fontId="107" fillId="0" borderId="105" xfId="0" applyNumberFormat="1" applyFont="1" applyBorder="1" applyAlignment="1">
      <alignment horizontal="right" vertical="center"/>
    </xf>
    <xf numFmtId="0" fontId="119" fillId="0" borderId="0" xfId="0" applyFont="1" applyAlignment="1">
      <alignment horizontal="left" indent="1"/>
    </xf>
    <xf numFmtId="0" fontId="119" fillId="0" borderId="0" xfId="0" applyFont="1" applyAlignment="1">
      <alignment horizontal="left" indent="2"/>
    </xf>
    <xf numFmtId="49" fontId="128" fillId="0" borderId="105" xfId="0" applyNumberFormat="1" applyFont="1" applyBorder="1" applyAlignment="1">
      <alignment horizontal="left" indent="3"/>
    </xf>
    <xf numFmtId="49" fontId="119" fillId="0" borderId="0" xfId="0" applyNumberFormat="1" applyFont="1" applyAlignment="1">
      <alignment horizontal="left" indent="3"/>
    </xf>
    <xf numFmtId="49" fontId="128" fillId="0" borderId="105" xfId="0" applyNumberFormat="1" applyFont="1" applyBorder="1" applyAlignment="1">
      <alignment horizontal="left" vertical="center" indent="1"/>
    </xf>
    <xf numFmtId="49" fontId="119" fillId="0" borderId="0" xfId="0" applyNumberFormat="1" applyFont="1" applyAlignment="1">
      <alignment horizontal="left" indent="1"/>
    </xf>
    <xf numFmtId="49" fontId="128" fillId="0" borderId="105" xfId="0" applyNumberFormat="1" applyFont="1" applyBorder="1" applyAlignment="1">
      <alignment horizontal="left" vertical="top" wrapText="1" indent="2"/>
    </xf>
    <xf numFmtId="49" fontId="128" fillId="0" borderId="105" xfId="0" applyNumberFormat="1" applyFont="1" applyBorder="1" applyAlignment="1">
      <alignment horizontal="left" vertical="top" wrapText="1"/>
    </xf>
    <xf numFmtId="49" fontId="119" fillId="0" borderId="0" xfId="0" applyNumberFormat="1" applyFont="1" applyAlignment="1">
      <alignment horizontal="left" wrapText="1" indent="2"/>
    </xf>
    <xf numFmtId="49" fontId="128" fillId="0" borderId="105" xfId="0" applyNumberFormat="1" applyFont="1" applyBorder="1" applyAlignment="1">
      <alignment horizontal="left" wrapText="1" indent="3"/>
    </xf>
    <xf numFmtId="49" fontId="119" fillId="0" borderId="0" xfId="0" applyNumberFormat="1" applyFont="1" applyAlignment="1">
      <alignment horizontal="left" wrapText="1" indent="3"/>
    </xf>
    <xf numFmtId="49" fontId="128" fillId="0" borderId="105" xfId="0" applyNumberFormat="1" applyFont="1" applyBorder="1" applyAlignment="1">
      <alignment horizontal="left" wrapText="1" indent="2"/>
    </xf>
    <xf numFmtId="49" fontId="128" fillId="0" borderId="105" xfId="0" applyNumberFormat="1" applyFont="1" applyBorder="1" applyAlignment="1">
      <alignment horizontal="left" vertical="center" wrapText="1" indent="3"/>
    </xf>
    <xf numFmtId="49" fontId="128" fillId="0" borderId="105" xfId="0" applyNumberFormat="1" applyFont="1" applyBorder="1" applyAlignment="1">
      <alignment vertical="top" wrapText="1"/>
    </xf>
    <xf numFmtId="0" fontId="119" fillId="0" borderId="0" xfId="0" applyFont="1" applyAlignment="1">
      <alignment horizontal="left" wrapText="1" indent="1"/>
    </xf>
    <xf numFmtId="49" fontId="108" fillId="0" borderId="0" xfId="0" applyNumberFormat="1" applyFont="1" applyAlignment="1">
      <alignment horizontal="right" vertical="center"/>
    </xf>
    <xf numFmtId="0" fontId="118" fillId="0" borderId="105" xfId="0" applyFont="1" applyBorder="1" applyAlignment="1">
      <alignment vertical="center" wrapText="1"/>
    </xf>
    <xf numFmtId="0" fontId="118" fillId="0" borderId="105" xfId="0" applyFont="1" applyBorder="1" applyAlignment="1">
      <alignment horizontal="left" vertical="center" wrapText="1" indent="1"/>
    </xf>
    <xf numFmtId="0" fontId="118" fillId="0" borderId="105" xfId="0" applyFont="1" applyBorder="1" applyAlignment="1">
      <alignment horizontal="left" vertical="center" indent="1"/>
    </xf>
    <xf numFmtId="0" fontId="135" fillId="0" borderId="145" xfId="0" applyFont="1" applyBorder="1" applyAlignment="1">
      <alignment horizontal="left" vertical="center" wrapText="1" readingOrder="1"/>
    </xf>
    <xf numFmtId="0" fontId="127" fillId="0" borderId="105" xfId="0" applyFont="1" applyBorder="1" applyAlignment="1">
      <alignment horizontal="left" vertical="center" wrapText="1"/>
    </xf>
    <xf numFmtId="0" fontId="108" fillId="0" borderId="0" xfId="0" applyFont="1" applyAlignment="1">
      <alignment vertical="center" wrapText="1"/>
    </xf>
    <xf numFmtId="0" fontId="108" fillId="0" borderId="0" xfId="0" applyFont="1" applyAlignment="1">
      <alignment horizontal="left" vertical="center" wrapText="1"/>
    </xf>
    <xf numFmtId="43" fontId="127" fillId="0" borderId="105" xfId="7" applyFont="1" applyBorder="1"/>
    <xf numFmtId="43" fontId="127" fillId="0" borderId="100" xfId="7" applyFont="1" applyBorder="1"/>
    <xf numFmtId="164" fontId="127" fillId="0" borderId="105" xfId="7" applyNumberFormat="1" applyFont="1" applyBorder="1"/>
    <xf numFmtId="164" fontId="127" fillId="0" borderId="100" xfId="7" applyNumberFormat="1" applyFont="1" applyBorder="1"/>
    <xf numFmtId="9" fontId="127" fillId="0" borderId="105" xfId="20961" applyFont="1" applyBorder="1"/>
    <xf numFmtId="9" fontId="127" fillId="0" borderId="100" xfId="20961" applyFont="1" applyBorder="1"/>
    <xf numFmtId="164" fontId="137" fillId="0" borderId="105" xfId="7" applyNumberFormat="1" applyFont="1" applyBorder="1"/>
    <xf numFmtId="0" fontId="137" fillId="0" borderId="105" xfId="0" applyFont="1" applyBorder="1"/>
    <xf numFmtId="9" fontId="137" fillId="0" borderId="105" xfId="20961" applyFont="1" applyBorder="1"/>
    <xf numFmtId="43" fontId="137" fillId="0" borderId="105" xfId="7" applyFont="1" applyBorder="1"/>
    <xf numFmtId="0" fontId="106" fillId="0" borderId="72" xfId="0" applyFont="1" applyBorder="1" applyAlignment="1">
      <alignment horizontal="left" vertical="center" wrapText="1"/>
    </xf>
    <xf numFmtId="0" fontId="106" fillId="0" borderId="71"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xf>
    <xf numFmtId="0" fontId="4" fillId="0" borderId="24" xfId="0" applyFont="1" applyBorder="1" applyAlignment="1">
      <alignment horizontal="center"/>
    </xf>
    <xf numFmtId="0" fontId="6" fillId="36" borderId="12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103" fillId="3" borderId="73" xfId="13" applyFont="1" applyFill="1" applyBorder="1" applyAlignment="1" applyProtection="1">
      <alignment horizontal="center" vertical="center" wrapText="1"/>
      <protection locked="0"/>
    </xf>
    <xf numFmtId="0" fontId="103"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6" xfId="1" applyNumberFormat="1" applyFont="1" applyFill="1" applyBorder="1" applyAlignment="1" applyProtection="1">
      <alignment horizontal="center" vertical="center" wrapText="1"/>
      <protection locked="0"/>
    </xf>
    <xf numFmtId="164" fontId="15" fillId="0" borderId="97" xfId="1" applyNumberFormat="1" applyFont="1" applyFill="1" applyBorder="1" applyAlignment="1" applyProtection="1">
      <alignment horizontal="center" vertical="center" wrapText="1"/>
      <protection locked="0"/>
    </xf>
    <xf numFmtId="0" fontId="4" fillId="0" borderId="73"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11" xfId="0" applyFont="1" applyBorder="1" applyAlignment="1">
      <alignment horizontal="center" vertical="center" wrapText="1"/>
    </xf>
    <xf numFmtId="0" fontId="14" fillId="0" borderId="58" xfId="0" applyFont="1" applyBorder="1" applyAlignment="1">
      <alignment horizontal="left" vertical="center"/>
    </xf>
    <xf numFmtId="0" fontId="14" fillId="0" borderId="59"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9" xfId="0" applyFont="1" applyBorder="1" applyAlignment="1">
      <alignment horizontal="center" vertical="center" wrapText="1"/>
    </xf>
    <xf numFmtId="0" fontId="121" fillId="0" borderId="126" xfId="0" applyFont="1" applyBorder="1" applyAlignment="1">
      <alignment horizontal="left" vertical="center" wrapText="1"/>
    </xf>
    <xf numFmtId="0" fontId="121" fillId="0" borderId="127" xfId="0" applyFont="1" applyBorder="1" applyAlignment="1">
      <alignment horizontal="left" vertical="center" wrapText="1"/>
    </xf>
    <xf numFmtId="0" fontId="121" fillId="0" borderId="129" xfId="0" applyFont="1" applyBorder="1" applyAlignment="1">
      <alignment horizontal="left" vertical="center" wrapText="1"/>
    </xf>
    <xf numFmtId="0" fontId="121" fillId="0" borderId="130" xfId="0" applyFont="1" applyBorder="1" applyAlignment="1">
      <alignment horizontal="left" vertical="center" wrapText="1"/>
    </xf>
    <xf numFmtId="0" fontId="121" fillId="0" borderId="132" xfId="0" applyFont="1" applyBorder="1" applyAlignment="1">
      <alignment horizontal="left" vertical="center" wrapText="1"/>
    </xf>
    <xf numFmtId="0" fontId="121" fillId="0" borderId="133" xfId="0" applyFont="1" applyBorder="1" applyAlignment="1">
      <alignment horizontal="left" vertical="center" wrapText="1"/>
    </xf>
    <xf numFmtId="0" fontId="122" fillId="0" borderId="101" xfId="0" applyFont="1" applyBorder="1" applyAlignment="1">
      <alignment horizontal="center" vertical="center" wrapText="1"/>
    </xf>
    <xf numFmtId="0" fontId="122" fillId="0" borderId="118" xfId="0" applyFont="1" applyBorder="1" applyAlignment="1">
      <alignment horizontal="center" vertical="center" wrapText="1"/>
    </xf>
    <xf numFmtId="0" fontId="122" fillId="0" borderId="128" xfId="0" applyFont="1" applyBorder="1" applyAlignment="1">
      <alignment horizontal="center" vertical="center" wrapText="1"/>
    </xf>
    <xf numFmtId="0" fontId="122" fillId="0" borderId="57" xfId="0" applyFont="1" applyBorder="1" applyAlignment="1">
      <alignment horizontal="center" vertical="center" wrapText="1"/>
    </xf>
    <xf numFmtId="0" fontId="122" fillId="0" borderId="131" xfId="0" applyFont="1" applyBorder="1" applyAlignment="1">
      <alignment horizontal="center" vertical="center" wrapText="1"/>
    </xf>
    <xf numFmtId="0" fontId="122" fillId="0" borderId="11" xfId="0" applyFont="1" applyBorder="1" applyAlignment="1">
      <alignment horizontal="center" vertical="center" wrapText="1"/>
    </xf>
    <xf numFmtId="0" fontId="119" fillId="0" borderId="100"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5" xfId="0" applyFont="1" applyBorder="1" applyAlignment="1">
      <alignment horizontal="center" vertical="center" wrapText="1"/>
    </xf>
    <xf numFmtId="0" fontId="126" fillId="0" borderId="105" xfId="0" applyFont="1" applyBorder="1" applyAlignment="1">
      <alignment horizontal="center" vertical="center"/>
    </xf>
    <xf numFmtId="0" fontId="126" fillId="0" borderId="101" xfId="0" applyFont="1" applyBorder="1" applyAlignment="1">
      <alignment horizontal="center" vertical="center"/>
    </xf>
    <xf numFmtId="0" fontId="126" fillId="0" borderId="128" xfId="0" applyFont="1" applyBorder="1" applyAlignment="1">
      <alignment horizontal="center" vertical="center"/>
    </xf>
    <xf numFmtId="0" fontId="126" fillId="0" borderId="57" xfId="0" applyFont="1" applyBorder="1" applyAlignment="1">
      <alignment horizontal="center" vertical="center"/>
    </xf>
    <xf numFmtId="0" fontId="126" fillId="0" borderId="11" xfId="0" applyFont="1" applyBorder="1" applyAlignment="1">
      <alignment horizontal="center" vertical="center"/>
    </xf>
    <xf numFmtId="0" fontId="122" fillId="0" borderId="105" xfId="0" applyFont="1" applyBorder="1" applyAlignment="1">
      <alignment horizontal="center" vertical="center" wrapText="1"/>
    </xf>
    <xf numFmtId="0" fontId="122" fillId="0" borderId="134" xfId="0" applyFont="1" applyBorder="1" applyAlignment="1">
      <alignment horizontal="center" vertical="center" wrapText="1"/>
    </xf>
    <xf numFmtId="0" fontId="122" fillId="0" borderId="135" xfId="0" applyFont="1" applyBorder="1" applyAlignment="1">
      <alignment horizontal="center" vertical="center" wrapText="1"/>
    </xf>
    <xf numFmtId="0" fontId="119" fillId="0" borderId="106" xfId="0" applyFont="1" applyBorder="1" applyAlignment="1">
      <alignment horizontal="center" vertical="center" wrapText="1"/>
    </xf>
    <xf numFmtId="0" fontId="119" fillId="0" borderId="103" xfId="0" applyFont="1" applyBorder="1" applyAlignment="1">
      <alignment horizontal="center" vertical="center" wrapText="1"/>
    </xf>
    <xf numFmtId="0" fontId="119" fillId="0" borderId="104" xfId="0" applyFont="1" applyBorder="1" applyAlignment="1">
      <alignment horizontal="center" vertical="center" wrapText="1"/>
    </xf>
    <xf numFmtId="0" fontId="122" fillId="0" borderId="136" xfId="0" applyFont="1" applyBorder="1" applyAlignment="1">
      <alignment horizontal="center" vertical="center" wrapText="1"/>
    </xf>
    <xf numFmtId="0" fontId="122" fillId="0" borderId="7" xfId="0" applyFont="1" applyBorder="1" applyAlignment="1">
      <alignment horizontal="center" vertical="center" wrapText="1"/>
    </xf>
    <xf numFmtId="0" fontId="119" fillId="0" borderId="136" xfId="0" applyFont="1" applyBorder="1" applyAlignment="1">
      <alignment horizontal="center" vertical="center" wrapText="1"/>
    </xf>
    <xf numFmtId="0" fontId="119" fillId="0" borderId="134" xfId="0" applyFont="1" applyBorder="1" applyAlignment="1">
      <alignment horizontal="center" vertical="center" wrapText="1"/>
    </xf>
    <xf numFmtId="0" fontId="119" fillId="0" borderId="0" xfId="0" applyFont="1" applyAlignment="1">
      <alignment horizontal="center" vertical="center" wrapText="1"/>
    </xf>
    <xf numFmtId="0" fontId="119" fillId="0" borderId="135" xfId="0" applyFont="1" applyBorder="1" applyAlignment="1">
      <alignment horizontal="center" vertical="center" wrapText="1"/>
    </xf>
    <xf numFmtId="0" fontId="119" fillId="0" borderId="11" xfId="0" applyFont="1" applyBorder="1" applyAlignment="1">
      <alignment horizontal="center" vertical="center" wrapText="1"/>
    </xf>
    <xf numFmtId="0" fontId="121" fillId="0" borderId="101" xfId="0" applyFont="1" applyBorder="1" applyAlignment="1">
      <alignment horizontal="left" vertical="top" wrapText="1"/>
    </xf>
    <xf numFmtId="0" fontId="121" fillId="0" borderId="128" xfId="0" applyFont="1" applyBorder="1" applyAlignment="1">
      <alignment horizontal="left" vertical="top" wrapText="1"/>
    </xf>
    <xf numFmtId="0" fontId="121" fillId="0" borderId="134" xfId="0" applyFont="1" applyBorder="1" applyAlignment="1">
      <alignment horizontal="left" vertical="top" wrapText="1"/>
    </xf>
    <xf numFmtId="0" fontId="121" fillId="0" borderId="135" xfId="0" applyFont="1" applyBorder="1" applyAlignment="1">
      <alignment horizontal="left" vertical="top" wrapText="1"/>
    </xf>
    <xf numFmtId="0" fontId="121" fillId="0" borderId="57" xfId="0" applyFont="1" applyBorder="1" applyAlignment="1">
      <alignment horizontal="left" vertical="top" wrapText="1"/>
    </xf>
    <xf numFmtId="0" fontId="121" fillId="0" borderId="11" xfId="0" applyFont="1" applyBorder="1" applyAlignment="1">
      <alignment horizontal="left" vertical="top" wrapText="1"/>
    </xf>
    <xf numFmtId="0" fontId="119" fillId="0" borderId="101" xfId="0" applyFont="1" applyBorder="1" applyAlignment="1">
      <alignment horizontal="center" vertical="center"/>
    </xf>
    <xf numFmtId="0" fontId="119" fillId="0" borderId="118" xfId="0" applyFont="1" applyBorder="1" applyAlignment="1">
      <alignment horizontal="center" vertical="center"/>
    </xf>
    <xf numFmtId="0" fontId="119" fillId="0" borderId="128" xfId="0" applyFont="1" applyBorder="1" applyAlignment="1">
      <alignment horizontal="center" vertical="center"/>
    </xf>
    <xf numFmtId="0" fontId="119" fillId="0" borderId="101" xfId="0" applyFont="1" applyBorder="1" applyAlignment="1">
      <alignment horizontal="center" vertical="center" wrapText="1"/>
    </xf>
    <xf numFmtId="0" fontId="119" fillId="0" borderId="118"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101" xfId="0" applyFont="1" applyBorder="1" applyAlignment="1">
      <alignment horizontal="center" vertical="top" wrapText="1"/>
    </xf>
    <xf numFmtId="0" fontId="119" fillId="0" borderId="118" xfId="0" applyFont="1" applyBorder="1" applyAlignment="1">
      <alignment horizontal="center" vertical="top" wrapText="1"/>
    </xf>
    <xf numFmtId="0" fontId="119" fillId="0" borderId="128" xfId="0" applyFont="1" applyBorder="1" applyAlignment="1">
      <alignment horizontal="center" vertical="top" wrapText="1"/>
    </xf>
    <xf numFmtId="0" fontId="119" fillId="0" borderId="103" xfId="0" applyFont="1" applyBorder="1" applyAlignment="1">
      <alignment horizontal="center" vertical="top" wrapText="1"/>
    </xf>
    <xf numFmtId="0" fontId="119" fillId="0" borderId="104" xfId="0" applyFont="1" applyBorder="1" applyAlignment="1">
      <alignment horizontal="center" vertical="top" wrapText="1"/>
    </xf>
    <xf numFmtId="0" fontId="119" fillId="0" borderId="100" xfId="0" applyFont="1" applyBorder="1" applyAlignment="1">
      <alignment horizontal="center" vertical="top" wrapText="1"/>
    </xf>
    <xf numFmtId="0" fontId="119" fillId="0" borderId="7" xfId="0" applyFont="1" applyBorder="1" applyAlignment="1">
      <alignment horizontal="center" vertical="top" wrapText="1"/>
    </xf>
    <xf numFmtId="0" fontId="121" fillId="0" borderId="137" xfId="0" applyFont="1" applyBorder="1" applyAlignment="1">
      <alignment horizontal="left" vertical="top" wrapText="1"/>
    </xf>
    <xf numFmtId="0" fontId="121" fillId="0" borderId="138" xfId="0" applyFont="1" applyBorder="1" applyAlignment="1">
      <alignment horizontal="left" vertical="top" wrapText="1"/>
    </xf>
    <xf numFmtId="0" fontId="127" fillId="0" borderId="105" xfId="0" applyFont="1" applyBorder="1" applyAlignment="1">
      <alignment horizontal="center" vertical="center" wrapText="1"/>
    </xf>
    <xf numFmtId="0" fontId="134" fillId="0" borderId="105" xfId="0" applyFont="1" applyBorder="1" applyAlignment="1">
      <alignment horizontal="center" vertical="center"/>
    </xf>
    <xf numFmtId="0" fontId="127" fillId="0" borderId="100" xfId="0" applyFont="1" applyBorder="1" applyAlignment="1">
      <alignment horizontal="center" vertical="center" wrapText="1"/>
    </xf>
    <xf numFmtId="0" fontId="107" fillId="76" borderId="105" xfId="0" applyFont="1" applyFill="1" applyBorder="1" applyAlignment="1">
      <alignment horizontal="center" vertical="center" wrapText="1"/>
    </xf>
    <xf numFmtId="49" fontId="108" fillId="0" borderId="100" xfId="0" applyNumberFormat="1" applyFont="1" applyBorder="1" applyAlignment="1">
      <alignment horizontal="center" vertical="center"/>
    </xf>
    <xf numFmtId="49" fontId="108" fillId="0" borderId="136" xfId="0" applyNumberFormat="1" applyFont="1" applyBorder="1" applyAlignment="1">
      <alignment horizontal="center" vertical="center"/>
    </xf>
    <xf numFmtId="49" fontId="108" fillId="0" borderId="7" xfId="0" applyNumberFormat="1" applyFont="1" applyBorder="1" applyAlignment="1">
      <alignment horizontal="center" vertical="center"/>
    </xf>
    <xf numFmtId="0" fontId="108" fillId="0" borderId="105" xfId="0" applyFont="1" applyBorder="1" applyAlignment="1">
      <alignment horizontal="left" vertical="center" wrapText="1"/>
    </xf>
    <xf numFmtId="0" fontId="108" fillId="0" borderId="105" xfId="0" applyFont="1" applyBorder="1" applyAlignment="1">
      <alignment horizontal="left" vertical="top" wrapText="1"/>
    </xf>
    <xf numFmtId="0" fontId="107" fillId="76" borderId="106" xfId="0" applyFont="1" applyFill="1" applyBorder="1" applyAlignment="1">
      <alignment horizontal="center" vertical="center" wrapText="1"/>
    </xf>
    <xf numFmtId="0" fontId="107" fillId="76" borderId="104" xfId="0" applyFont="1" applyFill="1" applyBorder="1" applyAlignment="1">
      <alignment horizontal="center" vertical="center" wrapText="1"/>
    </xf>
    <xf numFmtId="0" fontId="108" fillId="0" borderId="106" xfId="0" applyFont="1" applyBorder="1" applyAlignment="1">
      <alignment horizontal="left" vertical="center" wrapText="1"/>
    </xf>
    <xf numFmtId="0" fontId="108" fillId="0" borderId="104" xfId="0" applyFont="1" applyBorder="1" applyAlignment="1">
      <alignment horizontal="left" vertical="center" wrapText="1"/>
    </xf>
    <xf numFmtId="0" fontId="108" fillId="0" borderId="106" xfId="0" applyFont="1" applyBorder="1" applyAlignment="1">
      <alignment horizontal="left" vertical="top" wrapText="1"/>
    </xf>
    <xf numFmtId="0" fontId="108" fillId="0" borderId="104" xfId="0" applyFont="1" applyBorder="1" applyAlignment="1">
      <alignment horizontal="left" vertical="top" wrapText="1"/>
    </xf>
    <xf numFmtId="0" fontId="108" fillId="0" borderId="106" xfId="13" applyFont="1" applyBorder="1" applyAlignment="1" applyProtection="1">
      <alignment horizontal="left" vertical="top" wrapText="1"/>
      <protection locked="0"/>
    </xf>
    <xf numFmtId="0" fontId="108" fillId="0" borderId="104" xfId="13" applyFont="1" applyBorder="1" applyAlignment="1" applyProtection="1">
      <alignment horizontal="left" vertical="top" wrapText="1"/>
      <protection locked="0"/>
    </xf>
    <xf numFmtId="0" fontId="108" fillId="0" borderId="100" xfId="12672" applyFont="1" applyBorder="1" applyAlignment="1">
      <alignment horizontal="left" vertical="center" wrapText="1"/>
    </xf>
    <xf numFmtId="0" fontId="108" fillId="0" borderId="136" xfId="12672" applyFont="1" applyBorder="1" applyAlignment="1">
      <alignment horizontal="left" vertical="center" wrapText="1"/>
    </xf>
    <xf numFmtId="0" fontId="108" fillId="0" borderId="7" xfId="12672" applyFont="1" applyBorder="1" applyAlignment="1">
      <alignment horizontal="left" vertical="center" wrapText="1"/>
    </xf>
    <xf numFmtId="0" fontId="107" fillId="0" borderId="105" xfId="0" applyFont="1" applyBorder="1" applyAlignment="1">
      <alignment horizontal="center" vertical="center"/>
    </xf>
    <xf numFmtId="0" fontId="108" fillId="3" borderId="106" xfId="13" applyFont="1" applyFill="1" applyBorder="1" applyAlignment="1" applyProtection="1">
      <alignment horizontal="left" vertical="top" wrapText="1"/>
      <protection locked="0"/>
    </xf>
    <xf numFmtId="0" fontId="108" fillId="3" borderId="104" xfId="13" applyFont="1" applyFill="1" applyBorder="1" applyAlignment="1" applyProtection="1">
      <alignment horizontal="left" vertical="top" wrapText="1"/>
      <protection locked="0"/>
    </xf>
    <xf numFmtId="0" fontId="107" fillId="0" borderId="91" xfId="0" applyFont="1" applyBorder="1" applyAlignment="1">
      <alignment horizontal="center" vertical="center"/>
    </xf>
    <xf numFmtId="0" fontId="107" fillId="76" borderId="88" xfId="0" applyFont="1" applyFill="1" applyBorder="1" applyAlignment="1">
      <alignment horizontal="center" vertical="center" wrapText="1"/>
    </xf>
    <xf numFmtId="0" fontId="107" fillId="76" borderId="0" xfId="0" applyFont="1" applyFill="1" applyAlignment="1">
      <alignment horizontal="center" vertical="center" wrapText="1"/>
    </xf>
    <xf numFmtId="0" fontId="107" fillId="76" borderId="89" xfId="0" applyFont="1" applyFill="1" applyBorder="1" applyAlignment="1">
      <alignment horizontal="center" vertical="center" wrapText="1"/>
    </xf>
    <xf numFmtId="0" fontId="108" fillId="78" borderId="106" xfId="0" applyFont="1" applyFill="1" applyBorder="1" applyAlignment="1">
      <alignment vertical="center" wrapText="1"/>
    </xf>
    <xf numFmtId="0" fontId="108" fillId="78" borderId="104" xfId="0" applyFont="1" applyFill="1" applyBorder="1" applyAlignment="1">
      <alignment vertical="center" wrapText="1"/>
    </xf>
    <xf numFmtId="0" fontId="108" fillId="0" borderId="106" xfId="0" applyFont="1" applyBorder="1" applyAlignment="1">
      <alignment vertical="center" wrapText="1"/>
    </xf>
    <xf numFmtId="0" fontId="108" fillId="0" borderId="104" xfId="0" applyFont="1" applyBorder="1" applyAlignment="1">
      <alignment vertical="center" wrapText="1"/>
    </xf>
    <xf numFmtId="0" fontId="107" fillId="76" borderId="93" xfId="0" applyFont="1" applyFill="1" applyBorder="1" applyAlignment="1">
      <alignment horizontal="center" vertical="center"/>
    </xf>
    <xf numFmtId="0" fontId="107" fillId="76" borderId="94" xfId="0" applyFont="1" applyFill="1" applyBorder="1" applyAlignment="1">
      <alignment horizontal="center" vertical="center"/>
    </xf>
    <xf numFmtId="0" fontId="107" fillId="76" borderId="95" xfId="0" applyFont="1" applyFill="1" applyBorder="1" applyAlignment="1">
      <alignment horizontal="center" vertical="center"/>
    </xf>
    <xf numFmtId="0" fontId="108" fillId="3" borderId="106" xfId="0" applyFont="1" applyFill="1" applyBorder="1" applyAlignment="1">
      <alignment horizontal="left" vertical="center" wrapText="1"/>
    </xf>
    <xf numFmtId="0" fontId="108" fillId="3" borderId="104" xfId="0" applyFont="1" applyFill="1" applyBorder="1" applyAlignment="1">
      <alignment horizontal="left" vertical="center" wrapText="1"/>
    </xf>
    <xf numFmtId="0" fontId="108" fillId="0" borderId="83" xfId="0" applyFont="1" applyBorder="1" applyAlignment="1">
      <alignment horizontal="left" vertical="center" wrapText="1"/>
    </xf>
    <xf numFmtId="0" fontId="108" fillId="0" borderId="84" xfId="0" applyFont="1" applyBorder="1" applyAlignment="1">
      <alignment horizontal="left"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8" fillId="0" borderId="57" xfId="0" applyFont="1" applyBorder="1" applyAlignment="1">
      <alignment horizontal="left" vertical="center" wrapText="1"/>
    </xf>
    <xf numFmtId="0" fontId="108" fillId="0" borderId="11" xfId="0" applyFont="1" applyBorder="1" applyAlignment="1">
      <alignment horizontal="left" vertical="center" wrapText="1"/>
    </xf>
    <xf numFmtId="0" fontId="108" fillId="3" borderId="106" xfId="0" applyFont="1" applyFill="1" applyBorder="1" applyAlignment="1">
      <alignment vertical="center" wrapText="1"/>
    </xf>
    <xf numFmtId="0" fontId="108" fillId="3" borderId="104" xfId="0" applyFont="1" applyFill="1" applyBorder="1" applyAlignment="1">
      <alignment vertical="center" wrapText="1"/>
    </xf>
    <xf numFmtId="0" fontId="108" fillId="0" borderId="83" xfId="0" applyFont="1" applyBorder="1" applyAlignment="1">
      <alignment vertical="center" wrapText="1"/>
    </xf>
    <xf numFmtId="0" fontId="108" fillId="0" borderId="84" xfId="0" applyFont="1" applyBorder="1" applyAlignment="1">
      <alignment vertical="center" wrapText="1"/>
    </xf>
    <xf numFmtId="0" fontId="108" fillId="3" borderId="83" xfId="0" applyFont="1" applyFill="1" applyBorder="1" applyAlignment="1">
      <alignment horizontal="left" vertical="center" wrapText="1"/>
    </xf>
    <xf numFmtId="0" fontId="108" fillId="3" borderId="84" xfId="0" applyFont="1" applyFill="1" applyBorder="1" applyAlignment="1">
      <alignment horizontal="left" vertical="center" wrapText="1"/>
    </xf>
    <xf numFmtId="0" fontId="108" fillId="0" borderId="86" xfId="0" applyFont="1" applyBorder="1" applyAlignment="1">
      <alignment horizontal="left" vertical="center" wrapText="1"/>
    </xf>
    <xf numFmtId="0" fontId="108" fillId="0" borderId="87" xfId="0" applyFont="1" applyBorder="1" applyAlignment="1">
      <alignment horizontal="left" vertical="center" wrapText="1"/>
    </xf>
    <xf numFmtId="0" fontId="108" fillId="0" borderId="57" xfId="0" applyFont="1" applyBorder="1" applyAlignment="1">
      <alignment vertical="center" wrapText="1"/>
    </xf>
    <xf numFmtId="0" fontId="108" fillId="0" borderId="11" xfId="0" applyFont="1" applyBorder="1" applyAlignment="1">
      <alignment vertical="center" wrapText="1"/>
    </xf>
    <xf numFmtId="0" fontId="108" fillId="0" borderId="106" xfId="0" applyFont="1" applyBorder="1" applyAlignment="1">
      <alignment horizontal="left"/>
    </xf>
    <xf numFmtId="0" fontId="108" fillId="0" borderId="104" xfId="0" applyFont="1" applyBorder="1" applyAlignment="1">
      <alignment horizontal="left"/>
    </xf>
    <xf numFmtId="0" fontId="107" fillId="0" borderId="76" xfId="0" applyFont="1" applyBorder="1" applyAlignment="1">
      <alignment horizontal="center" vertical="center"/>
    </xf>
    <xf numFmtId="0" fontId="107" fillId="0" borderId="77" xfId="0" applyFont="1" applyBorder="1" applyAlignment="1">
      <alignment horizontal="center" vertical="center"/>
    </xf>
    <xf numFmtId="0" fontId="107" fillId="0" borderId="78" xfId="0" applyFont="1" applyBorder="1" applyAlignment="1">
      <alignment horizontal="center" vertical="center"/>
    </xf>
    <xf numFmtId="43" fontId="0" fillId="0" borderId="0" xfId="7" applyFont="1"/>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workbookViewId="0">
      <pane xSplit="1" ySplit="7" topLeftCell="B8" activePane="bottomRight" state="frozen"/>
      <selection pane="topRight"/>
      <selection pane="bottomLeft"/>
      <selection pane="bottomRight"/>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69" t="s">
        <v>254</v>
      </c>
      <c r="C1" s="83"/>
    </row>
    <row r="2" spans="1:3" s="166" customFormat="1" ht="15.75">
      <c r="A2" s="210">
        <v>1</v>
      </c>
      <c r="B2" s="167" t="s">
        <v>255</v>
      </c>
      <c r="C2" s="518" t="s">
        <v>957</v>
      </c>
    </row>
    <row r="3" spans="1:3" s="166" customFormat="1" ht="15.75">
      <c r="A3" s="210">
        <v>2</v>
      </c>
      <c r="B3" s="168" t="s">
        <v>256</v>
      </c>
      <c r="C3" s="518" t="s">
        <v>958</v>
      </c>
    </row>
    <row r="4" spans="1:3" s="166" customFormat="1" ht="15.75">
      <c r="A4" s="210">
        <v>3</v>
      </c>
      <c r="B4" s="168" t="s">
        <v>257</v>
      </c>
      <c r="C4" s="518" t="s">
        <v>959</v>
      </c>
    </row>
    <row r="5" spans="1:3" s="166" customFormat="1" ht="15.75">
      <c r="A5" s="211">
        <v>4</v>
      </c>
      <c r="B5" s="171" t="s">
        <v>258</v>
      </c>
      <c r="C5" s="519" t="s">
        <v>960</v>
      </c>
    </row>
    <row r="6" spans="1:3" s="170" customFormat="1" ht="65.25" customHeight="1">
      <c r="A6" s="682" t="s">
        <v>490</v>
      </c>
      <c r="B6" s="683"/>
      <c r="C6" s="683"/>
    </row>
    <row r="7" spans="1:3">
      <c r="A7" s="324" t="s">
        <v>404</v>
      </c>
      <c r="B7" s="325" t="s">
        <v>259</v>
      </c>
    </row>
    <row r="8" spans="1:3">
      <c r="A8" s="326">
        <v>1</v>
      </c>
      <c r="B8" s="322" t="s">
        <v>223</v>
      </c>
    </row>
    <row r="9" spans="1:3">
      <c r="A9" s="326">
        <v>2</v>
      </c>
      <c r="B9" s="322" t="s">
        <v>260</v>
      </c>
    </row>
    <row r="10" spans="1:3">
      <c r="A10" s="326">
        <v>3</v>
      </c>
      <c r="B10" s="322" t="s">
        <v>261</v>
      </c>
    </row>
    <row r="11" spans="1:3">
      <c r="A11" s="326">
        <v>4</v>
      </c>
      <c r="B11" s="322" t="s">
        <v>262</v>
      </c>
    </row>
    <row r="12" spans="1:3">
      <c r="A12" s="326">
        <v>5</v>
      </c>
      <c r="B12" s="322" t="s">
        <v>187</v>
      </c>
    </row>
    <row r="13" spans="1:3">
      <c r="A13" s="326">
        <v>6</v>
      </c>
      <c r="B13" s="327" t="s">
        <v>149</v>
      </c>
    </row>
    <row r="14" spans="1:3">
      <c r="A14" s="326">
        <v>7</v>
      </c>
      <c r="B14" s="322" t="s">
        <v>263</v>
      </c>
    </row>
    <row r="15" spans="1:3">
      <c r="A15" s="326">
        <v>8</v>
      </c>
      <c r="B15" s="322" t="s">
        <v>266</v>
      </c>
    </row>
    <row r="16" spans="1:3">
      <c r="A16" s="326">
        <v>9</v>
      </c>
      <c r="B16" s="322" t="s">
        <v>88</v>
      </c>
    </row>
    <row r="17" spans="1:2">
      <c r="A17" s="328" t="s">
        <v>547</v>
      </c>
      <c r="B17" s="322" t="s">
        <v>527</v>
      </c>
    </row>
    <row r="18" spans="1:2">
      <c r="A18" s="326">
        <v>10</v>
      </c>
      <c r="B18" s="322" t="s">
        <v>269</v>
      </c>
    </row>
    <row r="19" spans="1:2">
      <c r="A19" s="326">
        <v>11</v>
      </c>
      <c r="B19" s="327" t="s">
        <v>250</v>
      </c>
    </row>
    <row r="20" spans="1:2">
      <c r="A20" s="326">
        <v>12</v>
      </c>
      <c r="B20" s="327" t="s">
        <v>247</v>
      </c>
    </row>
    <row r="21" spans="1:2">
      <c r="A21" s="326">
        <v>13</v>
      </c>
      <c r="B21" s="329" t="s">
        <v>460</v>
      </c>
    </row>
    <row r="22" spans="1:2">
      <c r="A22" s="326">
        <v>14</v>
      </c>
      <c r="B22" s="330" t="s">
        <v>520</v>
      </c>
    </row>
    <row r="23" spans="1:2">
      <c r="A23" s="326">
        <v>15</v>
      </c>
      <c r="B23" s="327" t="s">
        <v>77</v>
      </c>
    </row>
    <row r="24" spans="1:2">
      <c r="A24" s="326">
        <v>15.1</v>
      </c>
      <c r="B24" s="322" t="s">
        <v>556</v>
      </c>
    </row>
    <row r="25" spans="1:2">
      <c r="A25" s="326">
        <v>16</v>
      </c>
      <c r="B25" s="322" t="s">
        <v>624</v>
      </c>
    </row>
    <row r="26" spans="1:2">
      <c r="A26" s="326">
        <v>17</v>
      </c>
      <c r="B26" s="322" t="s">
        <v>936</v>
      </c>
    </row>
    <row r="27" spans="1:2">
      <c r="A27" s="326">
        <v>18</v>
      </c>
      <c r="B27" s="322" t="s">
        <v>954</v>
      </c>
    </row>
    <row r="28" spans="1:2">
      <c r="A28" s="326">
        <v>19</v>
      </c>
      <c r="B28" s="322" t="s">
        <v>955</v>
      </c>
    </row>
    <row r="29" spans="1:2">
      <c r="A29" s="326">
        <v>20</v>
      </c>
      <c r="B29" s="330" t="s">
        <v>723</v>
      </c>
    </row>
    <row r="30" spans="1:2">
      <c r="A30" s="326">
        <v>21</v>
      </c>
      <c r="B30" s="322" t="s">
        <v>741</v>
      </c>
    </row>
    <row r="31" spans="1:2">
      <c r="A31" s="326">
        <v>22</v>
      </c>
      <c r="B31" s="489" t="s">
        <v>758</v>
      </c>
    </row>
    <row r="32" spans="1:2" ht="26.25">
      <c r="A32" s="326">
        <v>23</v>
      </c>
      <c r="B32" s="489" t="s">
        <v>937</v>
      </c>
    </row>
    <row r="33" spans="1:2">
      <c r="A33" s="326">
        <v>24</v>
      </c>
      <c r="B33" s="322" t="s">
        <v>938</v>
      </c>
    </row>
    <row r="34" spans="1:2">
      <c r="A34" s="326">
        <v>25</v>
      </c>
      <c r="B34" s="322" t="s">
        <v>939</v>
      </c>
    </row>
    <row r="35" spans="1:2">
      <c r="A35" s="326">
        <v>26</v>
      </c>
      <c r="B35" s="330" t="s">
        <v>1051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6" activePane="bottomRight" state="frozen"/>
      <selection pane="topRight"/>
      <selection pane="bottomLeft"/>
      <selection pane="bottomRight"/>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"ბანკი ქართუ"</v>
      </c>
      <c r="D1" s="1"/>
      <c r="E1" s="1"/>
      <c r="F1" s="1"/>
    </row>
    <row r="2" spans="1:6" s="14" customFormat="1" ht="15.75" customHeight="1">
      <c r="A2" s="14" t="s">
        <v>189</v>
      </c>
      <c r="B2" s="390">
        <f>'1. key ratios'!B2</f>
        <v>44469</v>
      </c>
    </row>
    <row r="3" spans="1:6" s="14" customFormat="1" ht="15.75" customHeight="1"/>
    <row r="4" spans="1:6" ht="15.75" thickBot="1">
      <c r="A4" s="1" t="s">
        <v>413</v>
      </c>
      <c r="B4" s="52" t="s">
        <v>88</v>
      </c>
    </row>
    <row r="5" spans="1:6">
      <c r="A5" s="122" t="s">
        <v>26</v>
      </c>
      <c r="B5" s="123"/>
      <c r="C5" s="124" t="s">
        <v>27</v>
      </c>
    </row>
    <row r="6" spans="1:6">
      <c r="A6" s="125">
        <v>1</v>
      </c>
      <c r="B6" s="73" t="s">
        <v>28</v>
      </c>
      <c r="C6" s="543">
        <f>SUM(C7:C11)</f>
        <v>182239380</v>
      </c>
    </row>
    <row r="7" spans="1:6">
      <c r="A7" s="125">
        <v>2</v>
      </c>
      <c r="B7" s="70" t="s">
        <v>29</v>
      </c>
      <c r="C7" s="544">
        <v>114430000</v>
      </c>
    </row>
    <row r="8" spans="1:6">
      <c r="A8" s="125">
        <v>3</v>
      </c>
      <c r="B8" s="65" t="s">
        <v>30</v>
      </c>
      <c r="C8" s="544"/>
    </row>
    <row r="9" spans="1:6">
      <c r="A9" s="125">
        <v>4</v>
      </c>
      <c r="B9" s="65" t="s">
        <v>31</v>
      </c>
      <c r="C9" s="544"/>
    </row>
    <row r="10" spans="1:6">
      <c r="A10" s="125">
        <v>5</v>
      </c>
      <c r="B10" s="65" t="s">
        <v>32</v>
      </c>
      <c r="C10" s="544">
        <v>7438034</v>
      </c>
    </row>
    <row r="11" spans="1:6">
      <c r="A11" s="125">
        <v>6</v>
      </c>
      <c r="B11" s="71" t="s">
        <v>33</v>
      </c>
      <c r="C11" s="544">
        <v>60371346</v>
      </c>
    </row>
    <row r="12" spans="1:6" s="2" customFormat="1">
      <c r="A12" s="125">
        <v>7</v>
      </c>
      <c r="B12" s="73" t="s">
        <v>34</v>
      </c>
      <c r="C12" s="545">
        <f>SUM(C13:C27)</f>
        <v>6625762.3499999996</v>
      </c>
    </row>
    <row r="13" spans="1:6" s="2" customFormat="1">
      <c r="A13" s="125">
        <v>8</v>
      </c>
      <c r="B13" s="72" t="s">
        <v>35</v>
      </c>
      <c r="C13" s="546"/>
    </row>
    <row r="14" spans="1:6" s="2" customFormat="1" ht="25.5">
      <c r="A14" s="125">
        <v>9</v>
      </c>
      <c r="B14" s="66" t="s">
        <v>36</v>
      </c>
      <c r="C14" s="546"/>
    </row>
    <row r="15" spans="1:6" s="2" customFormat="1">
      <c r="A15" s="125">
        <v>10</v>
      </c>
      <c r="B15" s="67" t="s">
        <v>37</v>
      </c>
      <c r="C15" s="546">
        <v>4066835</v>
      </c>
    </row>
    <row r="16" spans="1:6" s="2" customFormat="1">
      <c r="A16" s="125">
        <v>11</v>
      </c>
      <c r="B16" s="68" t="s">
        <v>38</v>
      </c>
      <c r="C16" s="546"/>
    </row>
    <row r="17" spans="1:3" s="2" customFormat="1">
      <c r="A17" s="125">
        <v>12</v>
      </c>
      <c r="B17" s="67" t="s">
        <v>39</v>
      </c>
      <c r="C17" s="546"/>
    </row>
    <row r="18" spans="1:3" s="2" customFormat="1">
      <c r="A18" s="125">
        <v>13</v>
      </c>
      <c r="B18" s="67" t="s">
        <v>40</v>
      </c>
      <c r="C18" s="546"/>
    </row>
    <row r="19" spans="1:3" s="2" customFormat="1">
      <c r="A19" s="125">
        <v>14</v>
      </c>
      <c r="B19" s="67" t="s">
        <v>41</v>
      </c>
      <c r="C19" s="546"/>
    </row>
    <row r="20" spans="1:3" s="2" customFormat="1" ht="25.5">
      <c r="A20" s="125">
        <v>15</v>
      </c>
      <c r="B20" s="67" t="s">
        <v>42</v>
      </c>
      <c r="C20" s="546">
        <v>2558927.35</v>
      </c>
    </row>
    <row r="21" spans="1:3" s="2" customFormat="1" ht="25.5">
      <c r="A21" s="125">
        <v>16</v>
      </c>
      <c r="B21" s="66" t="s">
        <v>43</v>
      </c>
      <c r="C21" s="546"/>
    </row>
    <row r="22" spans="1:3" s="2" customFormat="1">
      <c r="A22" s="125">
        <v>17</v>
      </c>
      <c r="B22" s="126" t="s">
        <v>44</v>
      </c>
      <c r="C22" s="546"/>
    </row>
    <row r="23" spans="1:3" s="2" customFormat="1" ht="25.5">
      <c r="A23" s="125">
        <v>18</v>
      </c>
      <c r="B23" s="66" t="s">
        <v>45</v>
      </c>
      <c r="C23" s="546"/>
    </row>
    <row r="24" spans="1:3" s="2" customFormat="1" ht="25.5">
      <c r="A24" s="125">
        <v>19</v>
      </c>
      <c r="B24" s="66" t="s">
        <v>46</v>
      </c>
      <c r="C24" s="546"/>
    </row>
    <row r="25" spans="1:3" s="2" customFormat="1" ht="25.5">
      <c r="A25" s="125">
        <v>20</v>
      </c>
      <c r="B25" s="68" t="s">
        <v>47</v>
      </c>
      <c r="C25" s="546"/>
    </row>
    <row r="26" spans="1:3" s="2" customFormat="1">
      <c r="A26" s="125">
        <v>21</v>
      </c>
      <c r="B26" s="68" t="s">
        <v>48</v>
      </c>
      <c r="C26" s="546"/>
    </row>
    <row r="27" spans="1:3" s="2" customFormat="1" ht="25.5">
      <c r="A27" s="125">
        <v>22</v>
      </c>
      <c r="B27" s="68" t="s">
        <v>49</v>
      </c>
      <c r="C27" s="546"/>
    </row>
    <row r="28" spans="1:3" s="2" customFormat="1">
      <c r="A28" s="125">
        <v>23</v>
      </c>
      <c r="B28" s="74" t="s">
        <v>23</v>
      </c>
      <c r="C28" s="545">
        <f>C6-C12</f>
        <v>175613617.65000001</v>
      </c>
    </row>
    <row r="29" spans="1:3" s="2" customFormat="1">
      <c r="A29" s="127"/>
      <c r="B29" s="69"/>
      <c r="C29" s="546"/>
    </row>
    <row r="30" spans="1:3" s="2" customFormat="1">
      <c r="A30" s="127">
        <v>24</v>
      </c>
      <c r="B30" s="74" t="s">
        <v>50</v>
      </c>
      <c r="C30" s="545">
        <f>C31+C34</f>
        <v>84315600</v>
      </c>
    </row>
    <row r="31" spans="1:3" s="2" customFormat="1">
      <c r="A31" s="127">
        <v>25</v>
      </c>
      <c r="B31" s="65" t="s">
        <v>51</v>
      </c>
      <c r="C31" s="547">
        <f>C32+C33</f>
        <v>84315600</v>
      </c>
    </row>
    <row r="32" spans="1:3" s="2" customFormat="1">
      <c r="A32" s="127">
        <v>26</v>
      </c>
      <c r="B32" s="164" t="s">
        <v>52</v>
      </c>
      <c r="C32" s="546"/>
    </row>
    <row r="33" spans="1:3" s="2" customFormat="1">
      <c r="A33" s="127">
        <v>27</v>
      </c>
      <c r="B33" s="164" t="s">
        <v>53</v>
      </c>
      <c r="C33" s="546">
        <v>84315600</v>
      </c>
    </row>
    <row r="34" spans="1:3" s="2" customFormat="1">
      <c r="A34" s="127">
        <v>28</v>
      </c>
      <c r="B34" s="65" t="s">
        <v>54</v>
      </c>
      <c r="C34" s="546"/>
    </row>
    <row r="35" spans="1:3" s="2" customFormat="1">
      <c r="A35" s="127">
        <v>29</v>
      </c>
      <c r="B35" s="74" t="s">
        <v>55</v>
      </c>
      <c r="C35" s="545">
        <f>SUM(C36:C40)</f>
        <v>0</v>
      </c>
    </row>
    <row r="36" spans="1:3" s="2" customFormat="1">
      <c r="A36" s="127">
        <v>30</v>
      </c>
      <c r="B36" s="66" t="s">
        <v>56</v>
      </c>
      <c r="C36" s="546"/>
    </row>
    <row r="37" spans="1:3" s="2" customFormat="1">
      <c r="A37" s="127">
        <v>31</v>
      </c>
      <c r="B37" s="67" t="s">
        <v>57</v>
      </c>
      <c r="C37" s="546"/>
    </row>
    <row r="38" spans="1:3" s="2" customFormat="1" ht="25.5">
      <c r="A38" s="127">
        <v>32</v>
      </c>
      <c r="B38" s="66" t="s">
        <v>58</v>
      </c>
      <c r="C38" s="546"/>
    </row>
    <row r="39" spans="1:3" s="2" customFormat="1" ht="25.5">
      <c r="A39" s="127">
        <v>33</v>
      </c>
      <c r="B39" s="66" t="s">
        <v>46</v>
      </c>
      <c r="C39" s="546"/>
    </row>
    <row r="40" spans="1:3" s="2" customFormat="1" ht="25.5">
      <c r="A40" s="127">
        <v>34</v>
      </c>
      <c r="B40" s="68" t="s">
        <v>59</v>
      </c>
      <c r="C40" s="546"/>
    </row>
    <row r="41" spans="1:3" s="2" customFormat="1">
      <c r="A41" s="127">
        <v>35</v>
      </c>
      <c r="B41" s="74" t="s">
        <v>24</v>
      </c>
      <c r="C41" s="545">
        <f>C30-C35</f>
        <v>84315600</v>
      </c>
    </row>
    <row r="42" spans="1:3" s="2" customFormat="1">
      <c r="A42" s="127"/>
      <c r="B42" s="69"/>
      <c r="C42" s="546"/>
    </row>
    <row r="43" spans="1:3" s="2" customFormat="1">
      <c r="A43" s="127">
        <v>36</v>
      </c>
      <c r="B43" s="75" t="s">
        <v>60</v>
      </c>
      <c r="C43" s="545">
        <f>SUM(C44:C46)</f>
        <v>49975696</v>
      </c>
    </row>
    <row r="44" spans="1:3" s="2" customFormat="1">
      <c r="A44" s="127">
        <v>37</v>
      </c>
      <c r="B44" s="65" t="s">
        <v>61</v>
      </c>
      <c r="C44" s="546">
        <v>37473600</v>
      </c>
    </row>
    <row r="45" spans="1:3" s="2" customFormat="1">
      <c r="A45" s="127">
        <v>38</v>
      </c>
      <c r="B45" s="65" t="s">
        <v>62</v>
      </c>
      <c r="C45" s="546"/>
    </row>
    <row r="46" spans="1:3" s="2" customFormat="1">
      <c r="A46" s="127">
        <v>39</v>
      </c>
      <c r="B46" s="65" t="s">
        <v>63</v>
      </c>
      <c r="C46" s="546">
        <v>12502096</v>
      </c>
    </row>
    <row r="47" spans="1:3" s="2" customFormat="1">
      <c r="A47" s="127">
        <v>40</v>
      </c>
      <c r="B47" s="75" t="s">
        <v>64</v>
      </c>
      <c r="C47" s="545">
        <f>SUM(C48:C51)</f>
        <v>0</v>
      </c>
    </row>
    <row r="48" spans="1:3" s="2" customFormat="1">
      <c r="A48" s="127">
        <v>41</v>
      </c>
      <c r="B48" s="66" t="s">
        <v>65</v>
      </c>
      <c r="C48" s="546"/>
    </row>
    <row r="49" spans="1:3" s="2" customFormat="1">
      <c r="A49" s="127">
        <v>42</v>
      </c>
      <c r="B49" s="67" t="s">
        <v>66</v>
      </c>
      <c r="C49" s="546"/>
    </row>
    <row r="50" spans="1:3" s="2" customFormat="1" ht="25.5">
      <c r="A50" s="127">
        <v>43</v>
      </c>
      <c r="B50" s="66" t="s">
        <v>67</v>
      </c>
      <c r="C50" s="546"/>
    </row>
    <row r="51" spans="1:3" s="2" customFormat="1" ht="25.5">
      <c r="A51" s="127">
        <v>44</v>
      </c>
      <c r="B51" s="66" t="s">
        <v>46</v>
      </c>
      <c r="C51" s="546"/>
    </row>
    <row r="52" spans="1:3" s="2" customFormat="1" ht="15.75" thickBot="1">
      <c r="A52" s="128">
        <v>45</v>
      </c>
      <c r="B52" s="129" t="s">
        <v>25</v>
      </c>
      <c r="C52" s="229">
        <f>C43-C47</f>
        <v>49975696</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heetViews>
  <sheetFormatPr defaultColWidth="9.28515625" defaultRowHeight="12.75"/>
  <cols>
    <col min="1" max="1" width="10.7109375" style="1" bestFit="1" customWidth="1"/>
    <col min="2" max="2" width="59" style="1" customWidth="1"/>
    <col min="3" max="3" width="16.7109375" style="1" bestFit="1" customWidth="1"/>
    <col min="4" max="4" width="22.28515625" style="1" customWidth="1"/>
    <col min="5" max="16384" width="9.28515625" style="1"/>
  </cols>
  <sheetData>
    <row r="1" spans="1:4" ht="15">
      <c r="A1" s="14" t="s">
        <v>188</v>
      </c>
      <c r="B1" s="13" t="str">
        <f>Info!C2</f>
        <v>სს "ბანკი ქართუ"</v>
      </c>
    </row>
    <row r="2" spans="1:4" s="14" customFormat="1" ht="15.75" customHeight="1">
      <c r="A2" s="14" t="s">
        <v>189</v>
      </c>
      <c r="B2" s="390">
        <f>'1. key ratios'!B2</f>
        <v>44469</v>
      </c>
    </row>
    <row r="3" spans="1:4" s="14" customFormat="1" ht="15.75" customHeight="1"/>
    <row r="4" spans="1:4" ht="13.5" thickBot="1">
      <c r="A4" s="1" t="s">
        <v>526</v>
      </c>
      <c r="B4" s="312" t="s">
        <v>527</v>
      </c>
    </row>
    <row r="5" spans="1:4" s="60" customFormat="1">
      <c r="A5" s="701" t="s">
        <v>528</v>
      </c>
      <c r="B5" s="702"/>
      <c r="C5" s="302" t="s">
        <v>529</v>
      </c>
      <c r="D5" s="303" t="s">
        <v>530</v>
      </c>
    </row>
    <row r="6" spans="1:4" s="313" customFormat="1">
      <c r="A6" s="304">
        <v>1</v>
      </c>
      <c r="B6" s="305" t="s">
        <v>531</v>
      </c>
      <c r="C6" s="305"/>
      <c r="D6" s="306"/>
    </row>
    <row r="7" spans="1:4" s="313" customFormat="1">
      <c r="A7" s="307" t="s">
        <v>532</v>
      </c>
      <c r="B7" s="308" t="s">
        <v>533</v>
      </c>
      <c r="C7" s="548">
        <v>4.4999999999999998E-2</v>
      </c>
      <c r="D7" s="549">
        <f>C7*'5. RWA'!$C$13</f>
        <v>59327003.185863055</v>
      </c>
    </row>
    <row r="8" spans="1:4" s="313" customFormat="1">
      <c r="A8" s="307" t="s">
        <v>534</v>
      </c>
      <c r="B8" s="308" t="s">
        <v>535</v>
      </c>
      <c r="C8" s="550">
        <v>0.06</v>
      </c>
      <c r="D8" s="549">
        <f>C8*'5. RWA'!$C$13</f>
        <v>79102670.914484084</v>
      </c>
    </row>
    <row r="9" spans="1:4" s="313" customFormat="1">
      <c r="A9" s="307" t="s">
        <v>536</v>
      </c>
      <c r="B9" s="308" t="s">
        <v>537</v>
      </c>
      <c r="C9" s="550">
        <v>0.08</v>
      </c>
      <c r="D9" s="549">
        <f>C9*'5. RWA'!$C$13</f>
        <v>105470227.88597877</v>
      </c>
    </row>
    <row r="10" spans="1:4" s="313" customFormat="1">
      <c r="A10" s="304" t="s">
        <v>538</v>
      </c>
      <c r="B10" s="305" t="s">
        <v>539</v>
      </c>
      <c r="C10" s="356"/>
      <c r="D10" s="551"/>
    </row>
    <row r="11" spans="1:4" s="314" customFormat="1">
      <c r="A11" s="309" t="s">
        <v>540</v>
      </c>
      <c r="B11" s="310" t="s">
        <v>602</v>
      </c>
      <c r="C11" s="552">
        <v>2.5000000000000001E-2</v>
      </c>
      <c r="D11" s="553">
        <f>C11*'5. RWA'!$C$13</f>
        <v>32959446.214368369</v>
      </c>
    </row>
    <row r="12" spans="1:4" s="314" customFormat="1">
      <c r="A12" s="309" t="s">
        <v>541</v>
      </c>
      <c r="B12" s="310" t="s">
        <v>542</v>
      </c>
      <c r="C12" s="552">
        <v>0</v>
      </c>
      <c r="D12" s="553">
        <f>C12*'5. RWA'!$C$13</f>
        <v>0</v>
      </c>
    </row>
    <row r="13" spans="1:4" s="314" customFormat="1">
      <c r="A13" s="309" t="s">
        <v>543</v>
      </c>
      <c r="B13" s="310" t="s">
        <v>544</v>
      </c>
      <c r="C13" s="552"/>
      <c r="D13" s="553">
        <f>C13*'5. RWA'!$C$13</f>
        <v>0</v>
      </c>
    </row>
    <row r="14" spans="1:4" s="313" customFormat="1">
      <c r="A14" s="304" t="s">
        <v>545</v>
      </c>
      <c r="B14" s="305" t="s">
        <v>600</v>
      </c>
      <c r="C14" s="554"/>
      <c r="D14" s="551"/>
    </row>
    <row r="15" spans="1:4" s="313" customFormat="1">
      <c r="A15" s="323" t="s">
        <v>548</v>
      </c>
      <c r="B15" s="310" t="s">
        <v>601</v>
      </c>
      <c r="C15" s="552">
        <v>3.495161123755669E-2</v>
      </c>
      <c r="D15" s="553">
        <f>C15*'5. RWA'!$C$13</f>
        <v>46079430.027590506</v>
      </c>
    </row>
    <row r="16" spans="1:4" s="313" customFormat="1">
      <c r="A16" s="323" t="s">
        <v>549</v>
      </c>
      <c r="B16" s="310" t="s">
        <v>551</v>
      </c>
      <c r="C16" s="552">
        <v>4.6680650775899245E-2</v>
      </c>
      <c r="D16" s="553">
        <f>C16*'5. RWA'!$C$13</f>
        <v>61542735.939998567</v>
      </c>
    </row>
    <row r="17" spans="1:4" s="313" customFormat="1">
      <c r="A17" s="323" t="s">
        <v>550</v>
      </c>
      <c r="B17" s="310" t="s">
        <v>598</v>
      </c>
      <c r="C17" s="552">
        <v>9.6094731411039649E-2</v>
      </c>
      <c r="D17" s="553">
        <f>C17*'5. RWA'!$C$13</f>
        <v>126689165.25705343</v>
      </c>
    </row>
    <row r="18" spans="1:4" s="60" customFormat="1">
      <c r="A18" s="703" t="s">
        <v>599</v>
      </c>
      <c r="B18" s="704"/>
      <c r="C18" s="356" t="s">
        <v>529</v>
      </c>
      <c r="D18" s="555" t="s">
        <v>530</v>
      </c>
    </row>
    <row r="19" spans="1:4" s="313" customFormat="1">
      <c r="A19" s="311">
        <v>4</v>
      </c>
      <c r="B19" s="310" t="s">
        <v>23</v>
      </c>
      <c r="C19" s="552">
        <f>C7+C11+C12+C13+C15</f>
        <v>0.1049516112375567</v>
      </c>
      <c r="D19" s="549">
        <f>C19*'5. RWA'!$C$13</f>
        <v>138365879.42782193</v>
      </c>
    </row>
    <row r="20" spans="1:4" s="313" customFormat="1">
      <c r="A20" s="311">
        <v>5</v>
      </c>
      <c r="B20" s="310" t="s">
        <v>89</v>
      </c>
      <c r="C20" s="552">
        <f>C8+C11+C12+C13+C16</f>
        <v>0.13168065077589924</v>
      </c>
      <c r="D20" s="549">
        <f>C20*'5. RWA'!$C$13</f>
        <v>173604853.06885102</v>
      </c>
    </row>
    <row r="21" spans="1:4" s="313" customFormat="1" ht="13.5" thickBot="1">
      <c r="A21" s="315" t="s">
        <v>546</v>
      </c>
      <c r="B21" s="316" t="s">
        <v>88</v>
      </c>
      <c r="C21" s="556">
        <f>C9+C11+C12+C13+C17</f>
        <v>0.20109473141103967</v>
      </c>
      <c r="D21" s="557">
        <f>C21*'5. RWA'!$C$13</f>
        <v>265118839.3574006</v>
      </c>
    </row>
    <row r="23" spans="1:4" ht="63.75">
      <c r="B23" s="18" t="s">
        <v>603</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55"/>
  <sheetViews>
    <sheetView zoomScaleNormal="100" workbookViewId="0">
      <pane xSplit="1" ySplit="5" topLeftCell="B39" activePane="bottomRight" state="frozen"/>
      <selection pane="topRight"/>
      <selection pane="bottomLeft"/>
      <selection pane="bottomRight"/>
    </sheetView>
  </sheetViews>
  <sheetFormatPr defaultRowHeight="15.75"/>
  <cols>
    <col min="1" max="1" width="10.7109375" style="61" customWidth="1"/>
    <col min="2" max="2" width="91.7109375" style="61" customWidth="1"/>
    <col min="3" max="3" width="53.28515625" style="61" customWidth="1"/>
    <col min="4" max="4" width="32.28515625" style="61" customWidth="1"/>
    <col min="5" max="5" width="9.42578125" customWidth="1"/>
  </cols>
  <sheetData>
    <row r="1" spans="1:6">
      <c r="A1" s="14" t="s">
        <v>188</v>
      </c>
      <c r="B1" s="15" t="str">
        <f>Info!C2</f>
        <v>სს "ბანკი ქართუ"</v>
      </c>
      <c r="E1" s="1"/>
      <c r="F1" s="1"/>
    </row>
    <row r="2" spans="1:6" s="14" customFormat="1" ht="15.75" customHeight="1">
      <c r="A2" s="14" t="s">
        <v>189</v>
      </c>
      <c r="B2" s="390">
        <f>'1. key ratios'!B2</f>
        <v>44469</v>
      </c>
    </row>
    <row r="3" spans="1:6" s="14" customFormat="1" ht="15.75" customHeight="1">
      <c r="A3" s="21"/>
    </row>
    <row r="4" spans="1:6" s="14" customFormat="1" ht="15.75" customHeight="1" thickBot="1">
      <c r="A4" s="14" t="s">
        <v>414</v>
      </c>
      <c r="B4" s="186" t="s">
        <v>269</v>
      </c>
      <c r="D4" s="188" t="s">
        <v>93</v>
      </c>
    </row>
    <row r="5" spans="1:6" ht="38.25">
      <c r="A5" s="139" t="s">
        <v>26</v>
      </c>
      <c r="B5" s="140" t="s">
        <v>231</v>
      </c>
      <c r="C5" s="141" t="s">
        <v>237</v>
      </c>
      <c r="D5" s="187" t="s">
        <v>270</v>
      </c>
    </row>
    <row r="6" spans="1:6">
      <c r="A6" s="558">
        <v>1</v>
      </c>
      <c r="B6" s="559" t="s">
        <v>154</v>
      </c>
      <c r="C6" s="560">
        <f>'2. RC'!E7</f>
        <v>32557084</v>
      </c>
      <c r="D6" s="561"/>
      <c r="E6" s="5"/>
    </row>
    <row r="7" spans="1:6">
      <c r="A7" s="558">
        <v>2</v>
      </c>
      <c r="B7" s="76" t="s">
        <v>155</v>
      </c>
      <c r="C7" s="230">
        <f>'2. RC'!E8</f>
        <v>211633516</v>
      </c>
      <c r="D7" s="130"/>
      <c r="E7" s="5"/>
    </row>
    <row r="8" spans="1:6">
      <c r="A8" s="558">
        <v>3</v>
      </c>
      <c r="B8" s="76" t="s">
        <v>156</v>
      </c>
      <c r="C8" s="230">
        <f>'2. RC'!E9</f>
        <v>112051665</v>
      </c>
      <c r="D8" s="130"/>
      <c r="E8" s="5"/>
    </row>
    <row r="9" spans="1:6">
      <c r="A9" s="558">
        <v>4</v>
      </c>
      <c r="B9" s="76" t="s">
        <v>185</v>
      </c>
      <c r="C9" s="230">
        <f>'2. RC'!E10</f>
        <v>0</v>
      </c>
      <c r="D9" s="130"/>
      <c r="E9" s="5"/>
    </row>
    <row r="10" spans="1:6">
      <c r="A10" s="558">
        <v>5</v>
      </c>
      <c r="B10" s="76" t="s">
        <v>157</v>
      </c>
      <c r="C10" s="230">
        <f>'2. RC'!E11-C11</f>
        <v>55083289</v>
      </c>
      <c r="D10" s="130"/>
      <c r="E10" s="5"/>
    </row>
    <row r="11" spans="1:6">
      <c r="A11" s="558">
        <v>5.0999999999999996</v>
      </c>
      <c r="B11" s="562" t="s">
        <v>982</v>
      </c>
      <c r="C11" s="563">
        <v>-372280</v>
      </c>
      <c r="D11" s="212" t="s">
        <v>983</v>
      </c>
      <c r="E11" s="6"/>
    </row>
    <row r="12" spans="1:6">
      <c r="A12" s="558">
        <v>5.2</v>
      </c>
      <c r="B12" s="564" t="s">
        <v>984</v>
      </c>
      <c r="C12" s="563">
        <f>C10+C11</f>
        <v>54711009</v>
      </c>
      <c r="D12" s="131"/>
      <c r="E12" s="6"/>
    </row>
    <row r="13" spans="1:6">
      <c r="A13" s="558">
        <v>6.1</v>
      </c>
      <c r="B13" s="76" t="s">
        <v>158</v>
      </c>
      <c r="C13" s="231">
        <f>'2. RC'!E12</f>
        <v>981831435</v>
      </c>
      <c r="D13" s="131"/>
      <c r="E13" s="6"/>
    </row>
    <row r="14" spans="1:6">
      <c r="A14" s="558">
        <v>6.2</v>
      </c>
      <c r="B14" s="77" t="s">
        <v>159</v>
      </c>
      <c r="C14" s="231">
        <f>'2. RC'!E13</f>
        <v>-166614566</v>
      </c>
      <c r="D14" s="131"/>
      <c r="E14" s="6"/>
    </row>
    <row r="15" spans="1:6">
      <c r="A15" s="558" t="s">
        <v>487</v>
      </c>
      <c r="B15" s="78" t="s">
        <v>488</v>
      </c>
      <c r="C15" s="231">
        <v>-11229670</v>
      </c>
      <c r="D15" s="212" t="s">
        <v>983</v>
      </c>
      <c r="E15" s="5"/>
    </row>
    <row r="16" spans="1:6">
      <c r="A16" s="558" t="s">
        <v>622</v>
      </c>
      <c r="B16" s="78" t="s">
        <v>611</v>
      </c>
      <c r="C16" s="231">
        <v>0</v>
      </c>
      <c r="D16" s="131"/>
      <c r="E16" s="5"/>
    </row>
    <row r="17" spans="1:5">
      <c r="A17" s="558">
        <v>6</v>
      </c>
      <c r="B17" s="76" t="s">
        <v>160</v>
      </c>
      <c r="C17" s="237">
        <f>C13+C14</f>
        <v>815216869</v>
      </c>
      <c r="D17" s="131"/>
      <c r="E17" s="5"/>
    </row>
    <row r="18" spans="1:5">
      <c r="A18" s="558">
        <v>7</v>
      </c>
      <c r="B18" s="76" t="s">
        <v>161</v>
      </c>
      <c r="C18" s="230">
        <f>'2. RC'!E15</f>
        <v>17297994</v>
      </c>
      <c r="D18" s="130"/>
      <c r="E18" s="5"/>
    </row>
    <row r="19" spans="1:5">
      <c r="A19" s="558">
        <v>8</v>
      </c>
      <c r="B19" s="76" t="s">
        <v>162</v>
      </c>
      <c r="C19" s="230">
        <f>'2. RC'!E16</f>
        <v>6855626</v>
      </c>
      <c r="D19" s="130"/>
      <c r="E19" s="5"/>
    </row>
    <row r="20" spans="1:5">
      <c r="A20" s="558">
        <v>9</v>
      </c>
      <c r="B20" s="76" t="s">
        <v>163</v>
      </c>
      <c r="C20" s="230">
        <f>SUM(C22:C25)</f>
        <v>7793239</v>
      </c>
      <c r="D20" s="130"/>
      <c r="E20" s="5"/>
    </row>
    <row r="21" spans="1:5">
      <c r="A21" s="558">
        <v>9.1</v>
      </c>
      <c r="B21" s="78" t="s">
        <v>246</v>
      </c>
      <c r="C21" s="231"/>
      <c r="D21" s="130"/>
      <c r="E21" s="5"/>
    </row>
    <row r="22" spans="1:5">
      <c r="A22" s="558">
        <v>9.1999999999999993</v>
      </c>
      <c r="B22" s="78" t="s">
        <v>236</v>
      </c>
      <c r="C22" s="231">
        <v>9372300</v>
      </c>
      <c r="D22" s="130"/>
      <c r="E22" s="5"/>
    </row>
    <row r="23" spans="1:5">
      <c r="A23" s="558">
        <v>9.3000000000000007</v>
      </c>
      <c r="B23" s="562" t="s">
        <v>985</v>
      </c>
      <c r="C23" s="565">
        <v>-1634921</v>
      </c>
      <c r="E23" s="5"/>
    </row>
    <row r="24" spans="1:5">
      <c r="A24" s="558">
        <v>9.4</v>
      </c>
      <c r="B24" s="78" t="s">
        <v>235</v>
      </c>
      <c r="C24" s="231">
        <v>57000</v>
      </c>
      <c r="D24" s="130"/>
      <c r="E24" s="5"/>
    </row>
    <row r="25" spans="1:5">
      <c r="A25" s="558">
        <v>9.5</v>
      </c>
      <c r="B25" s="562" t="s">
        <v>986</v>
      </c>
      <c r="C25" s="565">
        <v>-1140</v>
      </c>
      <c r="D25" s="212" t="s">
        <v>983</v>
      </c>
      <c r="E25" s="4"/>
    </row>
    <row r="26" spans="1:5">
      <c r="A26" s="558">
        <v>10</v>
      </c>
      <c r="B26" s="76" t="s">
        <v>164</v>
      </c>
      <c r="C26" s="230">
        <f>'2. RC'!E18</f>
        <v>20325454</v>
      </c>
      <c r="D26" s="130"/>
      <c r="E26" s="5"/>
    </row>
    <row r="27" spans="1:5">
      <c r="A27" s="558">
        <v>10.1</v>
      </c>
      <c r="B27" s="78" t="s">
        <v>234</v>
      </c>
      <c r="C27" s="230">
        <f>'9. Capital'!C15</f>
        <v>4066835</v>
      </c>
      <c r="D27" s="212" t="s">
        <v>440</v>
      </c>
      <c r="E27" s="5"/>
    </row>
    <row r="28" spans="1:5">
      <c r="A28" s="558">
        <v>11</v>
      </c>
      <c r="B28" s="79" t="s">
        <v>165</v>
      </c>
      <c r="C28" s="232">
        <f>'2. RC'!E19-C30-C31</f>
        <v>26376549</v>
      </c>
      <c r="D28" s="132"/>
      <c r="E28" s="5"/>
    </row>
    <row r="29" spans="1:5">
      <c r="A29" s="558">
        <v>11.1</v>
      </c>
      <c r="B29" s="566" t="s">
        <v>987</v>
      </c>
      <c r="C29" s="567">
        <f>'9. Capital'!C20</f>
        <v>2558927.35</v>
      </c>
      <c r="D29" s="212" t="s">
        <v>988</v>
      </c>
      <c r="E29" s="5"/>
    </row>
    <row r="30" spans="1:5">
      <c r="A30" s="558">
        <v>11.2</v>
      </c>
      <c r="B30" s="562" t="s">
        <v>989</v>
      </c>
      <c r="C30" s="565">
        <v>0</v>
      </c>
      <c r="D30" s="212" t="s">
        <v>983</v>
      </c>
      <c r="E30" s="5"/>
    </row>
    <row r="31" spans="1:5">
      <c r="A31" s="558">
        <v>11.3</v>
      </c>
      <c r="B31" s="562" t="s">
        <v>990</v>
      </c>
      <c r="C31" s="565">
        <v>-2403546</v>
      </c>
      <c r="D31" s="130"/>
      <c r="E31" s="5"/>
    </row>
    <row r="32" spans="1:5">
      <c r="A32" s="558"/>
      <c r="B32" s="79" t="s">
        <v>991</v>
      </c>
      <c r="C32" s="568">
        <f>SUM(C28,C30:C31)</f>
        <v>23973003</v>
      </c>
      <c r="D32" s="135"/>
      <c r="E32" s="5"/>
    </row>
    <row r="33" spans="1:5">
      <c r="A33" s="558">
        <v>12</v>
      </c>
      <c r="B33" s="81" t="s">
        <v>166</v>
      </c>
      <c r="C33" s="233">
        <f>SUM(C6:C9,C12,C17:C20,C26,C32)</f>
        <v>1302415459</v>
      </c>
      <c r="D33" s="133"/>
      <c r="E33" s="5"/>
    </row>
    <row r="34" spans="1:5">
      <c r="A34" s="558">
        <v>13</v>
      </c>
      <c r="B34" s="76" t="s">
        <v>167</v>
      </c>
      <c r="C34" s="234">
        <f>'2. RC'!E22</f>
        <v>163856</v>
      </c>
      <c r="D34" s="134"/>
      <c r="E34" s="5"/>
    </row>
    <row r="35" spans="1:5">
      <c r="A35" s="558">
        <v>14</v>
      </c>
      <c r="B35" s="76" t="s">
        <v>168</v>
      </c>
      <c r="C35" s="230">
        <f>'2. RC'!E23</f>
        <v>367366449</v>
      </c>
      <c r="D35" s="130"/>
      <c r="E35" s="5"/>
    </row>
    <row r="36" spans="1:5">
      <c r="A36" s="558">
        <v>15</v>
      </c>
      <c r="B36" s="76" t="s">
        <v>169</v>
      </c>
      <c r="C36" s="230">
        <f>'2. RC'!E24</f>
        <v>90380659</v>
      </c>
      <c r="D36" s="130"/>
      <c r="E36" s="5"/>
    </row>
    <row r="37" spans="1:5">
      <c r="A37" s="558">
        <v>16</v>
      </c>
      <c r="B37" s="76" t="s">
        <v>170</v>
      </c>
      <c r="C37" s="230">
        <f>'2. RC'!E25</f>
        <v>511063541</v>
      </c>
      <c r="D37" s="130"/>
      <c r="E37" s="4"/>
    </row>
    <row r="38" spans="1:5">
      <c r="A38" s="558">
        <v>17</v>
      </c>
      <c r="B38" s="76" t="s">
        <v>171</v>
      </c>
      <c r="C38" s="230">
        <f>'2. RC'!E26</f>
        <v>0</v>
      </c>
      <c r="D38" s="130"/>
      <c r="E38" s="5"/>
    </row>
    <row r="39" spans="1:5">
      <c r="A39" s="558">
        <v>18</v>
      </c>
      <c r="B39" s="76" t="s">
        <v>172</v>
      </c>
      <c r="C39" s="230">
        <f>'2. RC'!E27</f>
        <v>0</v>
      </c>
      <c r="D39" s="130"/>
      <c r="E39" s="5"/>
    </row>
    <row r="40" spans="1:5">
      <c r="A40" s="558">
        <v>19</v>
      </c>
      <c r="B40" s="76" t="s">
        <v>173</v>
      </c>
      <c r="C40" s="230">
        <f>'2. RC'!E28</f>
        <v>15110636</v>
      </c>
      <c r="D40" s="130"/>
      <c r="E40" s="5"/>
    </row>
    <row r="41" spans="1:5">
      <c r="A41" s="558">
        <v>20</v>
      </c>
      <c r="B41" s="76" t="s">
        <v>95</v>
      </c>
      <c r="C41" s="230">
        <f>'2. RC'!E29</f>
        <v>14553449</v>
      </c>
      <c r="D41" s="130"/>
      <c r="E41" s="5"/>
    </row>
    <row r="42" spans="1:5">
      <c r="A42" s="558">
        <v>20.100000000000001</v>
      </c>
      <c r="B42" s="80" t="s">
        <v>486</v>
      </c>
      <c r="C42" s="232">
        <v>899006</v>
      </c>
      <c r="D42" s="212" t="s">
        <v>983</v>
      </c>
      <c r="E42" s="5"/>
    </row>
    <row r="43" spans="1:5">
      <c r="A43" s="558">
        <v>21</v>
      </c>
      <c r="B43" s="79" t="s">
        <v>174</v>
      </c>
      <c r="C43" s="232">
        <f>'2. RC'!E30</f>
        <v>121789200</v>
      </c>
      <c r="D43" s="130"/>
      <c r="E43" s="5"/>
    </row>
    <row r="44" spans="1:5">
      <c r="A44" s="558">
        <v>21.1</v>
      </c>
      <c r="B44" s="80" t="s">
        <v>233</v>
      </c>
      <c r="C44" s="235">
        <f>C43-'9. Capital'!C33</f>
        <v>37473600</v>
      </c>
      <c r="D44" s="212" t="s">
        <v>992</v>
      </c>
      <c r="E44" s="5"/>
    </row>
    <row r="45" spans="1:5">
      <c r="A45" s="558">
        <v>22</v>
      </c>
      <c r="B45" s="81" t="s">
        <v>175</v>
      </c>
      <c r="C45" s="233">
        <f>SUM(C34:C41,C43)</f>
        <v>1120427790</v>
      </c>
      <c r="D45" s="133"/>
      <c r="E45" s="4"/>
    </row>
    <row r="46" spans="1:5">
      <c r="A46" s="558">
        <v>23</v>
      </c>
      <c r="B46" s="79" t="s">
        <v>176</v>
      </c>
      <c r="C46" s="230">
        <f>'2. RC'!E33</f>
        <v>114430000</v>
      </c>
      <c r="D46" s="212" t="s">
        <v>993</v>
      </c>
    </row>
    <row r="47" spans="1:5">
      <c r="A47" s="558">
        <v>24</v>
      </c>
      <c r="B47" s="79" t="s">
        <v>177</v>
      </c>
      <c r="C47" s="230">
        <f>'2. RC'!E34</f>
        <v>0</v>
      </c>
      <c r="D47" s="130"/>
    </row>
    <row r="48" spans="1:5">
      <c r="A48" s="558">
        <v>25</v>
      </c>
      <c r="B48" s="79" t="s">
        <v>232</v>
      </c>
      <c r="C48" s="230">
        <f>'2. RC'!E35</f>
        <v>0</v>
      </c>
      <c r="D48" s="130"/>
    </row>
    <row r="49" spans="1:4">
      <c r="A49" s="558">
        <v>26</v>
      </c>
      <c r="B49" s="79" t="s">
        <v>179</v>
      </c>
      <c r="C49" s="230">
        <f>'2. RC'!E36</f>
        <v>0</v>
      </c>
      <c r="D49" s="130"/>
    </row>
    <row r="50" spans="1:4">
      <c r="A50" s="558">
        <v>27</v>
      </c>
      <c r="B50" s="79" t="s">
        <v>180</v>
      </c>
      <c r="C50" s="230">
        <f>'2. RC'!E37</f>
        <v>7438034</v>
      </c>
      <c r="D50" s="130"/>
    </row>
    <row r="51" spans="1:4">
      <c r="A51" s="558">
        <v>27.1</v>
      </c>
      <c r="B51" s="566" t="s">
        <v>994</v>
      </c>
      <c r="C51" s="565">
        <v>6838034</v>
      </c>
      <c r="D51" s="212" t="s">
        <v>995</v>
      </c>
    </row>
    <row r="52" spans="1:4">
      <c r="A52" s="558">
        <v>27.2</v>
      </c>
      <c r="B52" s="566" t="s">
        <v>996</v>
      </c>
      <c r="C52" s="565">
        <v>600000</v>
      </c>
      <c r="D52" s="212" t="s">
        <v>995</v>
      </c>
    </row>
    <row r="53" spans="1:4">
      <c r="A53" s="558">
        <v>28</v>
      </c>
      <c r="B53" s="79" t="s">
        <v>181</v>
      </c>
      <c r="C53" s="230">
        <f>'2. RC'!E38</f>
        <v>60371346</v>
      </c>
      <c r="D53" s="212" t="s">
        <v>997</v>
      </c>
    </row>
    <row r="54" spans="1:4">
      <c r="A54" s="558">
        <v>29</v>
      </c>
      <c r="B54" s="79" t="s">
        <v>35</v>
      </c>
      <c r="C54" s="230">
        <f>'2. RC'!E39</f>
        <v>-251711</v>
      </c>
      <c r="D54" s="130"/>
    </row>
    <row r="55" spans="1:4" ht="16.5" thickBot="1">
      <c r="A55" s="136">
        <v>30</v>
      </c>
      <c r="B55" s="137" t="s">
        <v>182</v>
      </c>
      <c r="C55" s="236">
        <f>SUM(C46:C50,C53:C54)</f>
        <v>181987669</v>
      </c>
      <c r="D55" s="13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O8" activePane="bottomRight" state="frozen"/>
      <selection pane="topRight"/>
      <selection pane="bottomLeft"/>
      <selection pane="bottomRight"/>
    </sheetView>
  </sheetViews>
  <sheetFormatPr defaultColWidth="9.28515625" defaultRowHeight="12.75"/>
  <cols>
    <col min="1" max="1" width="10.5703125" style="1" bestFit="1" customWidth="1"/>
    <col min="2" max="2" width="95" style="1" customWidth="1"/>
    <col min="3" max="12" width="12.140625" style="1" customWidth="1"/>
    <col min="13" max="13" width="13.7109375" style="1" customWidth="1"/>
    <col min="14" max="18" width="12.140625" style="1" customWidth="1"/>
    <col min="19" max="19" width="26" style="1" customWidth="1"/>
    <col min="20" max="16384" width="9.28515625" style="9"/>
  </cols>
  <sheetData>
    <row r="1" spans="1:19">
      <c r="A1" s="1" t="s">
        <v>188</v>
      </c>
      <c r="B1" s="1" t="str">
        <f>Info!C2</f>
        <v>სს "ბანკი ქართუ"</v>
      </c>
    </row>
    <row r="2" spans="1:19">
      <c r="A2" s="1" t="s">
        <v>189</v>
      </c>
      <c r="B2" s="390">
        <f>'1. key ratios'!B2</f>
        <v>44469</v>
      </c>
    </row>
    <row r="4" spans="1:19" ht="26.25" thickBot="1">
      <c r="A4" s="60" t="s">
        <v>415</v>
      </c>
      <c r="B4" s="255" t="s">
        <v>457</v>
      </c>
    </row>
    <row r="5" spans="1:19">
      <c r="A5" s="119"/>
      <c r="B5" s="121"/>
      <c r="C5" s="105" t="s">
        <v>0</v>
      </c>
      <c r="D5" s="105" t="s">
        <v>1</v>
      </c>
      <c r="E5" s="105" t="s">
        <v>2</v>
      </c>
      <c r="F5" s="105" t="s">
        <v>3</v>
      </c>
      <c r="G5" s="105" t="s">
        <v>4</v>
      </c>
      <c r="H5" s="105" t="s">
        <v>5</v>
      </c>
      <c r="I5" s="105" t="s">
        <v>238</v>
      </c>
      <c r="J5" s="105" t="s">
        <v>239</v>
      </c>
      <c r="K5" s="105" t="s">
        <v>240</v>
      </c>
      <c r="L5" s="105" t="s">
        <v>241</v>
      </c>
      <c r="M5" s="105" t="s">
        <v>242</v>
      </c>
      <c r="N5" s="105" t="s">
        <v>243</v>
      </c>
      <c r="O5" s="105" t="s">
        <v>444</v>
      </c>
      <c r="P5" s="105" t="s">
        <v>445</v>
      </c>
      <c r="Q5" s="105" t="s">
        <v>446</v>
      </c>
      <c r="R5" s="250" t="s">
        <v>447</v>
      </c>
      <c r="S5" s="106" t="s">
        <v>448</v>
      </c>
    </row>
    <row r="6" spans="1:19" ht="46.5" customHeight="1">
      <c r="A6" s="142"/>
      <c r="B6" s="709" t="s">
        <v>449</v>
      </c>
      <c r="C6" s="707">
        <v>0</v>
      </c>
      <c r="D6" s="708"/>
      <c r="E6" s="707">
        <v>0.2</v>
      </c>
      <c r="F6" s="708"/>
      <c r="G6" s="707">
        <v>0.35</v>
      </c>
      <c r="H6" s="708"/>
      <c r="I6" s="707">
        <v>0.5</v>
      </c>
      <c r="J6" s="708"/>
      <c r="K6" s="707">
        <v>0.75</v>
      </c>
      <c r="L6" s="708"/>
      <c r="M6" s="707">
        <v>1</v>
      </c>
      <c r="N6" s="708"/>
      <c r="O6" s="707">
        <v>1.5</v>
      </c>
      <c r="P6" s="708"/>
      <c r="Q6" s="707">
        <v>2.5</v>
      </c>
      <c r="R6" s="708"/>
      <c r="S6" s="705" t="s">
        <v>251</v>
      </c>
    </row>
    <row r="7" spans="1:19">
      <c r="A7" s="142"/>
      <c r="B7" s="710"/>
      <c r="C7" s="254" t="s">
        <v>442</v>
      </c>
      <c r="D7" s="254" t="s">
        <v>443</v>
      </c>
      <c r="E7" s="254" t="s">
        <v>442</v>
      </c>
      <c r="F7" s="254" t="s">
        <v>443</v>
      </c>
      <c r="G7" s="254" t="s">
        <v>442</v>
      </c>
      <c r="H7" s="254" t="s">
        <v>443</v>
      </c>
      <c r="I7" s="254" t="s">
        <v>442</v>
      </c>
      <c r="J7" s="254" t="s">
        <v>443</v>
      </c>
      <c r="K7" s="254" t="s">
        <v>442</v>
      </c>
      <c r="L7" s="254" t="s">
        <v>443</v>
      </c>
      <c r="M7" s="254" t="s">
        <v>442</v>
      </c>
      <c r="N7" s="254" t="s">
        <v>443</v>
      </c>
      <c r="O7" s="254" t="s">
        <v>442</v>
      </c>
      <c r="P7" s="254" t="s">
        <v>443</v>
      </c>
      <c r="Q7" s="254" t="s">
        <v>442</v>
      </c>
      <c r="R7" s="254" t="s">
        <v>443</v>
      </c>
      <c r="S7" s="706"/>
    </row>
    <row r="8" spans="1:19">
      <c r="A8" s="109">
        <v>1</v>
      </c>
      <c r="B8" s="163" t="s">
        <v>216</v>
      </c>
      <c r="C8" s="569">
        <v>50833681</v>
      </c>
      <c r="D8" s="569"/>
      <c r="E8" s="569"/>
      <c r="F8" s="570"/>
      <c r="G8" s="569"/>
      <c r="H8" s="569"/>
      <c r="I8" s="569"/>
      <c r="J8" s="569"/>
      <c r="K8" s="569"/>
      <c r="L8" s="569"/>
      <c r="M8" s="569">
        <v>198339911</v>
      </c>
      <c r="N8" s="569"/>
      <c r="O8" s="569"/>
      <c r="P8" s="569"/>
      <c r="Q8" s="569"/>
      <c r="R8" s="570"/>
      <c r="S8" s="571">
        <f>$C$6*SUM(C8:D8)+$E$6*SUM(E8:F8)+$G$6*SUM(G8:H8)+$I$6*SUM(I8:J8)+$K$6*SUM(K8:L8)+$M$6*SUM(M8:N8)+$O$6*SUM(O8:P8)+$Q$6*SUM(Q8:R8)</f>
        <v>198339911</v>
      </c>
    </row>
    <row r="9" spans="1:19">
      <c r="A9" s="109">
        <v>2</v>
      </c>
      <c r="B9" s="163" t="s">
        <v>217</v>
      </c>
      <c r="C9" s="569"/>
      <c r="D9" s="569"/>
      <c r="E9" s="569"/>
      <c r="F9" s="569"/>
      <c r="G9" s="569"/>
      <c r="H9" s="569"/>
      <c r="I9" s="569"/>
      <c r="J9" s="569"/>
      <c r="K9" s="569"/>
      <c r="L9" s="569"/>
      <c r="M9" s="569">
        <v>0</v>
      </c>
      <c r="N9" s="569"/>
      <c r="O9" s="569"/>
      <c r="P9" s="569"/>
      <c r="Q9" s="569"/>
      <c r="R9" s="570"/>
      <c r="S9" s="571">
        <f t="shared" ref="S9:S21" si="0">$C$6*SUM(C9:D9)+$E$6*SUM(E9:F9)+$G$6*SUM(G9:H9)+$I$6*SUM(I9:J9)+$K$6*SUM(K9:L9)+$M$6*SUM(M9:N9)+$O$6*SUM(O9:P9)+$Q$6*SUM(Q9:R9)</f>
        <v>0</v>
      </c>
    </row>
    <row r="10" spans="1:19">
      <c r="A10" s="109">
        <v>3</v>
      </c>
      <c r="B10" s="163" t="s">
        <v>218</v>
      </c>
      <c r="C10" s="569"/>
      <c r="D10" s="569"/>
      <c r="E10" s="569"/>
      <c r="F10" s="569"/>
      <c r="G10" s="569"/>
      <c r="H10" s="569"/>
      <c r="I10" s="569"/>
      <c r="J10" s="569"/>
      <c r="K10" s="569"/>
      <c r="L10" s="569"/>
      <c r="M10" s="569">
        <v>0</v>
      </c>
      <c r="N10" s="569"/>
      <c r="O10" s="569"/>
      <c r="P10" s="569"/>
      <c r="Q10" s="569"/>
      <c r="R10" s="570"/>
      <c r="S10" s="571">
        <f t="shared" si="0"/>
        <v>0</v>
      </c>
    </row>
    <row r="11" spans="1:19">
      <c r="A11" s="109">
        <v>4</v>
      </c>
      <c r="B11" s="163" t="s">
        <v>219</v>
      </c>
      <c r="C11" s="569"/>
      <c r="D11" s="569"/>
      <c r="E11" s="569"/>
      <c r="F11" s="569"/>
      <c r="G11" s="569"/>
      <c r="H11" s="569"/>
      <c r="I11" s="569"/>
      <c r="J11" s="569"/>
      <c r="K11" s="569"/>
      <c r="L11" s="569"/>
      <c r="M11" s="569">
        <v>0</v>
      </c>
      <c r="N11" s="569"/>
      <c r="O11" s="569"/>
      <c r="P11" s="569"/>
      <c r="Q11" s="569"/>
      <c r="R11" s="570"/>
      <c r="S11" s="571">
        <f t="shared" si="0"/>
        <v>0</v>
      </c>
    </row>
    <row r="12" spans="1:19">
      <c r="A12" s="109">
        <v>5</v>
      </c>
      <c r="B12" s="163" t="s">
        <v>220</v>
      </c>
      <c r="C12" s="569"/>
      <c r="D12" s="569"/>
      <c r="E12" s="569"/>
      <c r="F12" s="569"/>
      <c r="G12" s="569"/>
      <c r="H12" s="569"/>
      <c r="I12" s="569"/>
      <c r="J12" s="569"/>
      <c r="K12" s="569"/>
      <c r="L12" s="569"/>
      <c r="M12" s="569">
        <v>0</v>
      </c>
      <c r="N12" s="569"/>
      <c r="O12" s="569"/>
      <c r="P12" s="569"/>
      <c r="Q12" s="569"/>
      <c r="R12" s="570"/>
      <c r="S12" s="571">
        <f t="shared" si="0"/>
        <v>0</v>
      </c>
    </row>
    <row r="13" spans="1:19">
      <c r="A13" s="109">
        <v>6</v>
      </c>
      <c r="B13" s="163" t="s">
        <v>221</v>
      </c>
      <c r="C13" s="569">
        <v>0</v>
      </c>
      <c r="D13" s="569"/>
      <c r="E13" s="569">
        <v>97826171.640000001</v>
      </c>
      <c r="F13" s="569"/>
      <c r="G13" s="569"/>
      <c r="H13" s="569"/>
      <c r="I13" s="569">
        <v>14074228.230000002</v>
      </c>
      <c r="J13" s="569"/>
      <c r="K13" s="569"/>
      <c r="L13" s="569"/>
      <c r="M13" s="569">
        <v>151265.12999999709</v>
      </c>
      <c r="N13" s="569"/>
      <c r="O13" s="569">
        <v>0</v>
      </c>
      <c r="P13" s="569"/>
      <c r="Q13" s="569"/>
      <c r="R13" s="570"/>
      <c r="S13" s="571">
        <f t="shared" si="0"/>
        <v>26753613.572999999</v>
      </c>
    </row>
    <row r="14" spans="1:19">
      <c r="A14" s="109">
        <v>7</v>
      </c>
      <c r="B14" s="163" t="s">
        <v>73</v>
      </c>
      <c r="C14" s="569"/>
      <c r="D14" s="569"/>
      <c r="E14" s="569"/>
      <c r="F14" s="569"/>
      <c r="G14" s="569"/>
      <c r="H14" s="569"/>
      <c r="I14" s="569"/>
      <c r="J14" s="569"/>
      <c r="K14" s="569"/>
      <c r="L14" s="569"/>
      <c r="M14" s="569">
        <v>689983553.19279993</v>
      </c>
      <c r="N14" s="569">
        <v>41690676.022525899</v>
      </c>
      <c r="O14" s="569">
        <v>0</v>
      </c>
      <c r="P14" s="569"/>
      <c r="Q14" s="569">
        <v>0</v>
      </c>
      <c r="R14" s="570">
        <v>0</v>
      </c>
      <c r="S14" s="571">
        <f t="shared" si="0"/>
        <v>731674229.21532583</v>
      </c>
    </row>
    <row r="15" spans="1:19">
      <c r="A15" s="109">
        <v>8</v>
      </c>
      <c r="B15" s="163" t="s">
        <v>74</v>
      </c>
      <c r="C15" s="569"/>
      <c r="D15" s="569"/>
      <c r="E15" s="569"/>
      <c r="F15" s="569"/>
      <c r="G15" s="569"/>
      <c r="H15" s="569"/>
      <c r="I15" s="569"/>
      <c r="J15" s="569"/>
      <c r="K15" s="569"/>
      <c r="L15" s="569"/>
      <c r="M15" s="569"/>
      <c r="N15" s="569"/>
      <c r="O15" s="569"/>
      <c r="P15" s="569"/>
      <c r="Q15" s="569"/>
      <c r="R15" s="570"/>
      <c r="S15" s="571">
        <f t="shared" si="0"/>
        <v>0</v>
      </c>
    </row>
    <row r="16" spans="1:19">
      <c r="A16" s="109">
        <v>9</v>
      </c>
      <c r="B16" s="163" t="s">
        <v>75</v>
      </c>
      <c r="C16" s="569"/>
      <c r="D16" s="569"/>
      <c r="E16" s="569"/>
      <c r="F16" s="569"/>
      <c r="G16" s="569"/>
      <c r="H16" s="569"/>
      <c r="I16" s="569"/>
      <c r="J16" s="569"/>
      <c r="K16" s="569"/>
      <c r="L16" s="569"/>
      <c r="M16" s="569">
        <v>0</v>
      </c>
      <c r="N16" s="569"/>
      <c r="O16" s="569"/>
      <c r="P16" s="569"/>
      <c r="Q16" s="569"/>
      <c r="R16" s="570"/>
      <c r="S16" s="571">
        <f t="shared" si="0"/>
        <v>0</v>
      </c>
    </row>
    <row r="17" spans="1:19">
      <c r="A17" s="109">
        <v>10</v>
      </c>
      <c r="B17" s="163" t="s">
        <v>69</v>
      </c>
      <c r="C17" s="569"/>
      <c r="D17" s="569"/>
      <c r="E17" s="569"/>
      <c r="F17" s="569"/>
      <c r="G17" s="569"/>
      <c r="H17" s="569"/>
      <c r="I17" s="569"/>
      <c r="J17" s="569"/>
      <c r="K17" s="569"/>
      <c r="L17" s="569"/>
      <c r="M17" s="569">
        <v>150109111.57157198</v>
      </c>
      <c r="N17" s="569">
        <v>368573.14050000301</v>
      </c>
      <c r="O17" s="569">
        <v>0</v>
      </c>
      <c r="P17" s="569"/>
      <c r="Q17" s="569">
        <v>0</v>
      </c>
      <c r="R17" s="570"/>
      <c r="S17" s="571">
        <f t="shared" si="0"/>
        <v>150477684.71207199</v>
      </c>
    </row>
    <row r="18" spans="1:19">
      <c r="A18" s="109">
        <v>11</v>
      </c>
      <c r="B18" s="163" t="s">
        <v>70</v>
      </c>
      <c r="C18" s="569"/>
      <c r="D18" s="569"/>
      <c r="E18" s="569"/>
      <c r="F18" s="569"/>
      <c r="G18" s="569"/>
      <c r="H18" s="569"/>
      <c r="I18" s="569"/>
      <c r="J18" s="569"/>
      <c r="K18" s="569"/>
      <c r="L18" s="569"/>
      <c r="M18" s="569">
        <v>0</v>
      </c>
      <c r="N18" s="569"/>
      <c r="O18" s="569"/>
      <c r="P18" s="569"/>
      <c r="Q18" s="569"/>
      <c r="R18" s="570"/>
      <c r="S18" s="571">
        <f t="shared" si="0"/>
        <v>0</v>
      </c>
    </row>
    <row r="19" spans="1:19">
      <c r="A19" s="109">
        <v>12</v>
      </c>
      <c r="B19" s="163" t="s">
        <v>71</v>
      </c>
      <c r="C19" s="569"/>
      <c r="D19" s="569"/>
      <c r="E19" s="569"/>
      <c r="F19" s="569"/>
      <c r="G19" s="569"/>
      <c r="H19" s="569"/>
      <c r="I19" s="569"/>
      <c r="J19" s="569"/>
      <c r="K19" s="569"/>
      <c r="L19" s="569"/>
      <c r="M19" s="569">
        <v>0</v>
      </c>
      <c r="N19" s="569"/>
      <c r="O19" s="569"/>
      <c r="P19" s="569"/>
      <c r="Q19" s="569"/>
      <c r="R19" s="570"/>
      <c r="S19" s="571">
        <f t="shared" si="0"/>
        <v>0</v>
      </c>
    </row>
    <row r="20" spans="1:19">
      <c r="A20" s="109">
        <v>13</v>
      </c>
      <c r="B20" s="163" t="s">
        <v>72</v>
      </c>
      <c r="C20" s="569"/>
      <c r="D20" s="569"/>
      <c r="E20" s="569"/>
      <c r="F20" s="569"/>
      <c r="G20" s="569"/>
      <c r="H20" s="569"/>
      <c r="I20" s="569"/>
      <c r="J20" s="569"/>
      <c r="K20" s="569"/>
      <c r="L20" s="569"/>
      <c r="M20" s="569">
        <v>0</v>
      </c>
      <c r="N20" s="569"/>
      <c r="O20" s="569"/>
      <c r="P20" s="569"/>
      <c r="Q20" s="569"/>
      <c r="R20" s="570"/>
      <c r="S20" s="571">
        <f t="shared" si="0"/>
        <v>0</v>
      </c>
    </row>
    <row r="21" spans="1:19">
      <c r="A21" s="109">
        <v>14</v>
      </c>
      <c r="B21" s="163" t="s">
        <v>249</v>
      </c>
      <c r="C21" s="569">
        <v>35824182</v>
      </c>
      <c r="D21" s="569"/>
      <c r="E21" s="569">
        <v>0</v>
      </c>
      <c r="F21" s="569"/>
      <c r="G21" s="569"/>
      <c r="H21" s="569">
        <v>0</v>
      </c>
      <c r="I21" s="569">
        <v>0</v>
      </c>
      <c r="J21" s="569"/>
      <c r="K21" s="569"/>
      <c r="L21" s="569"/>
      <c r="M21" s="569">
        <v>54441295.679618008</v>
      </c>
      <c r="N21" s="569">
        <v>758293.65995000047</v>
      </c>
      <c r="O21" s="569">
        <v>0</v>
      </c>
      <c r="P21" s="569"/>
      <c r="Q21" s="569">
        <v>16061091</v>
      </c>
      <c r="R21" s="570"/>
      <c r="S21" s="571">
        <f t="shared" si="0"/>
        <v>95352316.839568019</v>
      </c>
    </row>
    <row r="22" spans="1:19" ht="13.5" thickBot="1">
      <c r="A22" s="92"/>
      <c r="B22" s="147" t="s">
        <v>68</v>
      </c>
      <c r="C22" s="238">
        <f>SUM(C8:C21)</f>
        <v>86657863</v>
      </c>
      <c r="D22" s="238">
        <f t="shared" ref="D22:S22" si="1">SUM(D8:D21)</f>
        <v>0</v>
      </c>
      <c r="E22" s="238">
        <f t="shared" si="1"/>
        <v>97826171.640000001</v>
      </c>
      <c r="F22" s="238">
        <f t="shared" si="1"/>
        <v>0</v>
      </c>
      <c r="G22" s="238">
        <f t="shared" si="1"/>
        <v>0</v>
      </c>
      <c r="H22" s="238">
        <f t="shared" si="1"/>
        <v>0</v>
      </c>
      <c r="I22" s="238">
        <f t="shared" si="1"/>
        <v>14074228.230000002</v>
      </c>
      <c r="J22" s="238">
        <f t="shared" si="1"/>
        <v>0</v>
      </c>
      <c r="K22" s="238">
        <f t="shared" si="1"/>
        <v>0</v>
      </c>
      <c r="L22" s="238">
        <f t="shared" si="1"/>
        <v>0</v>
      </c>
      <c r="M22" s="238">
        <f t="shared" si="1"/>
        <v>1093025136.5739899</v>
      </c>
      <c r="N22" s="238">
        <f t="shared" si="1"/>
        <v>42817542.822975904</v>
      </c>
      <c r="O22" s="238">
        <f t="shared" si="1"/>
        <v>0</v>
      </c>
      <c r="P22" s="238">
        <f t="shared" si="1"/>
        <v>0</v>
      </c>
      <c r="Q22" s="238">
        <f t="shared" si="1"/>
        <v>16061091</v>
      </c>
      <c r="R22" s="238">
        <f t="shared" si="1"/>
        <v>0</v>
      </c>
      <c r="S22" s="572">
        <f t="shared" si="1"/>
        <v>1202597755.3399658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C7" activePane="bottomRight" state="frozen"/>
      <selection pane="topRight"/>
      <selection pane="bottomLeft"/>
      <selection pane="bottomRight"/>
    </sheetView>
  </sheetViews>
  <sheetFormatPr defaultColWidth="9.28515625" defaultRowHeight="12.75"/>
  <cols>
    <col min="1" max="1" width="10.5703125" style="1" bestFit="1" customWidth="1"/>
    <col min="2" max="2" width="74.5703125" style="1" customWidth="1"/>
    <col min="3" max="3" width="19" style="1" customWidth="1"/>
    <col min="4" max="4" width="19.5703125" style="1" customWidth="1"/>
    <col min="5" max="5" width="31.28515625" style="1" customWidth="1"/>
    <col min="6" max="6" width="29.28515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71093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28515625" style="1" customWidth="1"/>
    <col min="22" max="22" width="20" style="1" customWidth="1"/>
    <col min="23" max="16384" width="9.28515625" style="9"/>
  </cols>
  <sheetData>
    <row r="1" spans="1:22">
      <c r="A1" s="1" t="s">
        <v>188</v>
      </c>
      <c r="B1" s="1" t="str">
        <f>Info!C2</f>
        <v>სს "ბანკი ქართუ"</v>
      </c>
    </row>
    <row r="2" spans="1:22">
      <c r="A2" s="1" t="s">
        <v>189</v>
      </c>
      <c r="B2" s="390">
        <f>'1. key ratios'!B2</f>
        <v>44469</v>
      </c>
    </row>
    <row r="4" spans="1:22" ht="27.75" thickBot="1">
      <c r="A4" s="1" t="s">
        <v>416</v>
      </c>
      <c r="B4" s="255" t="s">
        <v>458</v>
      </c>
      <c r="V4" s="188" t="s">
        <v>93</v>
      </c>
    </row>
    <row r="5" spans="1:22">
      <c r="A5" s="90"/>
      <c r="B5" s="91"/>
      <c r="C5" s="711" t="s">
        <v>198</v>
      </c>
      <c r="D5" s="712"/>
      <c r="E5" s="712"/>
      <c r="F5" s="712"/>
      <c r="G5" s="712"/>
      <c r="H5" s="712"/>
      <c r="I5" s="712"/>
      <c r="J5" s="712"/>
      <c r="K5" s="712"/>
      <c r="L5" s="713"/>
      <c r="M5" s="711" t="s">
        <v>199</v>
      </c>
      <c r="N5" s="712"/>
      <c r="O5" s="712"/>
      <c r="P5" s="712"/>
      <c r="Q5" s="712"/>
      <c r="R5" s="712"/>
      <c r="S5" s="713"/>
      <c r="T5" s="716" t="s">
        <v>456</v>
      </c>
      <c r="U5" s="716" t="s">
        <v>455</v>
      </c>
      <c r="V5" s="714" t="s">
        <v>200</v>
      </c>
    </row>
    <row r="6" spans="1:22" s="60" customFormat="1" ht="127.5">
      <c r="A6" s="107"/>
      <c r="B6" s="165"/>
      <c r="C6" s="88" t="s">
        <v>201</v>
      </c>
      <c r="D6" s="87" t="s">
        <v>202</v>
      </c>
      <c r="E6" s="85" t="s">
        <v>203</v>
      </c>
      <c r="F6" s="85" t="s">
        <v>450</v>
      </c>
      <c r="G6" s="87" t="s">
        <v>204</v>
      </c>
      <c r="H6" s="87" t="s">
        <v>205</v>
      </c>
      <c r="I6" s="87" t="s">
        <v>206</v>
      </c>
      <c r="J6" s="87" t="s">
        <v>248</v>
      </c>
      <c r="K6" s="87" t="s">
        <v>207</v>
      </c>
      <c r="L6" s="89" t="s">
        <v>208</v>
      </c>
      <c r="M6" s="88" t="s">
        <v>209</v>
      </c>
      <c r="N6" s="87" t="s">
        <v>210</v>
      </c>
      <c r="O6" s="87" t="s">
        <v>211</v>
      </c>
      <c r="P6" s="87" t="s">
        <v>212</v>
      </c>
      <c r="Q6" s="87" t="s">
        <v>213</v>
      </c>
      <c r="R6" s="87" t="s">
        <v>214</v>
      </c>
      <c r="S6" s="89" t="s">
        <v>215</v>
      </c>
      <c r="T6" s="717"/>
      <c r="U6" s="717"/>
      <c r="V6" s="715"/>
    </row>
    <row r="7" spans="1:22">
      <c r="A7" s="146">
        <v>1</v>
      </c>
      <c r="B7" s="145" t="s">
        <v>216</v>
      </c>
      <c r="C7" s="573"/>
      <c r="D7" s="569"/>
      <c r="E7" s="569"/>
      <c r="F7" s="569"/>
      <c r="G7" s="569"/>
      <c r="H7" s="569"/>
      <c r="I7" s="569"/>
      <c r="J7" s="569"/>
      <c r="K7" s="569"/>
      <c r="L7" s="574"/>
      <c r="M7" s="573"/>
      <c r="N7" s="569"/>
      <c r="O7" s="569"/>
      <c r="P7" s="569"/>
      <c r="Q7" s="569"/>
      <c r="R7" s="569"/>
      <c r="S7" s="574"/>
      <c r="T7" s="252"/>
      <c r="U7" s="575"/>
      <c r="V7" s="576">
        <f>SUM(C7:S7)</f>
        <v>0</v>
      </c>
    </row>
    <row r="8" spans="1:22">
      <c r="A8" s="146">
        <v>2</v>
      </c>
      <c r="B8" s="145" t="s">
        <v>217</v>
      </c>
      <c r="C8" s="573"/>
      <c r="D8" s="569"/>
      <c r="E8" s="569"/>
      <c r="F8" s="569"/>
      <c r="G8" s="569"/>
      <c r="H8" s="569"/>
      <c r="I8" s="569"/>
      <c r="J8" s="569"/>
      <c r="K8" s="569"/>
      <c r="L8" s="574"/>
      <c r="M8" s="573"/>
      <c r="N8" s="569"/>
      <c r="O8" s="569"/>
      <c r="P8" s="569"/>
      <c r="Q8" s="569"/>
      <c r="R8" s="569"/>
      <c r="S8" s="574"/>
      <c r="T8" s="575"/>
      <c r="U8" s="575"/>
      <c r="V8" s="576">
        <f t="shared" ref="V8:V20" si="0">SUM(C8:S8)</f>
        <v>0</v>
      </c>
    </row>
    <row r="9" spans="1:22">
      <c r="A9" s="146">
        <v>3</v>
      </c>
      <c r="B9" s="145" t="s">
        <v>218</v>
      </c>
      <c r="C9" s="573"/>
      <c r="D9" s="569"/>
      <c r="E9" s="569"/>
      <c r="F9" s="569"/>
      <c r="G9" s="569"/>
      <c r="H9" s="569"/>
      <c r="I9" s="569"/>
      <c r="J9" s="569"/>
      <c r="K9" s="569"/>
      <c r="L9" s="574"/>
      <c r="M9" s="573"/>
      <c r="N9" s="569"/>
      <c r="O9" s="569"/>
      <c r="P9" s="569"/>
      <c r="Q9" s="569"/>
      <c r="R9" s="569"/>
      <c r="S9" s="574"/>
      <c r="T9" s="575"/>
      <c r="U9" s="575"/>
      <c r="V9" s="576">
        <f>SUM(C9:S9)</f>
        <v>0</v>
      </c>
    </row>
    <row r="10" spans="1:22">
      <c r="A10" s="146">
        <v>4</v>
      </c>
      <c r="B10" s="145" t="s">
        <v>219</v>
      </c>
      <c r="C10" s="573"/>
      <c r="D10" s="569"/>
      <c r="E10" s="569"/>
      <c r="F10" s="569"/>
      <c r="G10" s="569"/>
      <c r="H10" s="569"/>
      <c r="I10" s="569"/>
      <c r="J10" s="569"/>
      <c r="K10" s="569"/>
      <c r="L10" s="574"/>
      <c r="M10" s="573"/>
      <c r="N10" s="569"/>
      <c r="O10" s="569"/>
      <c r="P10" s="569"/>
      <c r="Q10" s="569"/>
      <c r="R10" s="569"/>
      <c r="S10" s="574"/>
      <c r="T10" s="575"/>
      <c r="U10" s="575"/>
      <c r="V10" s="576">
        <f t="shared" si="0"/>
        <v>0</v>
      </c>
    </row>
    <row r="11" spans="1:22">
      <c r="A11" s="146">
        <v>5</v>
      </c>
      <c r="B11" s="145" t="s">
        <v>220</v>
      </c>
      <c r="C11" s="573"/>
      <c r="D11" s="569"/>
      <c r="E11" s="569"/>
      <c r="F11" s="569"/>
      <c r="G11" s="569"/>
      <c r="H11" s="569"/>
      <c r="I11" s="569"/>
      <c r="J11" s="569"/>
      <c r="K11" s="569"/>
      <c r="L11" s="574"/>
      <c r="M11" s="573"/>
      <c r="N11" s="569"/>
      <c r="O11" s="569"/>
      <c r="P11" s="569"/>
      <c r="Q11" s="569"/>
      <c r="R11" s="569"/>
      <c r="S11" s="574"/>
      <c r="T11" s="575"/>
      <c r="U11" s="575"/>
      <c r="V11" s="576">
        <f t="shared" si="0"/>
        <v>0</v>
      </c>
    </row>
    <row r="12" spans="1:22">
      <c r="A12" s="146">
        <v>6</v>
      </c>
      <c r="B12" s="145" t="s">
        <v>221</v>
      </c>
      <c r="C12" s="573"/>
      <c r="D12" s="569"/>
      <c r="E12" s="569"/>
      <c r="F12" s="569"/>
      <c r="G12" s="569"/>
      <c r="H12" s="569"/>
      <c r="I12" s="569"/>
      <c r="J12" s="569"/>
      <c r="K12" s="569"/>
      <c r="L12" s="574"/>
      <c r="M12" s="573"/>
      <c r="N12" s="569"/>
      <c r="O12" s="569"/>
      <c r="P12" s="569"/>
      <c r="Q12" s="569"/>
      <c r="R12" s="569"/>
      <c r="S12" s="574"/>
      <c r="T12" s="575"/>
      <c r="U12" s="575"/>
      <c r="V12" s="576">
        <f t="shared" si="0"/>
        <v>0</v>
      </c>
    </row>
    <row r="13" spans="1:22">
      <c r="A13" s="146">
        <v>7</v>
      </c>
      <c r="B13" s="145" t="s">
        <v>73</v>
      </c>
      <c r="C13" s="573"/>
      <c r="D13" s="569">
        <v>27302369.407173265</v>
      </c>
      <c r="E13" s="569"/>
      <c r="F13" s="569"/>
      <c r="G13" s="569"/>
      <c r="H13" s="569"/>
      <c r="I13" s="569"/>
      <c r="J13" s="569"/>
      <c r="K13" s="569"/>
      <c r="L13" s="574"/>
      <c r="M13" s="573"/>
      <c r="N13" s="569"/>
      <c r="O13" s="569"/>
      <c r="P13" s="569"/>
      <c r="Q13" s="569"/>
      <c r="R13" s="569"/>
      <c r="S13" s="574"/>
      <c r="T13" s="575">
        <v>26674793.837889355</v>
      </c>
      <c r="U13" s="575">
        <v>627575.56928390998</v>
      </c>
      <c r="V13" s="576">
        <f t="shared" si="0"/>
        <v>27302369.407173265</v>
      </c>
    </row>
    <row r="14" spans="1:22">
      <c r="A14" s="146">
        <v>8</v>
      </c>
      <c r="B14" s="145" t="s">
        <v>74</v>
      </c>
      <c r="C14" s="573"/>
      <c r="D14" s="569"/>
      <c r="E14" s="569"/>
      <c r="F14" s="569"/>
      <c r="G14" s="569"/>
      <c r="H14" s="569"/>
      <c r="I14" s="569"/>
      <c r="J14" s="569"/>
      <c r="K14" s="569"/>
      <c r="L14" s="574"/>
      <c r="M14" s="573"/>
      <c r="N14" s="569"/>
      <c r="O14" s="569"/>
      <c r="P14" s="569"/>
      <c r="Q14" s="569"/>
      <c r="R14" s="569"/>
      <c r="S14" s="574"/>
      <c r="T14" s="575"/>
      <c r="U14" s="575"/>
      <c r="V14" s="576">
        <f t="shared" si="0"/>
        <v>0</v>
      </c>
    </row>
    <row r="15" spans="1:22">
      <c r="A15" s="146">
        <v>9</v>
      </c>
      <c r="B15" s="145" t="s">
        <v>75</v>
      </c>
      <c r="C15" s="573"/>
      <c r="D15" s="569"/>
      <c r="E15" s="569"/>
      <c r="F15" s="569"/>
      <c r="G15" s="569"/>
      <c r="H15" s="569"/>
      <c r="I15" s="569"/>
      <c r="J15" s="569"/>
      <c r="K15" s="569"/>
      <c r="L15" s="574"/>
      <c r="M15" s="573"/>
      <c r="N15" s="569"/>
      <c r="O15" s="569"/>
      <c r="P15" s="569"/>
      <c r="Q15" s="569"/>
      <c r="R15" s="569"/>
      <c r="S15" s="574"/>
      <c r="T15" s="575"/>
      <c r="U15" s="575"/>
      <c r="V15" s="576">
        <f t="shared" si="0"/>
        <v>0</v>
      </c>
    </row>
    <row r="16" spans="1:22">
      <c r="A16" s="146">
        <v>10</v>
      </c>
      <c r="B16" s="145" t="s">
        <v>69</v>
      </c>
      <c r="C16" s="573"/>
      <c r="D16" s="569">
        <v>418416.9998895083</v>
      </c>
      <c r="E16" s="569"/>
      <c r="F16" s="569"/>
      <c r="G16" s="569"/>
      <c r="H16" s="569"/>
      <c r="I16" s="569"/>
      <c r="J16" s="569"/>
      <c r="K16" s="569"/>
      <c r="L16" s="574"/>
      <c r="M16" s="573"/>
      <c r="N16" s="569"/>
      <c r="O16" s="569"/>
      <c r="P16" s="569"/>
      <c r="Q16" s="569"/>
      <c r="R16" s="569"/>
      <c r="S16" s="574"/>
      <c r="T16" s="575">
        <v>418416.9998895083</v>
      </c>
      <c r="U16" s="575"/>
      <c r="V16" s="576">
        <f t="shared" si="0"/>
        <v>418416.9998895083</v>
      </c>
    </row>
    <row r="17" spans="1:22">
      <c r="A17" s="146">
        <v>11</v>
      </c>
      <c r="B17" s="145" t="s">
        <v>70</v>
      </c>
      <c r="C17" s="573"/>
      <c r="D17" s="569"/>
      <c r="E17" s="569"/>
      <c r="F17" s="569"/>
      <c r="G17" s="569"/>
      <c r="H17" s="569"/>
      <c r="I17" s="569"/>
      <c r="J17" s="569"/>
      <c r="K17" s="569"/>
      <c r="L17" s="574"/>
      <c r="M17" s="573"/>
      <c r="N17" s="569"/>
      <c r="O17" s="569"/>
      <c r="P17" s="569"/>
      <c r="Q17" s="569"/>
      <c r="R17" s="569"/>
      <c r="S17" s="574"/>
      <c r="T17" s="575"/>
      <c r="U17" s="575"/>
      <c r="V17" s="576">
        <f t="shared" si="0"/>
        <v>0</v>
      </c>
    </row>
    <row r="18" spans="1:22">
      <c r="A18" s="146">
        <v>12</v>
      </c>
      <c r="B18" s="145" t="s">
        <v>71</v>
      </c>
      <c r="C18" s="573"/>
      <c r="D18" s="569"/>
      <c r="E18" s="569"/>
      <c r="F18" s="569"/>
      <c r="G18" s="569"/>
      <c r="H18" s="569"/>
      <c r="I18" s="569"/>
      <c r="J18" s="569"/>
      <c r="K18" s="569"/>
      <c r="L18" s="574"/>
      <c r="M18" s="573"/>
      <c r="N18" s="569"/>
      <c r="O18" s="569"/>
      <c r="P18" s="569"/>
      <c r="Q18" s="569"/>
      <c r="R18" s="569"/>
      <c r="S18" s="574"/>
      <c r="T18" s="575"/>
      <c r="U18" s="575"/>
      <c r="V18" s="576">
        <f t="shared" si="0"/>
        <v>0</v>
      </c>
    </row>
    <row r="19" spans="1:22">
      <c r="A19" s="146">
        <v>13</v>
      </c>
      <c r="B19" s="145" t="s">
        <v>72</v>
      </c>
      <c r="C19" s="573"/>
      <c r="D19" s="569"/>
      <c r="E19" s="569"/>
      <c r="F19" s="569"/>
      <c r="G19" s="569"/>
      <c r="H19" s="569"/>
      <c r="I19" s="569"/>
      <c r="J19" s="569"/>
      <c r="K19" s="569"/>
      <c r="L19" s="574"/>
      <c r="M19" s="573"/>
      <c r="N19" s="569"/>
      <c r="O19" s="569"/>
      <c r="P19" s="569"/>
      <c r="Q19" s="569"/>
      <c r="R19" s="569"/>
      <c r="S19" s="574"/>
      <c r="T19" s="575"/>
      <c r="U19" s="575"/>
      <c r="V19" s="576">
        <f t="shared" si="0"/>
        <v>0</v>
      </c>
    </row>
    <row r="20" spans="1:22">
      <c r="A20" s="146">
        <v>14</v>
      </c>
      <c r="B20" s="145" t="s">
        <v>249</v>
      </c>
      <c r="C20" s="573"/>
      <c r="D20" s="569">
        <v>1080436.7531748004</v>
      </c>
      <c r="E20" s="569"/>
      <c r="F20" s="569"/>
      <c r="G20" s="569"/>
      <c r="H20" s="569"/>
      <c r="I20" s="569"/>
      <c r="J20" s="569"/>
      <c r="K20" s="569"/>
      <c r="L20" s="574"/>
      <c r="M20" s="573"/>
      <c r="N20" s="569"/>
      <c r="O20" s="569"/>
      <c r="P20" s="569"/>
      <c r="Q20" s="569"/>
      <c r="R20" s="569"/>
      <c r="S20" s="574"/>
      <c r="T20" s="575">
        <v>1079936.6281748004</v>
      </c>
      <c r="U20" s="575">
        <v>500.125</v>
      </c>
      <c r="V20" s="576">
        <f t="shared" si="0"/>
        <v>1080436.7531748004</v>
      </c>
    </row>
    <row r="21" spans="1:22" ht="13.5" thickBot="1">
      <c r="A21" s="92"/>
      <c r="B21" s="93" t="s">
        <v>68</v>
      </c>
      <c r="C21" s="239">
        <f>SUM(C7:C20)</f>
        <v>0</v>
      </c>
      <c r="D21" s="238">
        <f t="shared" ref="D21:V21" si="1">SUM(D7:D20)</f>
        <v>28801223.160237573</v>
      </c>
      <c r="E21" s="238">
        <f t="shared" si="1"/>
        <v>0</v>
      </c>
      <c r="F21" s="238">
        <f t="shared" si="1"/>
        <v>0</v>
      </c>
      <c r="G21" s="238">
        <f t="shared" si="1"/>
        <v>0</v>
      </c>
      <c r="H21" s="238">
        <f t="shared" si="1"/>
        <v>0</v>
      </c>
      <c r="I21" s="238">
        <f t="shared" si="1"/>
        <v>0</v>
      </c>
      <c r="J21" s="238">
        <f t="shared" si="1"/>
        <v>0</v>
      </c>
      <c r="K21" s="238">
        <f t="shared" si="1"/>
        <v>0</v>
      </c>
      <c r="L21" s="240">
        <f t="shared" si="1"/>
        <v>0</v>
      </c>
      <c r="M21" s="239">
        <f t="shared" si="1"/>
        <v>0</v>
      </c>
      <c r="N21" s="238">
        <f t="shared" si="1"/>
        <v>0</v>
      </c>
      <c r="O21" s="238">
        <f t="shared" si="1"/>
        <v>0</v>
      </c>
      <c r="P21" s="238">
        <f t="shared" si="1"/>
        <v>0</v>
      </c>
      <c r="Q21" s="238">
        <f t="shared" si="1"/>
        <v>0</v>
      </c>
      <c r="R21" s="238">
        <f t="shared" si="1"/>
        <v>0</v>
      </c>
      <c r="S21" s="240">
        <f t="shared" si="1"/>
        <v>0</v>
      </c>
      <c r="T21" s="240">
        <f>SUM(T7:T20)</f>
        <v>28173147.465953663</v>
      </c>
      <c r="U21" s="240">
        <f t="shared" si="1"/>
        <v>628075.69428390998</v>
      </c>
      <c r="V21" s="241">
        <f t="shared" si="1"/>
        <v>28801223.160237573</v>
      </c>
    </row>
    <row r="24" spans="1:22">
      <c r="C24" s="64"/>
      <c r="D24" s="64"/>
      <c r="E24" s="64"/>
    </row>
    <row r="25" spans="1:22">
      <c r="A25" s="59"/>
      <c r="B25" s="59"/>
      <c r="D25" s="64"/>
      <c r="E25" s="64"/>
    </row>
    <row r="26" spans="1:22">
      <c r="A26" s="59"/>
      <c r="B26" s="86"/>
      <c r="D26" s="64"/>
      <c r="E26" s="64"/>
    </row>
    <row r="27" spans="1:22">
      <c r="A27" s="59"/>
      <c r="B27" s="59"/>
      <c r="D27" s="64"/>
      <c r="E27" s="64"/>
    </row>
    <row r="28" spans="1:22">
      <c r="A28" s="59"/>
      <c r="B28" s="86"/>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pane="topRight"/>
      <selection pane="bottomLeft"/>
      <selection pane="bottomRight"/>
    </sheetView>
  </sheetViews>
  <sheetFormatPr defaultColWidth="9.28515625" defaultRowHeight="12.75"/>
  <cols>
    <col min="1" max="1" width="10.5703125" style="1" bestFit="1" customWidth="1"/>
    <col min="2" max="2" width="101.7109375" style="1" customWidth="1"/>
    <col min="3" max="3" width="13.7109375" style="1" customWidth="1"/>
    <col min="4" max="4" width="14.7109375" style="1" bestFit="1" customWidth="1"/>
    <col min="5" max="5" width="17.7109375" style="1" customWidth="1"/>
    <col min="6" max="6" width="15.7109375" style="1" customWidth="1"/>
    <col min="7" max="7" width="17.42578125" style="1" customWidth="1"/>
    <col min="8" max="8" width="15.28515625" style="1" customWidth="1"/>
    <col min="9" max="16384" width="9.28515625" style="9"/>
  </cols>
  <sheetData>
    <row r="1" spans="1:9">
      <c r="A1" s="1" t="s">
        <v>188</v>
      </c>
      <c r="B1" s="1" t="str">
        <f>Info!C2</f>
        <v>სს "ბანკი ქართუ"</v>
      </c>
    </row>
    <row r="2" spans="1:9">
      <c r="A2" s="1" t="s">
        <v>189</v>
      </c>
      <c r="B2" s="390">
        <f>'1. key ratios'!B2</f>
        <v>44469</v>
      </c>
    </row>
    <row r="4" spans="1:9" ht="13.5" thickBot="1">
      <c r="A4" s="1" t="s">
        <v>417</v>
      </c>
      <c r="B4" s="52" t="s">
        <v>459</v>
      </c>
    </row>
    <row r="5" spans="1:9">
      <c r="A5" s="90"/>
      <c r="B5" s="143"/>
      <c r="C5" s="148" t="s">
        <v>0</v>
      </c>
      <c r="D5" s="148" t="s">
        <v>1</v>
      </c>
      <c r="E5" s="148" t="s">
        <v>2</v>
      </c>
      <c r="F5" s="148" t="s">
        <v>3</v>
      </c>
      <c r="G5" s="251" t="s">
        <v>4</v>
      </c>
      <c r="H5" s="149" t="s">
        <v>5</v>
      </c>
      <c r="I5" s="19"/>
    </row>
    <row r="6" spans="1:9" ht="15" customHeight="1">
      <c r="A6" s="142"/>
      <c r="B6" s="17"/>
      <c r="C6" s="709" t="s">
        <v>451</v>
      </c>
      <c r="D6" s="720" t="s">
        <v>472</v>
      </c>
      <c r="E6" s="721"/>
      <c r="F6" s="709" t="s">
        <v>478</v>
      </c>
      <c r="G6" s="709" t="s">
        <v>479</v>
      </c>
      <c r="H6" s="718" t="s">
        <v>453</v>
      </c>
      <c r="I6" s="19"/>
    </row>
    <row r="7" spans="1:9" ht="63.75">
      <c r="A7" s="142"/>
      <c r="B7" s="17"/>
      <c r="C7" s="710"/>
      <c r="D7" s="253" t="s">
        <v>454</v>
      </c>
      <c r="E7" s="253" t="s">
        <v>452</v>
      </c>
      <c r="F7" s="710"/>
      <c r="G7" s="710"/>
      <c r="H7" s="719"/>
      <c r="I7" s="19"/>
    </row>
    <row r="8" spans="1:9">
      <c r="A8" s="82">
        <v>1</v>
      </c>
      <c r="B8" s="66" t="s">
        <v>216</v>
      </c>
      <c r="C8" s="569">
        <v>249173592</v>
      </c>
      <c r="D8" s="569"/>
      <c r="E8" s="569"/>
      <c r="F8" s="569">
        <v>198339911</v>
      </c>
      <c r="G8" s="570">
        <v>198339911</v>
      </c>
      <c r="H8" s="577">
        <f>IFERROR(G8/(C8+E8),0)</f>
        <v>0.7959908969807683</v>
      </c>
    </row>
    <row r="9" spans="1:9" ht="15" customHeight="1">
      <c r="A9" s="82">
        <v>2</v>
      </c>
      <c r="B9" s="66" t="s">
        <v>217</v>
      </c>
      <c r="C9" s="569">
        <v>0</v>
      </c>
      <c r="D9" s="569"/>
      <c r="E9" s="569"/>
      <c r="F9" s="569">
        <v>0</v>
      </c>
      <c r="G9" s="570">
        <v>0</v>
      </c>
      <c r="H9" s="577">
        <f t="shared" ref="H9:H22" si="0">IFERROR(G9/(C9+E9),0)</f>
        <v>0</v>
      </c>
    </row>
    <row r="10" spans="1:9">
      <c r="A10" s="82">
        <v>3</v>
      </c>
      <c r="B10" s="66" t="s">
        <v>218</v>
      </c>
      <c r="C10" s="569">
        <v>0</v>
      </c>
      <c r="D10" s="569"/>
      <c r="E10" s="569"/>
      <c r="F10" s="569">
        <v>0</v>
      </c>
      <c r="G10" s="570">
        <v>0</v>
      </c>
      <c r="H10" s="577">
        <f t="shared" si="0"/>
        <v>0</v>
      </c>
    </row>
    <row r="11" spans="1:9">
      <c r="A11" s="82">
        <v>4</v>
      </c>
      <c r="B11" s="66" t="s">
        <v>219</v>
      </c>
      <c r="C11" s="569">
        <v>0</v>
      </c>
      <c r="D11" s="569"/>
      <c r="E11" s="569"/>
      <c r="F11" s="569">
        <v>0</v>
      </c>
      <c r="G11" s="570">
        <v>0</v>
      </c>
      <c r="H11" s="577">
        <f t="shared" si="0"/>
        <v>0</v>
      </c>
    </row>
    <row r="12" spans="1:9">
      <c r="A12" s="82">
        <v>5</v>
      </c>
      <c r="B12" s="66" t="s">
        <v>220</v>
      </c>
      <c r="C12" s="569">
        <v>0</v>
      </c>
      <c r="D12" s="569"/>
      <c r="E12" s="569"/>
      <c r="F12" s="569">
        <v>0</v>
      </c>
      <c r="G12" s="570">
        <v>0</v>
      </c>
      <c r="H12" s="577">
        <f t="shared" si="0"/>
        <v>0</v>
      </c>
    </row>
    <row r="13" spans="1:9">
      <c r="A13" s="82">
        <v>6</v>
      </c>
      <c r="B13" s="66" t="s">
        <v>221</v>
      </c>
      <c r="C13" s="569">
        <v>112051665</v>
      </c>
      <c r="D13" s="569"/>
      <c r="E13" s="569"/>
      <c r="F13" s="569">
        <v>26753613.572999999</v>
      </c>
      <c r="G13" s="570">
        <v>26753613.572999999</v>
      </c>
      <c r="H13" s="577">
        <f t="shared" si="0"/>
        <v>0.23876141039939031</v>
      </c>
    </row>
    <row r="14" spans="1:9">
      <c r="A14" s="82">
        <v>7</v>
      </c>
      <c r="B14" s="66" t="s">
        <v>73</v>
      </c>
      <c r="C14" s="569">
        <v>689983553.19279993</v>
      </c>
      <c r="D14" s="569">
        <v>77206196.500615805</v>
      </c>
      <c r="E14" s="569">
        <v>41690676.022525899</v>
      </c>
      <c r="F14" s="569">
        <v>731674229.21532583</v>
      </c>
      <c r="G14" s="570">
        <v>704371859.80815256</v>
      </c>
      <c r="H14" s="577">
        <f t="shared" si="0"/>
        <v>0.96268507442656093</v>
      </c>
    </row>
    <row r="15" spans="1:9">
      <c r="A15" s="82">
        <v>8</v>
      </c>
      <c r="B15" s="66" t="s">
        <v>74</v>
      </c>
      <c r="C15" s="569">
        <v>0</v>
      </c>
      <c r="D15" s="569"/>
      <c r="E15" s="569">
        <v>0</v>
      </c>
      <c r="F15" s="569">
        <v>0</v>
      </c>
      <c r="G15" s="570">
        <v>0</v>
      </c>
      <c r="H15" s="577">
        <f t="shared" si="0"/>
        <v>0</v>
      </c>
    </row>
    <row r="16" spans="1:9">
      <c r="A16" s="82">
        <v>9</v>
      </c>
      <c r="B16" s="66" t="s">
        <v>75</v>
      </c>
      <c r="C16" s="569">
        <v>0</v>
      </c>
      <c r="D16" s="569"/>
      <c r="E16" s="569">
        <v>0</v>
      </c>
      <c r="F16" s="569">
        <v>0</v>
      </c>
      <c r="G16" s="570">
        <v>0</v>
      </c>
      <c r="H16" s="577">
        <f t="shared" si="0"/>
        <v>0</v>
      </c>
    </row>
    <row r="17" spans="1:8">
      <c r="A17" s="82">
        <v>10</v>
      </c>
      <c r="B17" s="66" t="s">
        <v>69</v>
      </c>
      <c r="C17" s="569">
        <v>150109111.57157198</v>
      </c>
      <c r="D17" s="569">
        <v>737146.28100000601</v>
      </c>
      <c r="E17" s="569">
        <v>368573.14050000301</v>
      </c>
      <c r="F17" s="569">
        <v>150477684.71207199</v>
      </c>
      <c r="G17" s="570">
        <v>150059267.71218246</v>
      </c>
      <c r="H17" s="577">
        <f t="shared" si="0"/>
        <v>0.99721940830834732</v>
      </c>
    </row>
    <row r="18" spans="1:8">
      <c r="A18" s="82">
        <v>11</v>
      </c>
      <c r="B18" s="66" t="s">
        <v>70</v>
      </c>
      <c r="C18" s="569">
        <v>0</v>
      </c>
      <c r="D18" s="569"/>
      <c r="E18" s="569">
        <v>0</v>
      </c>
      <c r="F18" s="569">
        <v>0</v>
      </c>
      <c r="G18" s="570">
        <v>0</v>
      </c>
      <c r="H18" s="577">
        <f t="shared" si="0"/>
        <v>0</v>
      </c>
    </row>
    <row r="19" spans="1:8">
      <c r="A19" s="82">
        <v>12</v>
      </c>
      <c r="B19" s="66" t="s">
        <v>71</v>
      </c>
      <c r="C19" s="569">
        <v>0</v>
      </c>
      <c r="D19" s="569"/>
      <c r="E19" s="569">
        <v>0</v>
      </c>
      <c r="F19" s="569">
        <v>0</v>
      </c>
      <c r="G19" s="570">
        <v>0</v>
      </c>
      <c r="H19" s="577">
        <f t="shared" si="0"/>
        <v>0</v>
      </c>
    </row>
    <row r="20" spans="1:8">
      <c r="A20" s="82">
        <v>13</v>
      </c>
      <c r="B20" s="66" t="s">
        <v>72</v>
      </c>
      <c r="C20" s="569">
        <v>0</v>
      </c>
      <c r="D20" s="569"/>
      <c r="E20" s="569">
        <v>0</v>
      </c>
      <c r="F20" s="569">
        <v>0</v>
      </c>
      <c r="G20" s="570">
        <v>0</v>
      </c>
      <c r="H20" s="577">
        <f t="shared" si="0"/>
        <v>0</v>
      </c>
    </row>
    <row r="21" spans="1:8">
      <c r="A21" s="82">
        <v>14</v>
      </c>
      <c r="B21" s="66" t="s">
        <v>249</v>
      </c>
      <c r="C21" s="569">
        <v>106326568.679618</v>
      </c>
      <c r="D21" s="569">
        <v>1516587.3199000009</v>
      </c>
      <c r="E21" s="569">
        <v>758293.65995000047</v>
      </c>
      <c r="F21" s="569">
        <v>95352316.839568019</v>
      </c>
      <c r="G21" s="570">
        <v>94271880.086393222</v>
      </c>
      <c r="H21" s="577">
        <f t="shared" si="0"/>
        <v>0.88034739949943075</v>
      </c>
    </row>
    <row r="22" spans="1:8" ht="13.5" thickBot="1">
      <c r="A22" s="144"/>
      <c r="B22" s="150" t="s">
        <v>68</v>
      </c>
      <c r="C22" s="238">
        <f>SUM(C8:C21)</f>
        <v>1307644490.4439898</v>
      </c>
      <c r="D22" s="238">
        <f>SUM(D8:D21)</f>
        <v>79459930.101515815</v>
      </c>
      <c r="E22" s="238">
        <f>SUM(E8:E21)</f>
        <v>42817542.822975904</v>
      </c>
      <c r="F22" s="238">
        <f>SUM(F8:F21)</f>
        <v>1202597755.3399658</v>
      </c>
      <c r="G22" s="238">
        <f>SUM(G8:G21)</f>
        <v>1173796532.1797283</v>
      </c>
      <c r="H22" s="256">
        <f t="shared" si="0"/>
        <v>0.86918143810392234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Normal="100" workbookViewId="0">
      <pane xSplit="2" ySplit="6" topLeftCell="C7" activePane="bottomRight" state="frozen"/>
      <selection pane="topRight"/>
      <selection pane="bottomLeft"/>
      <selection pane="bottomRight"/>
    </sheetView>
  </sheetViews>
  <sheetFormatPr defaultColWidth="9.28515625" defaultRowHeight="12.75"/>
  <cols>
    <col min="1" max="1" width="10.5703125" style="1" bestFit="1" customWidth="1"/>
    <col min="2" max="2" width="104.28515625" style="1" customWidth="1"/>
    <col min="3" max="3" width="12.7109375" style="1" customWidth="1"/>
    <col min="4" max="5" width="13.5703125" style="1" bestFit="1" customWidth="1"/>
    <col min="6" max="11" width="12.7109375" style="1" customWidth="1"/>
    <col min="12" max="16384" width="9.28515625" style="1"/>
  </cols>
  <sheetData>
    <row r="1" spans="1:11">
      <c r="A1" s="1" t="s">
        <v>188</v>
      </c>
      <c r="B1" s="1" t="str">
        <f>Info!C2</f>
        <v>სს "ბანკი ქართუ"</v>
      </c>
    </row>
    <row r="2" spans="1:11">
      <c r="A2" s="1" t="s">
        <v>189</v>
      </c>
      <c r="B2" s="390">
        <f>'1. key ratios'!B2</f>
        <v>44469</v>
      </c>
    </row>
    <row r="4" spans="1:11" ht="13.5" thickBot="1">
      <c r="A4" s="1" t="s">
        <v>521</v>
      </c>
      <c r="B4" s="52" t="s">
        <v>520</v>
      </c>
    </row>
    <row r="5" spans="1:11" ht="30" customHeight="1">
      <c r="A5" s="725"/>
      <c r="B5" s="726"/>
      <c r="C5" s="723" t="s">
        <v>553</v>
      </c>
      <c r="D5" s="723"/>
      <c r="E5" s="723"/>
      <c r="F5" s="723" t="s">
        <v>554</v>
      </c>
      <c r="G5" s="723"/>
      <c r="H5" s="723"/>
      <c r="I5" s="723" t="s">
        <v>555</v>
      </c>
      <c r="J5" s="723"/>
      <c r="K5" s="724"/>
    </row>
    <row r="6" spans="1:11">
      <c r="A6" s="277"/>
      <c r="B6" s="278"/>
      <c r="C6" s="279" t="s">
        <v>27</v>
      </c>
      <c r="D6" s="279" t="s">
        <v>96</v>
      </c>
      <c r="E6" s="279" t="s">
        <v>68</v>
      </c>
      <c r="F6" s="279" t="s">
        <v>27</v>
      </c>
      <c r="G6" s="279" t="s">
        <v>96</v>
      </c>
      <c r="H6" s="279" t="s">
        <v>68</v>
      </c>
      <c r="I6" s="279" t="s">
        <v>27</v>
      </c>
      <c r="J6" s="279" t="s">
        <v>96</v>
      </c>
      <c r="K6" s="280" t="s">
        <v>68</v>
      </c>
    </row>
    <row r="7" spans="1:11">
      <c r="A7" s="281" t="s">
        <v>491</v>
      </c>
      <c r="B7" s="276"/>
      <c r="C7" s="276"/>
      <c r="D7" s="276"/>
      <c r="E7" s="276"/>
      <c r="F7" s="276"/>
      <c r="G7" s="276"/>
      <c r="H7" s="276"/>
      <c r="I7" s="276"/>
      <c r="J7" s="276"/>
      <c r="K7" s="282"/>
    </row>
    <row r="8" spans="1:11">
      <c r="A8" s="275">
        <v>1</v>
      </c>
      <c r="B8" s="261" t="s">
        <v>491</v>
      </c>
      <c r="C8" s="495"/>
      <c r="D8" s="495"/>
      <c r="E8" s="495"/>
      <c r="F8" s="417">
        <v>85953554.776521742</v>
      </c>
      <c r="G8" s="578">
        <v>280753168.72413123</v>
      </c>
      <c r="H8" s="578">
        <v>366706723.50065273</v>
      </c>
      <c r="I8" s="578">
        <v>56849803.038152173</v>
      </c>
      <c r="J8" s="578">
        <v>217854460.53163123</v>
      </c>
      <c r="K8" s="579">
        <v>274704263.56978321</v>
      </c>
    </row>
    <row r="9" spans="1:11">
      <c r="A9" s="281" t="s">
        <v>492</v>
      </c>
      <c r="B9" s="276"/>
      <c r="C9" s="276"/>
      <c r="D9" s="276"/>
      <c r="E9" s="276"/>
      <c r="F9" s="276"/>
      <c r="G9" s="276"/>
      <c r="H9" s="276"/>
      <c r="I9" s="276"/>
      <c r="J9" s="276"/>
      <c r="K9" s="282"/>
    </row>
    <row r="10" spans="1:11">
      <c r="A10" s="283">
        <v>2</v>
      </c>
      <c r="B10" s="262" t="s">
        <v>493</v>
      </c>
      <c r="C10" s="417">
        <v>20663352.201673012</v>
      </c>
      <c r="D10" s="578">
        <v>255434483.23871842</v>
      </c>
      <c r="E10" s="578">
        <v>276097835.44039148</v>
      </c>
      <c r="F10" s="417">
        <v>3780586.2704938417</v>
      </c>
      <c r="G10" s="578">
        <v>31049231.477591928</v>
      </c>
      <c r="H10" s="578">
        <v>34829817.748085745</v>
      </c>
      <c r="I10" s="417">
        <v>773639.88437278103</v>
      </c>
      <c r="J10" s="578">
        <v>3821300.6818594141</v>
      </c>
      <c r="K10" s="579">
        <v>4594940.5662321942</v>
      </c>
    </row>
    <row r="11" spans="1:11">
      <c r="A11" s="283">
        <v>3</v>
      </c>
      <c r="B11" s="262" t="s">
        <v>494</v>
      </c>
      <c r="C11" s="417">
        <v>126693746.4637609</v>
      </c>
      <c r="D11" s="578">
        <v>672890068.17702174</v>
      </c>
      <c r="E11" s="578">
        <v>799583814.64078271</v>
      </c>
      <c r="F11" s="417">
        <v>30506430.080521751</v>
      </c>
      <c r="G11" s="578">
        <v>117392615.23727293</v>
      </c>
      <c r="H11" s="578">
        <v>147899045.31779459</v>
      </c>
      <c r="I11" s="417">
        <v>25343697.439576086</v>
      </c>
      <c r="J11" s="578">
        <v>59566145.077394456</v>
      </c>
      <c r="K11" s="579">
        <v>84909842.516970545</v>
      </c>
    </row>
    <row r="12" spans="1:11">
      <c r="A12" s="283">
        <v>4</v>
      </c>
      <c r="B12" s="262" t="s">
        <v>495</v>
      </c>
      <c r="C12" s="417">
        <v>0</v>
      </c>
      <c r="D12" s="578">
        <v>0</v>
      </c>
      <c r="E12" s="578">
        <v>0</v>
      </c>
      <c r="F12" s="417">
        <v>0</v>
      </c>
      <c r="G12" s="578">
        <v>0</v>
      </c>
      <c r="H12" s="578">
        <v>0</v>
      </c>
      <c r="I12" s="417">
        <v>0</v>
      </c>
      <c r="J12" s="578">
        <v>0</v>
      </c>
      <c r="K12" s="579">
        <v>0</v>
      </c>
    </row>
    <row r="13" spans="1:11">
      <c r="A13" s="283">
        <v>5</v>
      </c>
      <c r="B13" s="262" t="s">
        <v>496</v>
      </c>
      <c r="C13" s="417">
        <v>40021828.136684634</v>
      </c>
      <c r="D13" s="578">
        <v>19337318.357868634</v>
      </c>
      <c r="E13" s="578">
        <v>59359146.494553275</v>
      </c>
      <c r="F13" s="417">
        <v>6469388.5227102861</v>
      </c>
      <c r="G13" s="578">
        <v>4754567.0933674769</v>
      </c>
      <c r="H13" s="578">
        <v>11223955.616077762</v>
      </c>
      <c r="I13" s="417">
        <v>2528756.6051684637</v>
      </c>
      <c r="J13" s="578">
        <v>1568333.2257782172</v>
      </c>
      <c r="K13" s="579">
        <v>4097089.8309466834</v>
      </c>
    </row>
    <row r="14" spans="1:11">
      <c r="A14" s="283">
        <v>6</v>
      </c>
      <c r="B14" s="262" t="s">
        <v>511</v>
      </c>
      <c r="C14" s="417"/>
      <c r="D14" s="578"/>
      <c r="E14" s="578"/>
      <c r="F14" s="417"/>
      <c r="G14" s="578"/>
      <c r="H14" s="578"/>
      <c r="I14" s="417"/>
      <c r="J14" s="578"/>
      <c r="K14" s="579"/>
    </row>
    <row r="15" spans="1:11">
      <c r="A15" s="283">
        <v>7</v>
      </c>
      <c r="B15" s="262" t="s">
        <v>498</v>
      </c>
      <c r="C15" s="417">
        <v>15257764.184347829</v>
      </c>
      <c r="D15" s="578">
        <v>43475702.864673927</v>
      </c>
      <c r="E15" s="578">
        <v>58733467.049021743</v>
      </c>
      <c r="F15" s="417">
        <v>6589106.4932571119</v>
      </c>
      <c r="G15" s="578">
        <v>12269668.065895565</v>
      </c>
      <c r="H15" s="578">
        <v>18858774.559152681</v>
      </c>
      <c r="I15" s="417">
        <v>6589106.4932571119</v>
      </c>
      <c r="J15" s="578">
        <v>12269668.065895565</v>
      </c>
      <c r="K15" s="579">
        <v>18858774.559152681</v>
      </c>
    </row>
    <row r="16" spans="1:11">
      <c r="A16" s="283">
        <v>8</v>
      </c>
      <c r="B16" s="263" t="s">
        <v>499</v>
      </c>
      <c r="C16" s="580">
        <f>SUM(C10:C15)</f>
        <v>202636690.98646638</v>
      </c>
      <c r="D16" s="580">
        <f t="shared" ref="D16:K16" si="0">SUM(D10:D15)</f>
        <v>991137572.63828278</v>
      </c>
      <c r="E16" s="580">
        <f t="shared" si="0"/>
        <v>1193774263.6247492</v>
      </c>
      <c r="F16" s="580">
        <f t="shared" si="0"/>
        <v>47345511.366982989</v>
      </c>
      <c r="G16" s="580">
        <f t="shared" si="0"/>
        <v>165466081.87412789</v>
      </c>
      <c r="H16" s="580">
        <f t="shared" si="0"/>
        <v>212811593.24111077</v>
      </c>
      <c r="I16" s="580">
        <f t="shared" si="0"/>
        <v>35235200.422374442</v>
      </c>
      <c r="J16" s="580">
        <f t="shared" si="0"/>
        <v>77225447.050927639</v>
      </c>
      <c r="K16" s="581">
        <f t="shared" si="0"/>
        <v>112460647.4733021</v>
      </c>
    </row>
    <row r="17" spans="1:11">
      <c r="A17" s="281" t="s">
        <v>500</v>
      </c>
      <c r="B17" s="276"/>
      <c r="C17" s="417"/>
      <c r="D17" s="578"/>
      <c r="E17" s="578"/>
      <c r="F17" s="417"/>
      <c r="G17" s="578"/>
      <c r="H17" s="578"/>
      <c r="I17" s="417"/>
      <c r="J17" s="578"/>
      <c r="K17" s="579"/>
    </row>
    <row r="18" spans="1:11">
      <c r="A18" s="283">
        <v>9</v>
      </c>
      <c r="B18" s="262" t="s">
        <v>501</v>
      </c>
      <c r="C18" s="417">
        <v>0</v>
      </c>
      <c r="D18" s="578">
        <v>0</v>
      </c>
      <c r="E18" s="578">
        <v>0</v>
      </c>
      <c r="F18" s="417">
        <v>0</v>
      </c>
      <c r="G18" s="578">
        <v>0</v>
      </c>
      <c r="H18" s="578">
        <v>0</v>
      </c>
      <c r="I18" s="417">
        <v>0</v>
      </c>
      <c r="J18" s="578">
        <v>0</v>
      </c>
      <c r="K18" s="579">
        <v>0</v>
      </c>
    </row>
    <row r="19" spans="1:11">
      <c r="A19" s="283">
        <v>10</v>
      </c>
      <c r="B19" s="262" t="s">
        <v>502</v>
      </c>
      <c r="C19" s="417">
        <v>216915464.01406524</v>
      </c>
      <c r="D19" s="578">
        <v>461945004.32785398</v>
      </c>
      <c r="E19" s="578">
        <v>678860468.3419193</v>
      </c>
      <c r="F19" s="417">
        <v>6520756.6859513512</v>
      </c>
      <c r="G19" s="578">
        <v>12543934.463762447</v>
      </c>
      <c r="H19" s="578">
        <v>19064691.149713803</v>
      </c>
      <c r="I19" s="417">
        <v>35698294.934320912</v>
      </c>
      <c r="J19" s="578">
        <v>78194131.626262471</v>
      </c>
      <c r="K19" s="579">
        <v>113892426.5605834</v>
      </c>
    </row>
    <row r="20" spans="1:11">
      <c r="A20" s="283">
        <v>11</v>
      </c>
      <c r="B20" s="262" t="s">
        <v>503</v>
      </c>
      <c r="C20" s="417">
        <v>5967247.9850000003</v>
      </c>
      <c r="D20" s="578">
        <v>46614316.348202176</v>
      </c>
      <c r="E20" s="578">
        <v>52581564.333202176</v>
      </c>
      <c r="F20" s="417">
        <v>269871.57195652172</v>
      </c>
      <c r="G20" s="578">
        <v>10033501.092978258</v>
      </c>
      <c r="H20" s="578">
        <v>10303372.664934782</v>
      </c>
      <c r="I20" s="417">
        <v>269871.57195652172</v>
      </c>
      <c r="J20" s="578">
        <v>10033501.092978258</v>
      </c>
      <c r="K20" s="579">
        <v>10303372.664934782</v>
      </c>
    </row>
    <row r="21" spans="1:11" ht="13.5" thickBot="1">
      <c r="A21" s="205">
        <v>12</v>
      </c>
      <c r="B21" s="284" t="s">
        <v>504</v>
      </c>
      <c r="C21" s="582">
        <f>SUM(C18:C20)</f>
        <v>222882711.99906525</v>
      </c>
      <c r="D21" s="582">
        <f t="shared" ref="D21:K21" si="1">SUM(D18:D20)</f>
        <v>508559320.67605615</v>
      </c>
      <c r="E21" s="582">
        <f t="shared" si="1"/>
        <v>731442032.67512143</v>
      </c>
      <c r="F21" s="582">
        <f t="shared" si="1"/>
        <v>6790628.257907873</v>
      </c>
      <c r="G21" s="582">
        <f t="shared" si="1"/>
        <v>22577435.556740705</v>
      </c>
      <c r="H21" s="582">
        <f t="shared" si="1"/>
        <v>29368063.814648584</v>
      </c>
      <c r="I21" s="582">
        <f t="shared" si="1"/>
        <v>35968166.506277435</v>
      </c>
      <c r="J21" s="582">
        <f t="shared" si="1"/>
        <v>88227632.719240725</v>
      </c>
      <c r="K21" s="583">
        <f t="shared" si="1"/>
        <v>124195799.22551818</v>
      </c>
    </row>
    <row r="22" spans="1:11" ht="38.25" customHeight="1" thickBot="1">
      <c r="A22" s="273"/>
      <c r="B22" s="274"/>
      <c r="C22" s="274"/>
      <c r="D22" s="274"/>
      <c r="E22" s="274"/>
      <c r="F22" s="722" t="s">
        <v>505</v>
      </c>
      <c r="G22" s="723"/>
      <c r="H22" s="723"/>
      <c r="I22" s="722" t="s">
        <v>506</v>
      </c>
      <c r="J22" s="723"/>
      <c r="K22" s="724"/>
    </row>
    <row r="23" spans="1:11">
      <c r="A23" s="267">
        <v>13</v>
      </c>
      <c r="B23" s="264" t="s">
        <v>491</v>
      </c>
      <c r="C23" s="272"/>
      <c r="D23" s="272"/>
      <c r="E23" s="272"/>
      <c r="F23" s="584">
        <f>F8</f>
        <v>85953554.776521742</v>
      </c>
      <c r="G23" s="584">
        <f t="shared" ref="G23:K23" si="2">G8</f>
        <v>280753168.72413123</v>
      </c>
      <c r="H23" s="584">
        <f t="shared" si="2"/>
        <v>366706723.50065273</v>
      </c>
      <c r="I23" s="584">
        <f t="shared" si="2"/>
        <v>56849803.038152173</v>
      </c>
      <c r="J23" s="584">
        <f t="shared" si="2"/>
        <v>217854460.53163123</v>
      </c>
      <c r="K23" s="585">
        <f t="shared" si="2"/>
        <v>274704263.56978321</v>
      </c>
    </row>
    <row r="24" spans="1:11" ht="13.5" thickBot="1">
      <c r="A24" s="268">
        <v>14</v>
      </c>
      <c r="B24" s="265" t="s">
        <v>507</v>
      </c>
      <c r="C24" s="285"/>
      <c r="D24" s="271"/>
      <c r="E24" s="423"/>
      <c r="F24" s="586">
        <f>MAX(F16-F21,F16*0.25)</f>
        <v>40554883.109075114</v>
      </c>
      <c r="G24" s="586">
        <f t="shared" ref="G24:K24" si="3">MAX(G16-G21,G16*0.25)</f>
        <v>142888646.31738719</v>
      </c>
      <c r="H24" s="586">
        <f t="shared" si="3"/>
        <v>183443529.42646217</v>
      </c>
      <c r="I24" s="586">
        <f t="shared" si="3"/>
        <v>8808800.1055936106</v>
      </c>
      <c r="J24" s="586">
        <f t="shared" si="3"/>
        <v>19306361.76273191</v>
      </c>
      <c r="K24" s="587">
        <f t="shared" si="3"/>
        <v>28115161.868325524</v>
      </c>
    </row>
    <row r="25" spans="1:11" ht="13.5" thickBot="1">
      <c r="A25" s="269">
        <v>15</v>
      </c>
      <c r="B25" s="266" t="s">
        <v>508</v>
      </c>
      <c r="C25" s="270"/>
      <c r="D25" s="270"/>
      <c r="E25" s="270"/>
      <c r="F25" s="588">
        <f>F23/F24</f>
        <v>2.1194378626451424</v>
      </c>
      <c r="G25" s="588">
        <f t="shared" ref="G25:K25" si="4">G23/G24</f>
        <v>1.9648388865026862</v>
      </c>
      <c r="H25" s="588">
        <f t="shared" si="4"/>
        <v>1.9990169435093434</v>
      </c>
      <c r="I25" s="588">
        <f t="shared" si="4"/>
        <v>6.453751062196587</v>
      </c>
      <c r="J25" s="588">
        <f t="shared" si="4"/>
        <v>11.28407636865933</v>
      </c>
      <c r="K25" s="589">
        <f t="shared" si="4"/>
        <v>9.7706804910579006</v>
      </c>
    </row>
    <row r="28" spans="1:11" ht="38.25">
      <c r="B28" s="18"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selection pane="bottomLeft"/>
      <selection pane="bottomRight"/>
    </sheetView>
  </sheetViews>
  <sheetFormatPr defaultColWidth="9.28515625" defaultRowHeight="15"/>
  <cols>
    <col min="1" max="1" width="10.5703125" style="61" bestFit="1" customWidth="1"/>
    <col min="2" max="2" width="95" style="61" customWidth="1"/>
    <col min="3" max="3" width="12.5703125" style="61" bestFit="1" customWidth="1"/>
    <col min="4" max="4" width="10" style="61" bestFit="1" customWidth="1"/>
    <col min="5" max="5" width="18.28515625" style="61" bestFit="1" customWidth="1"/>
    <col min="6" max="13" width="10.7109375" style="61" customWidth="1"/>
    <col min="14" max="14" width="31" style="61" bestFit="1" customWidth="1"/>
    <col min="15" max="16384" width="9.28515625" style="9"/>
  </cols>
  <sheetData>
    <row r="1" spans="1:14">
      <c r="A1" s="1" t="s">
        <v>188</v>
      </c>
      <c r="B1" s="61" t="str">
        <f>Info!C2</f>
        <v>სს "ბანკი ქართუ"</v>
      </c>
    </row>
    <row r="2" spans="1:14" ht="14.25" customHeight="1">
      <c r="A2" s="61" t="s">
        <v>189</v>
      </c>
      <c r="B2" s="390">
        <f>'1. key ratios'!B2</f>
        <v>44469</v>
      </c>
    </row>
    <row r="3" spans="1:14" ht="14.25" customHeight="1"/>
    <row r="4" spans="1:14" ht="15.75" thickBot="1">
      <c r="A4" s="1" t="s">
        <v>418</v>
      </c>
      <c r="B4" s="84" t="s">
        <v>77</v>
      </c>
    </row>
    <row r="5" spans="1:14" s="20" customFormat="1" ht="12.75">
      <c r="A5" s="159"/>
      <c r="B5" s="160"/>
      <c r="C5" s="161" t="s">
        <v>0</v>
      </c>
      <c r="D5" s="161" t="s">
        <v>1</v>
      </c>
      <c r="E5" s="161" t="s">
        <v>2</v>
      </c>
      <c r="F5" s="161" t="s">
        <v>3</v>
      </c>
      <c r="G5" s="161" t="s">
        <v>4</v>
      </c>
      <c r="H5" s="161" t="s">
        <v>5</v>
      </c>
      <c r="I5" s="161" t="s">
        <v>238</v>
      </c>
      <c r="J5" s="161" t="s">
        <v>239</v>
      </c>
      <c r="K5" s="161" t="s">
        <v>240</v>
      </c>
      <c r="L5" s="161" t="s">
        <v>241</v>
      </c>
      <c r="M5" s="161" t="s">
        <v>242</v>
      </c>
      <c r="N5" s="162" t="s">
        <v>243</v>
      </c>
    </row>
    <row r="6" spans="1:14" ht="45">
      <c r="A6" s="151"/>
      <c r="B6" s="94"/>
      <c r="C6" s="95" t="s">
        <v>87</v>
      </c>
      <c r="D6" s="96" t="s">
        <v>76</v>
      </c>
      <c r="E6" s="97" t="s">
        <v>86</v>
      </c>
      <c r="F6" s="98">
        <v>0</v>
      </c>
      <c r="G6" s="98">
        <v>0.2</v>
      </c>
      <c r="H6" s="98">
        <v>0.35</v>
      </c>
      <c r="I6" s="98">
        <v>0.5</v>
      </c>
      <c r="J6" s="98">
        <v>0.75</v>
      </c>
      <c r="K6" s="98">
        <v>1</v>
      </c>
      <c r="L6" s="98">
        <v>1.5</v>
      </c>
      <c r="M6" s="98">
        <v>2.5</v>
      </c>
      <c r="N6" s="152" t="s">
        <v>77</v>
      </c>
    </row>
    <row r="7" spans="1:14">
      <c r="A7" s="153">
        <v>1</v>
      </c>
      <c r="B7" s="99" t="s">
        <v>78</v>
      </c>
      <c r="C7" s="242">
        <f>SUM(C8:C13)</f>
        <v>41690000</v>
      </c>
      <c r="D7" s="94"/>
      <c r="E7" s="245">
        <f t="shared" ref="E7:M7" si="0">SUM(E8:E13)</f>
        <v>833800</v>
      </c>
      <c r="F7" s="242">
        <f>SUM(F8:F13)</f>
        <v>0</v>
      </c>
      <c r="G7" s="242">
        <f t="shared" si="0"/>
        <v>0</v>
      </c>
      <c r="H7" s="242">
        <f t="shared" si="0"/>
        <v>0</v>
      </c>
      <c r="I7" s="242">
        <f t="shared" si="0"/>
        <v>0</v>
      </c>
      <c r="J7" s="242">
        <f t="shared" si="0"/>
        <v>0</v>
      </c>
      <c r="K7" s="242">
        <f t="shared" si="0"/>
        <v>833800</v>
      </c>
      <c r="L7" s="242">
        <f t="shared" si="0"/>
        <v>0</v>
      </c>
      <c r="M7" s="242">
        <f t="shared" si="0"/>
        <v>0</v>
      </c>
      <c r="N7" s="154">
        <f>SUM(N8:N13)</f>
        <v>833800</v>
      </c>
    </row>
    <row r="8" spans="1:14">
      <c r="A8" s="153">
        <v>1.1000000000000001</v>
      </c>
      <c r="B8" s="100" t="s">
        <v>79</v>
      </c>
      <c r="C8" s="590">
        <v>41690000</v>
      </c>
      <c r="D8" s="101">
        <v>0.02</v>
      </c>
      <c r="E8" s="245">
        <f>C8*D8</f>
        <v>833800</v>
      </c>
      <c r="F8" s="243"/>
      <c r="G8" s="243"/>
      <c r="H8" s="243"/>
      <c r="I8" s="243"/>
      <c r="J8" s="243"/>
      <c r="K8" s="590">
        <v>833800</v>
      </c>
      <c r="L8" s="243"/>
      <c r="M8" s="243"/>
      <c r="N8" s="154">
        <f>SUMPRODUCT($F$6:$M$6,F8:M8)</f>
        <v>833800</v>
      </c>
    </row>
    <row r="9" spans="1:14">
      <c r="A9" s="153">
        <v>1.2</v>
      </c>
      <c r="B9" s="100" t="s">
        <v>80</v>
      </c>
      <c r="C9" s="243">
        <v>0</v>
      </c>
      <c r="D9" s="101">
        <v>0.05</v>
      </c>
      <c r="E9" s="245">
        <f>C9*D9</f>
        <v>0</v>
      </c>
      <c r="F9" s="243"/>
      <c r="G9" s="243"/>
      <c r="H9" s="243"/>
      <c r="I9" s="243"/>
      <c r="J9" s="243"/>
      <c r="K9" s="243"/>
      <c r="L9" s="243"/>
      <c r="M9" s="243"/>
      <c r="N9" s="154">
        <f t="shared" ref="N9:N12" si="1">SUMPRODUCT($F$6:$M$6,F9:M9)</f>
        <v>0</v>
      </c>
    </row>
    <row r="10" spans="1:14">
      <c r="A10" s="153">
        <v>1.3</v>
      </c>
      <c r="B10" s="100" t="s">
        <v>81</v>
      </c>
      <c r="C10" s="243">
        <v>0</v>
      </c>
      <c r="D10" s="101">
        <v>0.08</v>
      </c>
      <c r="E10" s="245">
        <f>C10*D10</f>
        <v>0</v>
      </c>
      <c r="F10" s="243"/>
      <c r="G10" s="243"/>
      <c r="H10" s="243"/>
      <c r="I10" s="243"/>
      <c r="J10" s="243"/>
      <c r="K10" s="243"/>
      <c r="L10" s="243"/>
      <c r="M10" s="243"/>
      <c r="N10" s="154">
        <f>SUMPRODUCT($F$6:$M$6,F10:M10)</f>
        <v>0</v>
      </c>
    </row>
    <row r="11" spans="1:14">
      <c r="A11" s="153">
        <v>1.4</v>
      </c>
      <c r="B11" s="100" t="s">
        <v>82</v>
      </c>
      <c r="C11" s="243">
        <v>0</v>
      </c>
      <c r="D11" s="101">
        <v>0.11</v>
      </c>
      <c r="E11" s="245">
        <f>C11*D11</f>
        <v>0</v>
      </c>
      <c r="F11" s="243"/>
      <c r="G11" s="243"/>
      <c r="H11" s="243"/>
      <c r="I11" s="243"/>
      <c r="J11" s="243"/>
      <c r="K11" s="243"/>
      <c r="L11" s="243"/>
      <c r="M11" s="243"/>
      <c r="N11" s="154">
        <f t="shared" si="1"/>
        <v>0</v>
      </c>
    </row>
    <row r="12" spans="1:14">
      <c r="A12" s="153">
        <v>1.5</v>
      </c>
      <c r="B12" s="100" t="s">
        <v>83</v>
      </c>
      <c r="C12" s="243">
        <v>0</v>
      </c>
      <c r="D12" s="101">
        <v>0.14000000000000001</v>
      </c>
      <c r="E12" s="245">
        <f>C12*D12</f>
        <v>0</v>
      </c>
      <c r="F12" s="243"/>
      <c r="G12" s="243"/>
      <c r="H12" s="243"/>
      <c r="I12" s="243"/>
      <c r="J12" s="243"/>
      <c r="K12" s="243"/>
      <c r="L12" s="243"/>
      <c r="M12" s="243"/>
      <c r="N12" s="154">
        <f t="shared" si="1"/>
        <v>0</v>
      </c>
    </row>
    <row r="13" spans="1:14">
      <c r="A13" s="153">
        <v>1.6</v>
      </c>
      <c r="B13" s="102" t="s">
        <v>84</v>
      </c>
      <c r="C13" s="243">
        <v>0</v>
      </c>
      <c r="D13" s="103"/>
      <c r="E13" s="243"/>
      <c r="F13" s="243"/>
      <c r="G13" s="243"/>
      <c r="H13" s="243"/>
      <c r="I13" s="243"/>
      <c r="J13" s="243"/>
      <c r="K13" s="243"/>
      <c r="L13" s="243"/>
      <c r="M13" s="243"/>
      <c r="N13" s="154">
        <f>SUMPRODUCT($F$6:$M$6,F13:M13)</f>
        <v>0</v>
      </c>
    </row>
    <row r="14" spans="1:14">
      <c r="A14" s="153">
        <v>2</v>
      </c>
      <c r="B14" s="104" t="s">
        <v>85</v>
      </c>
      <c r="C14" s="242">
        <f>SUM(C15:C20)</f>
        <v>0</v>
      </c>
      <c r="D14" s="94"/>
      <c r="E14" s="245">
        <f t="shared" ref="E14:M14" si="2">SUM(E15:E20)</f>
        <v>0</v>
      </c>
      <c r="F14" s="243">
        <f t="shared" si="2"/>
        <v>0</v>
      </c>
      <c r="G14" s="243">
        <f t="shared" si="2"/>
        <v>0</v>
      </c>
      <c r="H14" s="243">
        <f t="shared" si="2"/>
        <v>0</v>
      </c>
      <c r="I14" s="243">
        <f t="shared" si="2"/>
        <v>0</v>
      </c>
      <c r="J14" s="243">
        <f t="shared" si="2"/>
        <v>0</v>
      </c>
      <c r="K14" s="243">
        <f t="shared" si="2"/>
        <v>0</v>
      </c>
      <c r="L14" s="243">
        <f t="shared" si="2"/>
        <v>0</v>
      </c>
      <c r="M14" s="243">
        <f t="shared" si="2"/>
        <v>0</v>
      </c>
      <c r="N14" s="154">
        <f>SUM(N15:N20)</f>
        <v>0</v>
      </c>
    </row>
    <row r="15" spans="1:14">
      <c r="A15" s="153">
        <v>2.1</v>
      </c>
      <c r="B15" s="102" t="s">
        <v>79</v>
      </c>
      <c r="C15" s="243"/>
      <c r="D15" s="101">
        <v>5.0000000000000001E-3</v>
      </c>
      <c r="E15" s="245">
        <f>C15*D15</f>
        <v>0</v>
      </c>
      <c r="F15" s="243"/>
      <c r="G15" s="243"/>
      <c r="H15" s="243"/>
      <c r="I15" s="243"/>
      <c r="J15" s="243"/>
      <c r="K15" s="243"/>
      <c r="L15" s="243"/>
      <c r="M15" s="243"/>
      <c r="N15" s="154">
        <f>SUMPRODUCT($F$6:$M$6,F15:M15)</f>
        <v>0</v>
      </c>
    </row>
    <row r="16" spans="1:14">
      <c r="A16" s="153">
        <v>2.2000000000000002</v>
      </c>
      <c r="B16" s="102" t="s">
        <v>80</v>
      </c>
      <c r="C16" s="243"/>
      <c r="D16" s="101">
        <v>0.01</v>
      </c>
      <c r="E16" s="245">
        <f>C16*D16</f>
        <v>0</v>
      </c>
      <c r="F16" s="243"/>
      <c r="G16" s="243"/>
      <c r="H16" s="243"/>
      <c r="I16" s="243"/>
      <c r="J16" s="243"/>
      <c r="K16" s="243"/>
      <c r="L16" s="243"/>
      <c r="M16" s="243"/>
      <c r="N16" s="154">
        <f t="shared" ref="N16:N20" si="3">SUMPRODUCT($F$6:$M$6,F16:M16)</f>
        <v>0</v>
      </c>
    </row>
    <row r="17" spans="1:14">
      <c r="A17" s="153">
        <v>2.2999999999999998</v>
      </c>
      <c r="B17" s="102" t="s">
        <v>81</v>
      </c>
      <c r="C17" s="243"/>
      <c r="D17" s="101">
        <v>0.02</v>
      </c>
      <c r="E17" s="245">
        <f>C17*D17</f>
        <v>0</v>
      </c>
      <c r="F17" s="243"/>
      <c r="G17" s="243"/>
      <c r="H17" s="243"/>
      <c r="I17" s="243"/>
      <c r="J17" s="243"/>
      <c r="K17" s="243"/>
      <c r="L17" s="243"/>
      <c r="M17" s="243"/>
      <c r="N17" s="154">
        <f t="shared" si="3"/>
        <v>0</v>
      </c>
    </row>
    <row r="18" spans="1:14">
      <c r="A18" s="153">
        <v>2.4</v>
      </c>
      <c r="B18" s="102" t="s">
        <v>82</v>
      </c>
      <c r="C18" s="243"/>
      <c r="D18" s="101">
        <v>0.03</v>
      </c>
      <c r="E18" s="245">
        <f>C18*D18</f>
        <v>0</v>
      </c>
      <c r="F18" s="243"/>
      <c r="G18" s="243"/>
      <c r="H18" s="243"/>
      <c r="I18" s="243"/>
      <c r="J18" s="243"/>
      <c r="K18" s="243"/>
      <c r="L18" s="243"/>
      <c r="M18" s="243"/>
      <c r="N18" s="154">
        <f t="shared" si="3"/>
        <v>0</v>
      </c>
    </row>
    <row r="19" spans="1:14">
      <c r="A19" s="153">
        <v>2.5</v>
      </c>
      <c r="B19" s="102" t="s">
        <v>83</v>
      </c>
      <c r="C19" s="243"/>
      <c r="D19" s="101">
        <v>0.04</v>
      </c>
      <c r="E19" s="245">
        <f>C19*D19</f>
        <v>0</v>
      </c>
      <c r="F19" s="243"/>
      <c r="G19" s="243"/>
      <c r="H19" s="243"/>
      <c r="I19" s="243"/>
      <c r="J19" s="243"/>
      <c r="K19" s="243"/>
      <c r="L19" s="243"/>
      <c r="M19" s="243"/>
      <c r="N19" s="154">
        <f t="shared" si="3"/>
        <v>0</v>
      </c>
    </row>
    <row r="20" spans="1:14">
      <c r="A20" s="153">
        <v>2.6</v>
      </c>
      <c r="B20" s="102" t="s">
        <v>84</v>
      </c>
      <c r="C20" s="243"/>
      <c r="D20" s="103"/>
      <c r="E20" s="246"/>
      <c r="F20" s="243"/>
      <c r="G20" s="243"/>
      <c r="H20" s="243"/>
      <c r="I20" s="243"/>
      <c r="J20" s="243"/>
      <c r="K20" s="243"/>
      <c r="L20" s="243"/>
      <c r="M20" s="243"/>
      <c r="N20" s="154">
        <f t="shared" si="3"/>
        <v>0</v>
      </c>
    </row>
    <row r="21" spans="1:14" ht="15.75" thickBot="1">
      <c r="A21" s="155">
        <v>3</v>
      </c>
      <c r="B21" s="156" t="s">
        <v>68</v>
      </c>
      <c r="C21" s="244">
        <f>C14+C7</f>
        <v>41690000</v>
      </c>
      <c r="D21" s="157"/>
      <c r="E21" s="247">
        <f>E14+E7</f>
        <v>833800</v>
      </c>
      <c r="F21" s="248">
        <f>F7+F14</f>
        <v>0</v>
      </c>
      <c r="G21" s="248">
        <f t="shared" ref="G21:L21" si="4">G7+G14</f>
        <v>0</v>
      </c>
      <c r="H21" s="248">
        <f t="shared" si="4"/>
        <v>0</v>
      </c>
      <c r="I21" s="248">
        <f t="shared" si="4"/>
        <v>0</v>
      </c>
      <c r="J21" s="248">
        <f t="shared" si="4"/>
        <v>0</v>
      </c>
      <c r="K21" s="248">
        <f t="shared" si="4"/>
        <v>833800</v>
      </c>
      <c r="L21" s="248">
        <f t="shared" si="4"/>
        <v>0</v>
      </c>
      <c r="M21" s="248">
        <f>M7+M14</f>
        <v>0</v>
      </c>
      <c r="N21" s="158">
        <f>N14+N7</f>
        <v>833800</v>
      </c>
    </row>
    <row r="22" spans="1:14">
      <c r="E22" s="249"/>
      <c r="F22" s="249"/>
      <c r="G22" s="249"/>
      <c r="H22" s="249"/>
      <c r="I22" s="249"/>
      <c r="J22" s="249"/>
      <c r="K22" s="249"/>
      <c r="L22" s="249"/>
      <c r="M22" s="249"/>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19" workbookViewId="0"/>
  </sheetViews>
  <sheetFormatPr defaultRowHeight="15"/>
  <cols>
    <col min="1" max="1" width="11.42578125" customWidth="1"/>
    <col min="2" max="2" width="76.7109375" style="2" customWidth="1"/>
    <col min="3" max="3" width="22.7109375" customWidth="1"/>
  </cols>
  <sheetData>
    <row r="1" spans="1:3">
      <c r="A1" s="1" t="s">
        <v>188</v>
      </c>
      <c r="B1" t="str">
        <f>Info!C2</f>
        <v>სს "ბანკი ქართუ"</v>
      </c>
    </row>
    <row r="2" spans="1:3">
      <c r="A2" s="1" t="s">
        <v>189</v>
      </c>
      <c r="B2" s="390">
        <f>'1. key ratios'!B2</f>
        <v>44469</v>
      </c>
    </row>
    <row r="3" spans="1:3">
      <c r="A3" s="1"/>
      <c r="B3"/>
    </row>
    <row r="4" spans="1:3">
      <c r="A4" s="1" t="s">
        <v>597</v>
      </c>
      <c r="B4" t="s">
        <v>556</v>
      </c>
    </row>
    <row r="5" spans="1:3">
      <c r="A5" s="331"/>
      <c r="B5" s="331" t="s">
        <v>557</v>
      </c>
      <c r="C5" s="343"/>
    </row>
    <row r="6" spans="1:3">
      <c r="A6" s="332">
        <v>1</v>
      </c>
      <c r="B6" s="344" t="s">
        <v>609</v>
      </c>
      <c r="C6" s="345">
        <v>1314018541.7939899</v>
      </c>
    </row>
    <row r="7" spans="1:3">
      <c r="A7" s="332">
        <v>2</v>
      </c>
      <c r="B7" s="344" t="s">
        <v>558</v>
      </c>
      <c r="C7" s="345">
        <v>-6625762.3499999996</v>
      </c>
    </row>
    <row r="8" spans="1:3">
      <c r="A8" s="333">
        <v>3</v>
      </c>
      <c r="B8" s="346" t="s">
        <v>559</v>
      </c>
      <c r="C8" s="347">
        <f>C6+C7</f>
        <v>1307392779.44399</v>
      </c>
    </row>
    <row r="9" spans="1:3">
      <c r="A9" s="334"/>
      <c r="B9" s="334" t="s">
        <v>560</v>
      </c>
      <c r="C9" s="348"/>
    </row>
    <row r="10" spans="1:3">
      <c r="A10" s="335">
        <v>4</v>
      </c>
      <c r="B10" s="349" t="s">
        <v>561</v>
      </c>
      <c r="C10" s="345"/>
    </row>
    <row r="11" spans="1:3">
      <c r="A11" s="335">
        <v>5</v>
      </c>
      <c r="B11" s="350" t="s">
        <v>562</v>
      </c>
      <c r="C11" s="345"/>
    </row>
    <row r="12" spans="1:3">
      <c r="A12" s="335" t="s">
        <v>563</v>
      </c>
      <c r="B12" s="344" t="s">
        <v>564</v>
      </c>
      <c r="C12" s="347">
        <f>'15. CCR'!E21</f>
        <v>833800</v>
      </c>
    </row>
    <row r="13" spans="1:3">
      <c r="A13" s="336">
        <v>6</v>
      </c>
      <c r="B13" s="351" t="s">
        <v>565</v>
      </c>
      <c r="C13" s="345"/>
    </row>
    <row r="14" spans="1:3">
      <c r="A14" s="336">
        <v>7</v>
      </c>
      <c r="B14" s="352" t="s">
        <v>566</v>
      </c>
      <c r="C14" s="345"/>
    </row>
    <row r="15" spans="1:3">
      <c r="A15" s="337">
        <v>8</v>
      </c>
      <c r="B15" s="344" t="s">
        <v>567</v>
      </c>
      <c r="C15" s="345"/>
    </row>
    <row r="16" spans="1:3" ht="24">
      <c r="A16" s="336">
        <v>9</v>
      </c>
      <c r="B16" s="352" t="s">
        <v>568</v>
      </c>
      <c r="C16" s="345"/>
    </row>
    <row r="17" spans="1:3">
      <c r="A17" s="336">
        <v>10</v>
      </c>
      <c r="B17" s="352" t="s">
        <v>569</v>
      </c>
      <c r="C17" s="345"/>
    </row>
    <row r="18" spans="1:3">
      <c r="A18" s="338">
        <v>11</v>
      </c>
      <c r="B18" s="353" t="s">
        <v>570</v>
      </c>
      <c r="C18" s="347">
        <f>SUM(C10:C17)</f>
        <v>833800</v>
      </c>
    </row>
    <row r="19" spans="1:3">
      <c r="A19" s="334"/>
      <c r="B19" s="334" t="s">
        <v>571</v>
      </c>
      <c r="C19" s="354"/>
    </row>
    <row r="20" spans="1:3">
      <c r="A20" s="336">
        <v>12</v>
      </c>
      <c r="B20" s="349" t="s">
        <v>572</v>
      </c>
      <c r="C20" s="345"/>
    </row>
    <row r="21" spans="1:3">
      <c r="A21" s="336">
        <v>13</v>
      </c>
      <c r="B21" s="349" t="s">
        <v>573</v>
      </c>
      <c r="C21" s="345"/>
    </row>
    <row r="22" spans="1:3">
      <c r="A22" s="336">
        <v>14</v>
      </c>
      <c r="B22" s="349" t="s">
        <v>574</v>
      </c>
      <c r="C22" s="345"/>
    </row>
    <row r="23" spans="1:3" ht="24">
      <c r="A23" s="336" t="s">
        <v>575</v>
      </c>
      <c r="B23" s="349" t="s">
        <v>576</v>
      </c>
      <c r="C23" s="345"/>
    </row>
    <row r="24" spans="1:3">
      <c r="A24" s="336">
        <v>15</v>
      </c>
      <c r="B24" s="349" t="s">
        <v>577</v>
      </c>
      <c r="C24" s="345"/>
    </row>
    <row r="25" spans="1:3">
      <c r="A25" s="336" t="s">
        <v>578</v>
      </c>
      <c r="B25" s="344" t="s">
        <v>579</v>
      </c>
      <c r="C25" s="345"/>
    </row>
    <row r="26" spans="1:3">
      <c r="A26" s="338">
        <v>16</v>
      </c>
      <c r="B26" s="353" t="s">
        <v>580</v>
      </c>
      <c r="C26" s="347">
        <f>SUM(C20:C25)</f>
        <v>0</v>
      </c>
    </row>
    <row r="27" spans="1:3">
      <c r="A27" s="334"/>
      <c r="B27" s="334" t="s">
        <v>581</v>
      </c>
      <c r="C27" s="348"/>
    </row>
    <row r="28" spans="1:3">
      <c r="A28" s="335">
        <v>17</v>
      </c>
      <c r="B28" s="344" t="s">
        <v>582</v>
      </c>
      <c r="C28" s="345">
        <v>79459930.101516157</v>
      </c>
    </row>
    <row r="29" spans="1:3">
      <c r="A29" s="335">
        <v>18</v>
      </c>
      <c r="B29" s="344" t="s">
        <v>583</v>
      </c>
      <c r="C29" s="345">
        <v>-36642387.278540082</v>
      </c>
    </row>
    <row r="30" spans="1:3">
      <c r="A30" s="338">
        <v>19</v>
      </c>
      <c r="B30" s="353" t="s">
        <v>584</v>
      </c>
      <c r="C30" s="347">
        <f>C28+C29</f>
        <v>42817542.822976075</v>
      </c>
    </row>
    <row r="31" spans="1:3">
      <c r="A31" s="339"/>
      <c r="B31" s="334" t="s">
        <v>585</v>
      </c>
      <c r="C31" s="348"/>
    </row>
    <row r="32" spans="1:3">
      <c r="A32" s="335" t="s">
        <v>586</v>
      </c>
      <c r="B32" s="349" t="s">
        <v>587</v>
      </c>
      <c r="C32" s="355"/>
    </row>
    <row r="33" spans="1:3">
      <c r="A33" s="335" t="s">
        <v>588</v>
      </c>
      <c r="B33" s="350" t="s">
        <v>589</v>
      </c>
      <c r="C33" s="355"/>
    </row>
    <row r="34" spans="1:3">
      <c r="A34" s="334"/>
      <c r="B34" s="334" t="s">
        <v>590</v>
      </c>
      <c r="C34" s="348"/>
    </row>
    <row r="35" spans="1:3">
      <c r="A35" s="338">
        <v>20</v>
      </c>
      <c r="B35" s="353" t="s">
        <v>89</v>
      </c>
      <c r="C35" s="347">
        <f>'1. key ratios'!C9</f>
        <v>259929217.65000001</v>
      </c>
    </row>
    <row r="36" spans="1:3">
      <c r="A36" s="338">
        <v>21</v>
      </c>
      <c r="B36" s="353" t="s">
        <v>591</v>
      </c>
      <c r="C36" s="347">
        <f>C8+C18+C26+C30</f>
        <v>1351044122.2669661</v>
      </c>
    </row>
    <row r="37" spans="1:3">
      <c r="A37" s="340"/>
      <c r="B37" s="340" t="s">
        <v>556</v>
      </c>
      <c r="C37" s="348"/>
    </row>
    <row r="38" spans="1:3">
      <c r="A38" s="338">
        <v>22</v>
      </c>
      <c r="B38" s="353" t="s">
        <v>556</v>
      </c>
      <c r="C38" s="591">
        <f>IFERROR(C35/C36,0)</f>
        <v>0.1923913611450789</v>
      </c>
    </row>
    <row r="39" spans="1:3">
      <c r="A39" s="340"/>
      <c r="B39" s="340" t="s">
        <v>592</v>
      </c>
      <c r="C39" s="348"/>
    </row>
    <row r="40" spans="1:3">
      <c r="A40" s="341" t="s">
        <v>593</v>
      </c>
      <c r="B40" s="349" t="s">
        <v>594</v>
      </c>
      <c r="C40" s="355"/>
    </row>
    <row r="41" spans="1:3">
      <c r="A41" s="342" t="s">
        <v>595</v>
      </c>
      <c r="B41" s="350" t="s">
        <v>596</v>
      </c>
      <c r="C41" s="355"/>
    </row>
    <row r="43" spans="1:3">
      <c r="B43" s="358"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Normal="100" workbookViewId="0">
      <pane xSplit="2" ySplit="6" topLeftCell="C24" activePane="bottomRight" state="frozen"/>
      <selection pane="topRight"/>
      <selection pane="bottomLeft"/>
      <selection pane="bottomRight"/>
    </sheetView>
  </sheetViews>
  <sheetFormatPr defaultRowHeight="15"/>
  <cols>
    <col min="1" max="1" width="9.85546875" style="1" bestFit="1" customWidth="1"/>
    <col min="2" max="2" width="82.7109375" style="18" customWidth="1"/>
    <col min="3" max="7" width="17.5703125" style="1" customWidth="1"/>
  </cols>
  <sheetData>
    <row r="1" spans="1:7">
      <c r="A1" s="1" t="s">
        <v>188</v>
      </c>
      <c r="B1" s="1" t="str">
        <f>Info!C2</f>
        <v>სს "ბანკი ქართუ"</v>
      </c>
    </row>
    <row r="2" spans="1:7">
      <c r="A2" s="1" t="s">
        <v>189</v>
      </c>
      <c r="B2" s="390">
        <f>'1. key ratios'!B2</f>
        <v>44469</v>
      </c>
    </row>
    <row r="3" spans="1:7">
      <c r="B3" s="390"/>
    </row>
    <row r="4" spans="1:7" ht="15.75" thickBot="1">
      <c r="A4" s="1" t="s">
        <v>659</v>
      </c>
      <c r="B4" s="255" t="s">
        <v>624</v>
      </c>
    </row>
    <row r="5" spans="1:7">
      <c r="A5" s="393"/>
      <c r="B5" s="394"/>
      <c r="C5" s="727" t="s">
        <v>625</v>
      </c>
      <c r="D5" s="727"/>
      <c r="E5" s="727"/>
      <c r="F5" s="727"/>
      <c r="G5" s="728" t="s">
        <v>626</v>
      </c>
    </row>
    <row r="6" spans="1:7">
      <c r="A6" s="395"/>
      <c r="B6" s="396"/>
      <c r="C6" s="397" t="s">
        <v>627</v>
      </c>
      <c r="D6" s="397" t="s">
        <v>628</v>
      </c>
      <c r="E6" s="397" t="s">
        <v>629</v>
      </c>
      <c r="F6" s="397" t="s">
        <v>630</v>
      </c>
      <c r="G6" s="729"/>
    </row>
    <row r="7" spans="1:7">
      <c r="A7" s="398"/>
      <c r="B7" s="399" t="s">
        <v>631</v>
      </c>
      <c r="C7" s="400"/>
      <c r="D7" s="400"/>
      <c r="E7" s="400"/>
      <c r="F7" s="400"/>
      <c r="G7" s="401"/>
    </row>
    <row r="8" spans="1:7">
      <c r="A8" s="402">
        <v>1</v>
      </c>
      <c r="B8" s="403" t="s">
        <v>632</v>
      </c>
      <c r="C8" s="404">
        <f>SUM(C9:C10)</f>
        <v>61183617.649999976</v>
      </c>
      <c r="D8" s="404">
        <f>SUM(D9:D10)</f>
        <v>0</v>
      </c>
      <c r="E8" s="404">
        <f>SUM(E9:E10)</f>
        <v>0</v>
      </c>
      <c r="F8" s="404">
        <f>SUM(F9:F10)</f>
        <v>365117524.84790003</v>
      </c>
      <c r="G8" s="405">
        <f>SUM(G9:G10)</f>
        <v>426301142.49790001</v>
      </c>
    </row>
    <row r="9" spans="1:7">
      <c r="A9" s="402">
        <v>2</v>
      </c>
      <c r="B9" s="406" t="s">
        <v>88</v>
      </c>
      <c r="C9" s="404">
        <v>61183617.649999976</v>
      </c>
      <c r="D9" s="404"/>
      <c r="E9" s="404"/>
      <c r="F9" s="404">
        <v>236219200</v>
      </c>
      <c r="G9" s="405">
        <v>297402817.64999998</v>
      </c>
    </row>
    <row r="10" spans="1:7">
      <c r="A10" s="402">
        <v>3</v>
      </c>
      <c r="B10" s="406" t="s">
        <v>633</v>
      </c>
      <c r="C10" s="407"/>
      <c r="D10" s="407"/>
      <c r="E10" s="407"/>
      <c r="F10" s="404">
        <v>128898324.8479</v>
      </c>
      <c r="G10" s="405">
        <v>128898324.8479</v>
      </c>
    </row>
    <row r="11" spans="1:7" ht="26.25">
      <c r="A11" s="402">
        <v>4</v>
      </c>
      <c r="B11" s="403" t="s">
        <v>634</v>
      </c>
      <c r="C11" s="404">
        <f t="shared" ref="C11:F11" si="0">SUM(C12:C13)</f>
        <v>76834388.900100127</v>
      </c>
      <c r="D11" s="404">
        <f t="shared" si="0"/>
        <v>106154283.26709999</v>
      </c>
      <c r="E11" s="404">
        <f t="shared" si="0"/>
        <v>55267629.022499979</v>
      </c>
      <c r="F11" s="404">
        <f t="shared" si="0"/>
        <v>0</v>
      </c>
      <c r="G11" s="405">
        <f>SUM(G12:G13)</f>
        <v>219285449.53659508</v>
      </c>
    </row>
    <row r="12" spans="1:7">
      <c r="A12" s="402">
        <v>5</v>
      </c>
      <c r="B12" s="406" t="s">
        <v>635</v>
      </c>
      <c r="C12" s="404">
        <v>65270926.159100123</v>
      </c>
      <c r="D12" s="408">
        <v>105518911.03449999</v>
      </c>
      <c r="E12" s="404">
        <v>51781938.232499979</v>
      </c>
      <c r="F12" s="404"/>
      <c r="G12" s="405">
        <v>211443186.65479508</v>
      </c>
    </row>
    <row r="13" spans="1:7">
      <c r="A13" s="402">
        <v>6</v>
      </c>
      <c r="B13" s="406" t="s">
        <v>636</v>
      </c>
      <c r="C13" s="404">
        <v>11563462.741</v>
      </c>
      <c r="D13" s="408">
        <v>635372.23259999999</v>
      </c>
      <c r="E13" s="404">
        <v>3485690.79</v>
      </c>
      <c r="F13" s="404"/>
      <c r="G13" s="405">
        <v>7842262.8817999996</v>
      </c>
    </row>
    <row r="14" spans="1:7">
      <c r="A14" s="402">
        <v>7</v>
      </c>
      <c r="B14" s="403" t="s">
        <v>637</v>
      </c>
      <c r="C14" s="404">
        <f t="shared" ref="C14:F14" si="1">SUM(C15:C16)</f>
        <v>165993555.19970003</v>
      </c>
      <c r="D14" s="404">
        <f t="shared" si="1"/>
        <v>362476779.01109993</v>
      </c>
      <c r="E14" s="404">
        <f t="shared" si="1"/>
        <v>73349543.931600004</v>
      </c>
      <c r="F14" s="404">
        <f t="shared" si="1"/>
        <v>0</v>
      </c>
      <c r="G14" s="405">
        <f>SUM(G15:G16)</f>
        <v>287209254.49274999</v>
      </c>
    </row>
    <row r="15" spans="1:7" ht="51.75">
      <c r="A15" s="402">
        <v>8</v>
      </c>
      <c r="B15" s="406" t="s">
        <v>638</v>
      </c>
      <c r="C15" s="404">
        <v>158579955.55280003</v>
      </c>
      <c r="D15" s="408">
        <v>342489009.50109994</v>
      </c>
      <c r="E15" s="404">
        <v>57649727.51160001</v>
      </c>
      <c r="F15" s="404"/>
      <c r="G15" s="405">
        <v>279359346.28275001</v>
      </c>
    </row>
    <row r="16" spans="1:7" ht="26.25">
      <c r="A16" s="402">
        <v>9</v>
      </c>
      <c r="B16" s="406" t="s">
        <v>639</v>
      </c>
      <c r="C16" s="404">
        <v>7413599.646900001</v>
      </c>
      <c r="D16" s="408">
        <v>19987769.510000002</v>
      </c>
      <c r="E16" s="404">
        <v>15699816.42</v>
      </c>
      <c r="F16" s="404"/>
      <c r="G16" s="405">
        <v>7849908.21</v>
      </c>
    </row>
    <row r="17" spans="1:7">
      <c r="A17" s="402">
        <v>10</v>
      </c>
      <c r="B17" s="403" t="s">
        <v>640</v>
      </c>
      <c r="C17" s="404"/>
      <c r="D17" s="408"/>
      <c r="E17" s="404"/>
      <c r="F17" s="404"/>
      <c r="G17" s="405"/>
    </row>
    <row r="18" spans="1:7">
      <c r="A18" s="402">
        <v>11</v>
      </c>
      <c r="B18" s="403" t="s">
        <v>95</v>
      </c>
      <c r="C18" s="404">
        <f>SUM(C19:C20)</f>
        <v>0</v>
      </c>
      <c r="D18" s="408">
        <f t="shared" ref="D18:G18" si="2">SUM(D19:D20)</f>
        <v>46099635.621999949</v>
      </c>
      <c r="E18" s="404">
        <f t="shared" si="2"/>
        <v>4178062.045900017</v>
      </c>
      <c r="F18" s="404">
        <f t="shared" si="2"/>
        <v>8585188.1520999968</v>
      </c>
      <c r="G18" s="405">
        <f t="shared" si="2"/>
        <v>0</v>
      </c>
    </row>
    <row r="19" spans="1:7">
      <c r="A19" s="402">
        <v>12</v>
      </c>
      <c r="B19" s="406" t="s">
        <v>641</v>
      </c>
      <c r="C19" s="407"/>
      <c r="D19" s="408">
        <v>29198800</v>
      </c>
      <c r="E19" s="404">
        <v>0</v>
      </c>
      <c r="F19" s="404"/>
      <c r="G19" s="405">
        <v>0</v>
      </c>
    </row>
    <row r="20" spans="1:7" ht="26.25">
      <c r="A20" s="402">
        <v>13</v>
      </c>
      <c r="B20" s="406" t="s">
        <v>642</v>
      </c>
      <c r="C20" s="404">
        <v>0</v>
      </c>
      <c r="D20" s="404">
        <v>16900835.621999949</v>
      </c>
      <c r="E20" s="404">
        <v>4178062.045900017</v>
      </c>
      <c r="F20" s="404">
        <v>8585188.1520999968</v>
      </c>
      <c r="G20" s="405">
        <v>0</v>
      </c>
    </row>
    <row r="21" spans="1:7">
      <c r="A21" s="409">
        <v>14</v>
      </c>
      <c r="B21" s="410" t="s">
        <v>643</v>
      </c>
      <c r="C21" s="407"/>
      <c r="D21" s="407"/>
      <c r="E21" s="407"/>
      <c r="F21" s="407"/>
      <c r="G21" s="411">
        <f>SUM(G8,G11,G14,G17,G18)</f>
        <v>932795846.52724504</v>
      </c>
    </row>
    <row r="22" spans="1:7">
      <c r="A22" s="412"/>
      <c r="B22" s="428" t="s">
        <v>644</v>
      </c>
      <c r="C22" s="413"/>
      <c r="D22" s="414"/>
      <c r="E22" s="413"/>
      <c r="F22" s="413"/>
      <c r="G22" s="415"/>
    </row>
    <row r="23" spans="1:7">
      <c r="A23" s="402">
        <v>15</v>
      </c>
      <c r="B23" s="403" t="s">
        <v>491</v>
      </c>
      <c r="C23" s="416">
        <v>384748126.85000002</v>
      </c>
      <c r="D23" s="417">
        <v>1249120</v>
      </c>
      <c r="E23" s="416">
        <v>0</v>
      </c>
      <c r="F23" s="416"/>
      <c r="G23" s="405">
        <v>7090332.3425000012</v>
      </c>
    </row>
    <row r="24" spans="1:7">
      <c r="A24" s="402">
        <v>16</v>
      </c>
      <c r="B24" s="403" t="s">
        <v>645</v>
      </c>
      <c r="C24" s="404">
        <f>SUM(C25:C27,C29,C31)</f>
        <v>3167287.7199999932</v>
      </c>
      <c r="D24" s="408">
        <f t="shared" ref="D24:G24" si="3">SUM(D25:D27,D29,D31)</f>
        <v>189864676.30442992</v>
      </c>
      <c r="E24" s="404">
        <f t="shared" si="3"/>
        <v>84096830.009728551</v>
      </c>
      <c r="F24" s="404">
        <f t="shared" si="3"/>
        <v>311124053.08204013</v>
      </c>
      <c r="G24" s="405">
        <f t="shared" si="3"/>
        <v>401911291.43481332</v>
      </c>
    </row>
    <row r="25" spans="1:7" ht="26.25">
      <c r="A25" s="402">
        <v>17</v>
      </c>
      <c r="B25" s="406" t="s">
        <v>646</v>
      </c>
      <c r="C25" s="404"/>
      <c r="D25" s="408"/>
      <c r="E25" s="404"/>
      <c r="F25" s="404"/>
      <c r="G25" s="405"/>
    </row>
    <row r="26" spans="1:7" ht="26.25">
      <c r="A26" s="402">
        <v>18</v>
      </c>
      <c r="B26" s="406" t="s">
        <v>647</v>
      </c>
      <c r="C26" s="404">
        <v>3167287.7199999932</v>
      </c>
      <c r="D26" s="408">
        <v>0</v>
      </c>
      <c r="E26" s="404">
        <v>0</v>
      </c>
      <c r="F26" s="404">
        <v>0</v>
      </c>
      <c r="G26" s="405">
        <v>475093.15799999895</v>
      </c>
    </row>
    <row r="27" spans="1:7">
      <c r="A27" s="402">
        <v>19</v>
      </c>
      <c r="B27" s="406" t="s">
        <v>648</v>
      </c>
      <c r="C27" s="404"/>
      <c r="D27" s="408">
        <v>180760471.3764095</v>
      </c>
      <c r="E27" s="404">
        <v>73040201.801419824</v>
      </c>
      <c r="F27" s="404">
        <v>271947332.69986534</v>
      </c>
      <c r="G27" s="405">
        <v>358055569.38380021</v>
      </c>
    </row>
    <row r="28" spans="1:7">
      <c r="A28" s="402">
        <v>20</v>
      </c>
      <c r="B28" s="418" t="s">
        <v>649</v>
      </c>
      <c r="C28" s="404"/>
      <c r="D28" s="408"/>
      <c r="E28" s="404"/>
      <c r="F28" s="404"/>
      <c r="G28" s="405"/>
    </row>
    <row r="29" spans="1:7">
      <c r="A29" s="402">
        <v>21</v>
      </c>
      <c r="B29" s="406" t="s">
        <v>650</v>
      </c>
      <c r="C29" s="404"/>
      <c r="D29" s="408">
        <v>7340464.9480204284</v>
      </c>
      <c r="E29" s="404">
        <v>10975928.20830873</v>
      </c>
      <c r="F29" s="404">
        <v>21678650.382174771</v>
      </c>
      <c r="G29" s="405">
        <v>27585049.403013133</v>
      </c>
    </row>
    <row r="30" spans="1:7">
      <c r="A30" s="402">
        <v>22</v>
      </c>
      <c r="B30" s="418" t="s">
        <v>649</v>
      </c>
      <c r="C30" s="404"/>
      <c r="D30" s="408"/>
      <c r="E30" s="404"/>
      <c r="F30" s="404"/>
      <c r="G30" s="405"/>
    </row>
    <row r="31" spans="1:7" ht="26.25">
      <c r="A31" s="402">
        <v>23</v>
      </c>
      <c r="B31" s="406" t="s">
        <v>651</v>
      </c>
      <c r="C31" s="404"/>
      <c r="D31" s="408">
        <v>1763739.9800000004</v>
      </c>
      <c r="E31" s="404">
        <v>80700</v>
      </c>
      <c r="F31" s="404">
        <v>17498070</v>
      </c>
      <c r="G31" s="405">
        <v>15795579.49</v>
      </c>
    </row>
    <row r="32" spans="1:7">
      <c r="A32" s="402">
        <v>24</v>
      </c>
      <c r="B32" s="403" t="s">
        <v>652</v>
      </c>
      <c r="C32" s="404"/>
      <c r="D32" s="408"/>
      <c r="E32" s="404"/>
      <c r="F32" s="404"/>
      <c r="G32" s="405"/>
    </row>
    <row r="33" spans="1:7">
      <c r="A33" s="402">
        <v>25</v>
      </c>
      <c r="B33" s="403" t="s">
        <v>165</v>
      </c>
      <c r="C33" s="404">
        <f>SUM(C34:C35)</f>
        <v>0</v>
      </c>
      <c r="D33" s="404">
        <f>SUM(D34:D35)</f>
        <v>40253964.218770057</v>
      </c>
      <c r="E33" s="404">
        <f>SUM(E34:E35)</f>
        <v>19640540.820271447</v>
      </c>
      <c r="F33" s="404">
        <f>SUM(F34:F35)</f>
        <v>291326760.26795989</v>
      </c>
      <c r="G33" s="405">
        <f>SUM(G34:G35)</f>
        <v>322070090.34091258</v>
      </c>
    </row>
    <row r="34" spans="1:7">
      <c r="A34" s="402">
        <v>26</v>
      </c>
      <c r="B34" s="406" t="s">
        <v>653</v>
      </c>
      <c r="C34" s="407"/>
      <c r="D34" s="408">
        <v>29429951.093199998</v>
      </c>
      <c r="E34" s="404"/>
      <c r="F34" s="404"/>
      <c r="G34" s="405">
        <v>29429951.093199998</v>
      </c>
    </row>
    <row r="35" spans="1:7">
      <c r="A35" s="402">
        <v>27</v>
      </c>
      <c r="B35" s="406" t="s">
        <v>654</v>
      </c>
      <c r="C35" s="404"/>
      <c r="D35" s="408">
        <v>10824013.125570059</v>
      </c>
      <c r="E35" s="404">
        <v>19640540.820271447</v>
      </c>
      <c r="F35" s="404">
        <v>291326760.26795989</v>
      </c>
      <c r="G35" s="405">
        <v>292640139.24771255</v>
      </c>
    </row>
    <row r="36" spans="1:7">
      <c r="A36" s="402">
        <v>28</v>
      </c>
      <c r="B36" s="403" t="s">
        <v>655</v>
      </c>
      <c r="C36" s="404"/>
      <c r="D36" s="408">
        <v>32788381.251691625</v>
      </c>
      <c r="E36" s="404">
        <v>33311181.816519998</v>
      </c>
      <c r="F36" s="404">
        <v>12461361.351596</v>
      </c>
      <c r="G36" s="405">
        <v>7289633.4740591617</v>
      </c>
    </row>
    <row r="37" spans="1:7">
      <c r="A37" s="409">
        <v>29</v>
      </c>
      <c r="B37" s="410" t="s">
        <v>656</v>
      </c>
      <c r="C37" s="407"/>
      <c r="D37" s="407"/>
      <c r="E37" s="407"/>
      <c r="F37" s="407"/>
      <c r="G37" s="411">
        <f>SUM(G23:G24,G32:G33,G36)</f>
        <v>738361347.59228504</v>
      </c>
    </row>
    <row r="38" spans="1:7">
      <c r="A38" s="398"/>
      <c r="B38" s="419"/>
      <c r="C38" s="592"/>
      <c r="D38" s="592"/>
      <c r="E38" s="592"/>
      <c r="F38" s="592"/>
      <c r="G38" s="420"/>
    </row>
    <row r="39" spans="1:7" ht="15.75" thickBot="1">
      <c r="A39" s="421">
        <v>30</v>
      </c>
      <c r="B39" s="422" t="s">
        <v>624</v>
      </c>
      <c r="C39" s="285"/>
      <c r="D39" s="271"/>
      <c r="E39" s="271"/>
      <c r="F39" s="423"/>
      <c r="G39" s="424">
        <f>IFERROR(G21/G37,0)</f>
        <v>1.2633324449728978</v>
      </c>
    </row>
    <row r="42" spans="1:7" ht="39">
      <c r="B42" s="18" t="s">
        <v>657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H51"/>
  <sheetViews>
    <sheetView zoomScaleNormal="100" workbookViewId="0">
      <pane xSplit="1" ySplit="5" topLeftCell="B6" activePane="bottomRight" state="frozen"/>
      <selection pane="topRight"/>
      <selection pane="bottomLeft"/>
      <selection pane="bottomRight"/>
    </sheetView>
  </sheetViews>
  <sheetFormatPr defaultRowHeight="15.75"/>
  <cols>
    <col min="1" max="1" width="9.5703125" style="15" bestFit="1" customWidth="1"/>
    <col min="2" max="2" width="88.28515625" style="13" customWidth="1"/>
    <col min="3" max="3" width="12.7109375" style="13" customWidth="1"/>
    <col min="4" max="7" width="12.7109375" style="1" customWidth="1"/>
    <col min="8" max="13" width="6.7109375" customWidth="1"/>
  </cols>
  <sheetData>
    <row r="1" spans="1:7">
      <c r="A1" s="14" t="s">
        <v>188</v>
      </c>
      <c r="B1" s="357" t="str">
        <f>Info!C2</f>
        <v>სს "ბანკი ქართუ"</v>
      </c>
    </row>
    <row r="2" spans="1:7">
      <c r="A2" s="14" t="s">
        <v>189</v>
      </c>
      <c r="B2" s="378">
        <v>44469</v>
      </c>
    </row>
    <row r="3" spans="1:7">
      <c r="A3" s="14"/>
    </row>
    <row r="4" spans="1:7" ht="16.5" thickBot="1">
      <c r="A4" s="62" t="s">
        <v>405</v>
      </c>
      <c r="B4" s="191" t="s">
        <v>223</v>
      </c>
      <c r="C4" s="192"/>
      <c r="D4" s="193"/>
      <c r="E4" s="193"/>
      <c r="F4" s="193"/>
      <c r="G4" s="193"/>
    </row>
    <row r="5" spans="1:7" ht="15">
      <c r="A5" s="258" t="s">
        <v>26</v>
      </c>
      <c r="B5" s="259"/>
      <c r="C5" s="379" t="str">
        <f>INT((MONTH($B$2))/3)&amp;"Q"&amp;"-"&amp;YEAR($B$2)</f>
        <v>3Q-2021</v>
      </c>
      <c r="D5" s="379" t="str">
        <f>IF(INT(MONTH($B$2))=3, "4"&amp;"Q"&amp;"-"&amp;YEAR($B$2)-1, IF(INT(MONTH($B$2))=6, "1"&amp;"Q"&amp;"-"&amp;YEAR($B$2), IF(INT(MONTH($B$2))=9, "2"&amp;"Q"&amp;"-"&amp;YEAR($B$2),IF(INT(MONTH($B$2))=12, "3"&amp;"Q"&amp;"-"&amp;YEAR($B$2), 0))))</f>
        <v>2Q-2021</v>
      </c>
      <c r="E5" s="379" t="str">
        <f>IF(INT(MONTH($B$2))=3, "3"&amp;"Q"&amp;"-"&amp;YEAR($B$2)-1, IF(INT(MONTH($B$2))=6, "4"&amp;"Q"&amp;"-"&amp;YEAR($B$2)-1, IF(INT(MONTH($B$2))=9, "1"&amp;"Q"&amp;"-"&amp;YEAR($B$2),IF(INT(MONTH($B$2))=12, "2"&amp;"Q"&amp;"-"&amp;YEAR($B$2), 0))))</f>
        <v>1Q-2021</v>
      </c>
      <c r="F5" s="379" t="str">
        <f>IF(INT(MONTH($B$2))=3, "2"&amp;"Q"&amp;"-"&amp;YEAR($B$2)-1, IF(INT(MONTH($B$2))=6, "3"&amp;"Q"&amp;"-"&amp;YEAR($B$2)-1, IF(INT(MONTH($B$2))=9, "4"&amp;"Q"&amp;"-"&amp;YEAR($B$2)-1,IF(INT(MONTH($B$2))=12, "1"&amp;"Q"&amp;"-"&amp;YEAR($B$2), 0))))</f>
        <v>4Q-2020</v>
      </c>
      <c r="G5" s="494" t="str">
        <f>IF(INT(MONTH($B$2))=3, "1"&amp;"Q"&amp;"-"&amp;YEAR($B$2)-1, IF(INT(MONTH($B$2))=6, "2"&amp;"Q"&amp;"-"&amp;YEAR($B$2)-1, IF(INT(MONTH($B$2))=9, "3"&amp;"Q"&amp;"-"&amp;YEAR($B$2)-1,IF(INT(MONTH($B$2))=12, "4"&amp;"Q"&amp;"-"&amp;YEAR($B$2)-1, 0))))</f>
        <v>3Q-2020</v>
      </c>
    </row>
    <row r="6" spans="1:7" ht="15">
      <c r="A6" s="380"/>
      <c r="B6" s="381" t="s">
        <v>186</v>
      </c>
      <c r="C6" s="495"/>
      <c r="D6" s="495"/>
      <c r="E6" s="495"/>
      <c r="F6" s="495"/>
      <c r="G6" s="260"/>
    </row>
    <row r="7" spans="1:7" ht="15">
      <c r="A7" s="380"/>
      <c r="B7" s="382" t="s">
        <v>190</v>
      </c>
      <c r="C7" s="495"/>
      <c r="D7" s="495"/>
      <c r="E7" s="495"/>
      <c r="F7" s="495"/>
      <c r="G7" s="260"/>
    </row>
    <row r="8" spans="1:7" ht="15">
      <c r="A8" s="361">
        <v>1</v>
      </c>
      <c r="B8" s="362" t="s">
        <v>23</v>
      </c>
      <c r="C8" s="496">
        <v>175613617.65000001</v>
      </c>
      <c r="D8" s="496">
        <v>168291279.65000001</v>
      </c>
      <c r="E8" s="496">
        <v>180388469.65000001</v>
      </c>
      <c r="F8" s="496">
        <v>171026077</v>
      </c>
      <c r="G8" s="497">
        <v>164116199</v>
      </c>
    </row>
    <row r="9" spans="1:7" ht="15">
      <c r="A9" s="361">
        <v>2</v>
      </c>
      <c r="B9" s="362" t="s">
        <v>89</v>
      </c>
      <c r="C9" s="496">
        <v>259929217.65000001</v>
      </c>
      <c r="D9" s="496">
        <v>253619379.65000001</v>
      </c>
      <c r="E9" s="496">
        <v>238389069.65000001</v>
      </c>
      <c r="F9" s="496">
        <v>226728277</v>
      </c>
      <c r="G9" s="497">
        <v>187130799</v>
      </c>
    </row>
    <row r="10" spans="1:7" ht="15">
      <c r="A10" s="361">
        <v>3</v>
      </c>
      <c r="B10" s="362" t="s">
        <v>88</v>
      </c>
      <c r="C10" s="496">
        <v>309904913.64999998</v>
      </c>
      <c r="D10" s="496">
        <v>351699748.64999998</v>
      </c>
      <c r="E10" s="496">
        <v>419211592.64999998</v>
      </c>
      <c r="F10" s="496">
        <v>400582803</v>
      </c>
      <c r="G10" s="497">
        <v>425737869</v>
      </c>
    </row>
    <row r="11" spans="1:7" ht="15">
      <c r="A11" s="361">
        <v>4</v>
      </c>
      <c r="B11" s="362" t="s">
        <v>615</v>
      </c>
      <c r="C11" s="496">
        <v>138365879.42782193</v>
      </c>
      <c r="D11" s="496">
        <v>145963792.78535116</v>
      </c>
      <c r="E11" s="496">
        <v>159279293.63442346</v>
      </c>
      <c r="F11" s="496">
        <v>140186595.68914956</v>
      </c>
      <c r="G11" s="497">
        <v>88331728.488419667</v>
      </c>
    </row>
    <row r="12" spans="1:7" ht="15">
      <c r="A12" s="361">
        <v>5</v>
      </c>
      <c r="B12" s="362" t="s">
        <v>616</v>
      </c>
      <c r="C12" s="496">
        <v>173604853.06885102</v>
      </c>
      <c r="D12" s="496">
        <v>183360504.28682971</v>
      </c>
      <c r="E12" s="496">
        <v>200349795.65585443</v>
      </c>
      <c r="F12" s="496">
        <v>174966591.98411831</v>
      </c>
      <c r="G12" s="497">
        <v>117813197.48385058</v>
      </c>
    </row>
    <row r="13" spans="1:7" ht="15">
      <c r="A13" s="361">
        <v>6</v>
      </c>
      <c r="B13" s="362" t="s">
        <v>617</v>
      </c>
      <c r="C13" s="496">
        <v>265118839.3574006</v>
      </c>
      <c r="D13" s="496">
        <v>282749317.92180848</v>
      </c>
      <c r="E13" s="496">
        <v>310509572.82126808</v>
      </c>
      <c r="F13" s="496">
        <v>310408552.82748038</v>
      </c>
      <c r="G13" s="497">
        <v>238598136.8853966</v>
      </c>
    </row>
    <row r="14" spans="1:7" ht="15">
      <c r="A14" s="380"/>
      <c r="B14" s="381" t="s">
        <v>619</v>
      </c>
      <c r="C14" s="495"/>
      <c r="D14" s="495"/>
      <c r="E14" s="495"/>
      <c r="F14" s="495"/>
      <c r="G14" s="260"/>
    </row>
    <row r="15" spans="1:7" ht="15" customHeight="1">
      <c r="A15" s="361">
        <v>7</v>
      </c>
      <c r="B15" s="362" t="s">
        <v>618</v>
      </c>
      <c r="C15" s="496">
        <v>1318377848.5747347</v>
      </c>
      <c r="D15" s="496">
        <v>1364203504.3029904</v>
      </c>
      <c r="E15" s="496">
        <v>1458081188.9781187</v>
      </c>
      <c r="F15" s="496">
        <v>1448539441.0368302</v>
      </c>
      <c r="G15" s="497">
        <v>1452187561.9034677</v>
      </c>
    </row>
    <row r="16" spans="1:7" ht="15">
      <c r="A16" s="380"/>
      <c r="B16" s="381" t="s">
        <v>623</v>
      </c>
      <c r="C16" s="495"/>
      <c r="D16" s="495"/>
      <c r="E16" s="495"/>
      <c r="F16" s="495"/>
      <c r="G16" s="260"/>
    </row>
    <row r="17" spans="1:8" ht="15">
      <c r="A17" s="361"/>
      <c r="B17" s="382" t="s">
        <v>604</v>
      </c>
      <c r="C17" s="495"/>
      <c r="D17" s="495"/>
      <c r="E17" s="495"/>
      <c r="F17" s="495"/>
      <c r="G17" s="260"/>
    </row>
    <row r="18" spans="1:8" ht="15">
      <c r="A18" s="361">
        <v>8</v>
      </c>
      <c r="B18" s="362" t="s">
        <v>613</v>
      </c>
      <c r="C18" s="391">
        <v>0.13320431455963214</v>
      </c>
      <c r="D18" s="391">
        <v>0.1233622983075276</v>
      </c>
      <c r="E18" s="391">
        <v>0.1237163410471151</v>
      </c>
      <c r="F18" s="391">
        <v>0.11806794634296157</v>
      </c>
      <c r="G18" s="392">
        <v>0.11301308681151576</v>
      </c>
      <c r="H18" s="842"/>
    </row>
    <row r="19" spans="1:8" ht="15" customHeight="1">
      <c r="A19" s="361">
        <v>9</v>
      </c>
      <c r="B19" s="362" t="s">
        <v>612</v>
      </c>
      <c r="C19" s="391">
        <v>0.19715836240043247</v>
      </c>
      <c r="D19" s="391">
        <v>0.1859102244276826</v>
      </c>
      <c r="E19" s="391">
        <v>0.16349505874708703</v>
      </c>
      <c r="F19" s="391">
        <v>0.15652199075622911</v>
      </c>
      <c r="G19" s="392">
        <v>0.12886131510086524</v>
      </c>
      <c r="H19" s="842"/>
    </row>
    <row r="20" spans="1:8" ht="15">
      <c r="A20" s="361">
        <v>10</v>
      </c>
      <c r="B20" s="362" t="s">
        <v>614</v>
      </c>
      <c r="C20" s="391">
        <v>0.23506532211917125</v>
      </c>
      <c r="D20" s="391">
        <v>0.25780592671156727</v>
      </c>
      <c r="E20" s="391">
        <v>0.28750908784702184</v>
      </c>
      <c r="F20" s="391">
        <v>0.27654255842234599</v>
      </c>
      <c r="G20" s="392">
        <v>0.29317002856157254</v>
      </c>
      <c r="H20" s="842"/>
    </row>
    <row r="21" spans="1:8" ht="15">
      <c r="A21" s="361">
        <v>11</v>
      </c>
      <c r="B21" s="362" t="s">
        <v>615</v>
      </c>
      <c r="C21" s="498">
        <v>0.10495161123755668</v>
      </c>
      <c r="D21" s="498">
        <v>0.10699561489539504</v>
      </c>
      <c r="E21" s="498">
        <v>0.10923897437155247</v>
      </c>
      <c r="F21" s="498">
        <v>9.6777893454393846E-2</v>
      </c>
      <c r="G21" s="499">
        <v>6.0826666475946173E-2</v>
      </c>
    </row>
    <row r="22" spans="1:8" ht="15">
      <c r="A22" s="361">
        <v>12</v>
      </c>
      <c r="B22" s="362" t="s">
        <v>616</v>
      </c>
      <c r="C22" s="498">
        <v>0.13168065077589924</v>
      </c>
      <c r="D22" s="498">
        <v>0.13440846890399516</v>
      </c>
      <c r="E22" s="498">
        <v>0.13740647446132101</v>
      </c>
      <c r="F22" s="498">
        <v>0.12078828303003016</v>
      </c>
      <c r="G22" s="499">
        <v>8.1128086050692994E-2</v>
      </c>
    </row>
    <row r="23" spans="1:8" ht="15">
      <c r="A23" s="361">
        <v>13</v>
      </c>
      <c r="B23" s="362" t="s">
        <v>617</v>
      </c>
      <c r="C23" s="498">
        <v>0.20109473141103967</v>
      </c>
      <c r="D23" s="498">
        <v>0.20726329834951787</v>
      </c>
      <c r="E23" s="498">
        <v>0.21295767009989722</v>
      </c>
      <c r="F23" s="498">
        <v>0.21429071520848428</v>
      </c>
      <c r="G23" s="499">
        <v>0.16430256197254023</v>
      </c>
    </row>
    <row r="24" spans="1:8" ht="15">
      <c r="A24" s="380"/>
      <c r="B24" s="381" t="s">
        <v>6</v>
      </c>
      <c r="C24" s="495"/>
      <c r="D24" s="495"/>
      <c r="E24" s="495"/>
      <c r="F24" s="495"/>
      <c r="G24" s="260"/>
    </row>
    <row r="25" spans="1:8" ht="15" customHeight="1">
      <c r="A25" s="383">
        <v>14</v>
      </c>
      <c r="B25" s="384" t="s">
        <v>7</v>
      </c>
      <c r="C25" s="391">
        <v>5.8734843791540745E-2</v>
      </c>
      <c r="D25" s="391">
        <v>5.5542293726259066E-2</v>
      </c>
      <c r="E25" s="391">
        <v>4.9308039280143698E-2</v>
      </c>
      <c r="F25" s="391">
        <v>5.7798008621737444E-2</v>
      </c>
      <c r="G25" s="500">
        <v>5.7254344290042912E-2</v>
      </c>
      <c r="H25" s="842"/>
    </row>
    <row r="26" spans="1:8" ht="15">
      <c r="A26" s="383">
        <v>15</v>
      </c>
      <c r="B26" s="384" t="s">
        <v>8</v>
      </c>
      <c r="C26" s="391">
        <v>2.6580411114409629E-2</v>
      </c>
      <c r="D26" s="391">
        <v>2.6655256322156262E-2</v>
      </c>
      <c r="E26" s="391">
        <v>2.5907335762192122E-2</v>
      </c>
      <c r="F26" s="391">
        <v>2.6432057290733939E-2</v>
      </c>
      <c r="G26" s="500">
        <v>2.6058620101981084E-2</v>
      </c>
      <c r="H26" s="842"/>
    </row>
    <row r="27" spans="1:8" ht="15">
      <c r="A27" s="383">
        <v>16</v>
      </c>
      <c r="B27" s="384" t="s">
        <v>9</v>
      </c>
      <c r="C27" s="391">
        <v>2.4212417832762862E-2</v>
      </c>
      <c r="D27" s="391">
        <v>2.4645138820403801E-2</v>
      </c>
      <c r="E27" s="391">
        <v>2.7599250829665765E-2</v>
      </c>
      <c r="F27" s="391">
        <v>1.7974020495611802E-2</v>
      </c>
      <c r="G27" s="500">
        <v>1.7390057315518369E-2</v>
      </c>
      <c r="H27" s="842"/>
    </row>
    <row r="28" spans="1:8" ht="15">
      <c r="A28" s="383">
        <v>17</v>
      </c>
      <c r="B28" s="384" t="s">
        <v>224</v>
      </c>
      <c r="C28" s="391">
        <v>3.2154432677131126E-2</v>
      </c>
      <c r="D28" s="391">
        <v>2.8887037404102808E-2</v>
      </c>
      <c r="E28" s="391">
        <v>2.3400703517951572E-2</v>
      </c>
      <c r="F28" s="391">
        <v>3.1365951331003505E-2</v>
      </c>
      <c r="G28" s="500">
        <v>3.1195724188061824E-2</v>
      </c>
      <c r="H28" s="842"/>
    </row>
    <row r="29" spans="1:8" ht="15">
      <c r="A29" s="383">
        <v>18</v>
      </c>
      <c r="B29" s="384" t="s">
        <v>10</v>
      </c>
      <c r="C29" s="391">
        <v>2.2211413514672047E-2</v>
      </c>
      <c r="D29" s="391">
        <v>2.2677858071597234E-2</v>
      </c>
      <c r="E29" s="391">
        <v>2.4210249063772265E-2</v>
      </c>
      <c r="F29" s="391">
        <v>-1.895280121225831E-2</v>
      </c>
      <c r="G29" s="500">
        <v>-3.1113725196758139E-2</v>
      </c>
      <c r="H29" s="842"/>
    </row>
    <row r="30" spans="1:8" ht="15">
      <c r="A30" s="383">
        <v>19</v>
      </c>
      <c r="B30" s="384" t="s">
        <v>11</v>
      </c>
      <c r="C30" s="391">
        <v>0.16787117394092582</v>
      </c>
      <c r="D30" s="391">
        <v>0.17453698031898413</v>
      </c>
      <c r="E30" s="391">
        <v>0.18932634371953191</v>
      </c>
      <c r="F30" s="391">
        <v>-0.13653204235450236</v>
      </c>
      <c r="G30" s="500">
        <v>-0.21923859389273789</v>
      </c>
      <c r="H30" s="842"/>
    </row>
    <row r="31" spans="1:8" ht="15">
      <c r="A31" s="380"/>
      <c r="B31" s="381" t="s">
        <v>12</v>
      </c>
      <c r="C31" s="495"/>
      <c r="D31" s="495"/>
      <c r="E31" s="495"/>
      <c r="F31" s="495"/>
      <c r="G31" s="260"/>
    </row>
    <row r="32" spans="1:8" ht="15">
      <c r="A32" s="383">
        <v>20</v>
      </c>
      <c r="B32" s="384" t="s">
        <v>13</v>
      </c>
      <c r="C32" s="391">
        <v>0.35630392196599409</v>
      </c>
      <c r="D32" s="391">
        <v>0.35472797783322557</v>
      </c>
      <c r="E32" s="391">
        <v>0.34742919152744028</v>
      </c>
      <c r="F32" s="391">
        <v>0.34985489375950574</v>
      </c>
      <c r="G32" s="500">
        <v>0.3667970977145078</v>
      </c>
      <c r="H32" s="842"/>
    </row>
    <row r="33" spans="1:8" ht="15" customHeight="1">
      <c r="A33" s="383">
        <v>21</v>
      </c>
      <c r="B33" s="384" t="s">
        <v>14</v>
      </c>
      <c r="C33" s="391">
        <v>0.16969773024225895</v>
      </c>
      <c r="D33" s="391">
        <v>0.16766481389724347</v>
      </c>
      <c r="E33" s="391">
        <v>0.16016029623217928</v>
      </c>
      <c r="F33" s="391">
        <v>0.16101958424404253</v>
      </c>
      <c r="G33" s="500">
        <v>0.17179922339227699</v>
      </c>
      <c r="H33" s="842"/>
    </row>
    <row r="34" spans="1:8" ht="15">
      <c r="A34" s="383">
        <v>22</v>
      </c>
      <c r="B34" s="384" t="s">
        <v>15</v>
      </c>
      <c r="C34" s="391">
        <v>0.67609118361544418</v>
      </c>
      <c r="D34" s="391">
        <v>0.67110475618654031</v>
      </c>
      <c r="E34" s="391">
        <v>0.68939866376839776</v>
      </c>
      <c r="F34" s="391">
        <v>0.6614950302500493</v>
      </c>
      <c r="G34" s="500">
        <v>0.67483223056505193</v>
      </c>
      <c r="H34" s="842"/>
    </row>
    <row r="35" spans="1:8" ht="15" customHeight="1">
      <c r="A35" s="383">
        <v>23</v>
      </c>
      <c r="B35" s="384" t="s">
        <v>16</v>
      </c>
      <c r="C35" s="391">
        <v>0.67865249363567326</v>
      </c>
      <c r="D35" s="391">
        <v>0.69225947801502896</v>
      </c>
      <c r="E35" s="391">
        <v>0.70344948211524705</v>
      </c>
      <c r="F35" s="391">
        <v>0.67343143849694653</v>
      </c>
      <c r="G35" s="500">
        <v>0.68508977678245853</v>
      </c>
      <c r="H35" s="842"/>
    </row>
    <row r="36" spans="1:8" ht="15">
      <c r="A36" s="383">
        <v>24</v>
      </c>
      <c r="B36" s="384" t="s">
        <v>17</v>
      </c>
      <c r="C36" s="391">
        <v>-9.9150915080462032E-2</v>
      </c>
      <c r="D36" s="391">
        <v>-5.6507426203625366E-2</v>
      </c>
      <c r="E36" s="391">
        <v>2.670841919251421E-2</v>
      </c>
      <c r="F36" s="391">
        <v>0.18752038665288917</v>
      </c>
      <c r="G36" s="500">
        <v>0.12519015126108557</v>
      </c>
      <c r="H36" s="842"/>
    </row>
    <row r="37" spans="1:8" ht="15" customHeight="1">
      <c r="A37" s="380"/>
      <c r="B37" s="381" t="s">
        <v>18</v>
      </c>
      <c r="C37" s="495"/>
      <c r="D37" s="495"/>
      <c r="E37" s="495"/>
      <c r="F37" s="495"/>
      <c r="G37" s="260"/>
    </row>
    <row r="38" spans="1:8" ht="15" customHeight="1">
      <c r="A38" s="383">
        <v>25</v>
      </c>
      <c r="B38" s="384" t="s">
        <v>19</v>
      </c>
      <c r="C38" s="391">
        <v>0.29753365588698838</v>
      </c>
      <c r="D38" s="391">
        <v>0.2919400858310241</v>
      </c>
      <c r="E38" s="391">
        <v>0.28325995888446787</v>
      </c>
      <c r="F38" s="391">
        <v>0.27347141396724822</v>
      </c>
      <c r="G38" s="500">
        <v>0.3086875655424145</v>
      </c>
      <c r="H38" s="842"/>
    </row>
    <row r="39" spans="1:8" ht="15" customHeight="1">
      <c r="A39" s="383">
        <v>26</v>
      </c>
      <c r="B39" s="384" t="s">
        <v>20</v>
      </c>
      <c r="C39" s="391">
        <v>0.85097565903823214</v>
      </c>
      <c r="D39" s="391">
        <v>0.86001489400574915</v>
      </c>
      <c r="E39" s="391">
        <v>0.88554498687629501</v>
      </c>
      <c r="F39" s="391">
        <v>0.8639255370211254</v>
      </c>
      <c r="G39" s="500">
        <v>0.85640675493683238</v>
      </c>
      <c r="H39" s="842"/>
    </row>
    <row r="40" spans="1:8" ht="15" customHeight="1">
      <c r="A40" s="383">
        <v>27</v>
      </c>
      <c r="B40" s="385" t="s">
        <v>21</v>
      </c>
      <c r="C40" s="391">
        <v>0.35146013112548596</v>
      </c>
      <c r="D40" s="391">
        <v>0.30285646200244348</v>
      </c>
      <c r="E40" s="391">
        <v>0.29508951140373502</v>
      </c>
      <c r="F40" s="391">
        <v>0.31707029103061257</v>
      </c>
      <c r="G40" s="500">
        <v>0.32613572964272519</v>
      </c>
      <c r="H40" s="842"/>
    </row>
    <row r="41" spans="1:8" ht="15" customHeight="1">
      <c r="A41" s="389"/>
      <c r="B41" s="381" t="s">
        <v>525</v>
      </c>
      <c r="C41" s="495"/>
      <c r="D41" s="495"/>
      <c r="E41" s="495"/>
      <c r="F41" s="495"/>
      <c r="G41" s="260"/>
    </row>
    <row r="42" spans="1:8" ht="15" customHeight="1">
      <c r="A42" s="383">
        <v>28</v>
      </c>
      <c r="B42" s="427" t="s">
        <v>509</v>
      </c>
      <c r="C42" s="385">
        <v>366706723.50065273</v>
      </c>
      <c r="D42" s="385">
        <v>396583679.82541364</v>
      </c>
      <c r="E42" s="385">
        <v>401929885.62160707</v>
      </c>
      <c r="F42" s="385">
        <v>364179944.89409655</v>
      </c>
      <c r="G42" s="388">
        <v>353567646.6511544</v>
      </c>
      <c r="H42" s="842"/>
    </row>
    <row r="43" spans="1:8" ht="15">
      <c r="A43" s="383">
        <v>29</v>
      </c>
      <c r="B43" s="384" t="s">
        <v>510</v>
      </c>
      <c r="C43" s="386">
        <v>183443529.42646217</v>
      </c>
      <c r="D43" s="386">
        <v>183554387.7792919</v>
      </c>
      <c r="E43" s="386">
        <v>194922768.10077018</v>
      </c>
      <c r="F43" s="386">
        <v>195000359.53773654</v>
      </c>
      <c r="G43" s="387">
        <v>191701831.13834506</v>
      </c>
      <c r="H43" s="842"/>
    </row>
    <row r="44" spans="1:8" thickBot="1">
      <c r="A44" s="425">
        <v>30</v>
      </c>
      <c r="B44" s="426" t="s">
        <v>508</v>
      </c>
      <c r="C44" s="501">
        <v>1.9990169435093434</v>
      </c>
      <c r="D44" s="501">
        <v>2.1605785872156367</v>
      </c>
      <c r="E44" s="501">
        <v>2.0619955766984561</v>
      </c>
      <c r="F44" s="501">
        <v>1.8675860175715231</v>
      </c>
      <c r="G44" s="502">
        <v>1.8443623858553337</v>
      </c>
      <c r="H44" s="842"/>
    </row>
    <row r="45" spans="1:8" ht="15">
      <c r="A45" s="425"/>
      <c r="B45" s="381" t="s">
        <v>624</v>
      </c>
      <c r="C45" s="495"/>
      <c r="D45" s="495"/>
      <c r="E45" s="495"/>
      <c r="F45" s="495"/>
      <c r="G45" s="260"/>
    </row>
    <row r="46" spans="1:8" ht="15">
      <c r="A46" s="425">
        <v>31</v>
      </c>
      <c r="B46" s="426" t="s">
        <v>631</v>
      </c>
      <c r="C46" s="503">
        <v>932795846.52724504</v>
      </c>
      <c r="D46" s="503">
        <v>966294672.35287499</v>
      </c>
      <c r="E46" s="503">
        <v>1060644682.2611049</v>
      </c>
      <c r="F46" s="503">
        <v>1034490332.6695256</v>
      </c>
      <c r="G46" s="504">
        <v>1039782890.381465</v>
      </c>
    </row>
    <row r="47" spans="1:8" ht="15">
      <c r="A47" s="425">
        <v>32</v>
      </c>
      <c r="B47" s="426" t="s">
        <v>644</v>
      </c>
      <c r="C47" s="505">
        <v>738361347.59228504</v>
      </c>
      <c r="D47" s="505">
        <v>759925219.10264087</v>
      </c>
      <c r="E47" s="505">
        <v>808096025.73969662</v>
      </c>
      <c r="F47" s="505">
        <v>832092658.43730593</v>
      </c>
      <c r="G47" s="506">
        <v>761299444.62701607</v>
      </c>
    </row>
    <row r="48" spans="1:8" thickBot="1">
      <c r="A48" s="110">
        <v>33</v>
      </c>
      <c r="B48" s="213" t="s">
        <v>658</v>
      </c>
      <c r="C48" s="507">
        <v>1.2633324449728978</v>
      </c>
      <c r="D48" s="507">
        <v>1.2715654752107397</v>
      </c>
      <c r="E48" s="507">
        <v>1.3125230770566358</v>
      </c>
      <c r="F48" s="507">
        <v>1.2432393462193603</v>
      </c>
      <c r="G48" s="508">
        <v>1.3658001430578823</v>
      </c>
    </row>
    <row r="49" spans="1:2">
      <c r="A49" s="16"/>
    </row>
    <row r="50" spans="1:2" ht="39.75">
      <c r="B50" s="18" t="s">
        <v>603</v>
      </c>
    </row>
    <row r="51" spans="1:2" ht="65.25">
      <c r="B51" s="301" t="s">
        <v>524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C1" zoomScaleNormal="100" workbookViewId="0"/>
  </sheetViews>
  <sheetFormatPr defaultColWidth="9.28515625" defaultRowHeight="12.75"/>
  <cols>
    <col min="1" max="1" width="11.7109375" style="430" bestFit="1" customWidth="1"/>
    <col min="2" max="2" width="105.28515625" style="430" bestFit="1" customWidth="1"/>
    <col min="3" max="4" width="17.28515625" style="430" bestFit="1" customWidth="1"/>
    <col min="5" max="5" width="17.42578125" style="430" bestFit="1" customWidth="1"/>
    <col min="6" max="6" width="17.28515625" style="430" bestFit="1" customWidth="1"/>
    <col min="7" max="7" width="30.42578125" style="430" customWidth="1"/>
    <col min="8" max="8" width="18.7109375" style="430" bestFit="1" customWidth="1"/>
    <col min="9" max="16384" width="9.28515625" style="430"/>
  </cols>
  <sheetData>
    <row r="1" spans="1:8">
      <c r="A1" s="429" t="s">
        <v>188</v>
      </c>
      <c r="B1" s="596" t="str">
        <f>'1. key ratios'!B1</f>
        <v>სს "ბანკი ქართუ"</v>
      </c>
    </row>
    <row r="2" spans="1:8" ht="13.5">
      <c r="A2" s="429" t="s">
        <v>189</v>
      </c>
      <c r="B2" s="390">
        <f>'1. key ratios'!B2</f>
        <v>44469</v>
      </c>
    </row>
    <row r="3" spans="1:8">
      <c r="A3" s="431" t="s">
        <v>664</v>
      </c>
      <c r="B3" s="432"/>
    </row>
    <row r="5" spans="1:8">
      <c r="A5" s="730" t="s">
        <v>665</v>
      </c>
      <c r="B5" s="731"/>
      <c r="C5" s="736" t="s">
        <v>666</v>
      </c>
      <c r="D5" s="737"/>
      <c r="E5" s="737"/>
      <c r="F5" s="737"/>
      <c r="G5" s="737"/>
      <c r="H5" s="738"/>
    </row>
    <row r="6" spans="1:8">
      <c r="A6" s="732"/>
      <c r="B6" s="733"/>
      <c r="C6" s="739"/>
      <c r="D6" s="740"/>
      <c r="E6" s="740"/>
      <c r="F6" s="740"/>
      <c r="G6" s="740"/>
      <c r="H6" s="741"/>
    </row>
    <row r="7" spans="1:8" ht="25.5">
      <c r="A7" s="734"/>
      <c r="B7" s="735"/>
      <c r="C7" s="433" t="s">
        <v>667</v>
      </c>
      <c r="D7" s="433" t="s">
        <v>668</v>
      </c>
      <c r="E7" s="433" t="s">
        <v>669</v>
      </c>
      <c r="F7" s="433" t="s">
        <v>670</v>
      </c>
      <c r="G7" s="433" t="s">
        <v>941</v>
      </c>
      <c r="H7" s="433" t="s">
        <v>68</v>
      </c>
    </row>
    <row r="8" spans="1:8">
      <c r="A8" s="434">
        <v>1</v>
      </c>
      <c r="B8" s="435" t="s">
        <v>216</v>
      </c>
      <c r="C8" s="593">
        <v>211633516</v>
      </c>
      <c r="D8" s="593">
        <v>2433076</v>
      </c>
      <c r="E8" s="593">
        <v>14054000.26</v>
      </c>
      <c r="F8" s="593">
        <v>21053000</v>
      </c>
      <c r="G8" s="593"/>
      <c r="H8" s="594">
        <f>SUM(C8:G8)</f>
        <v>249173592.25999999</v>
      </c>
    </row>
    <row r="9" spans="1:8">
      <c r="A9" s="434">
        <v>2</v>
      </c>
      <c r="B9" s="435" t="s">
        <v>217</v>
      </c>
      <c r="C9" s="593"/>
      <c r="D9" s="593"/>
      <c r="E9" s="593"/>
      <c r="F9" s="593"/>
      <c r="G9" s="593"/>
      <c r="H9" s="594">
        <f t="shared" ref="H9:H21" si="0">SUM(C9:G9)</f>
        <v>0</v>
      </c>
    </row>
    <row r="10" spans="1:8">
      <c r="A10" s="434">
        <v>3</v>
      </c>
      <c r="B10" s="435" t="s">
        <v>218</v>
      </c>
      <c r="C10" s="593"/>
      <c r="D10" s="593"/>
      <c r="E10" s="593"/>
      <c r="F10" s="593"/>
      <c r="G10" s="593"/>
      <c r="H10" s="594">
        <f t="shared" si="0"/>
        <v>0</v>
      </c>
    </row>
    <row r="11" spans="1:8">
      <c r="A11" s="434">
        <v>4</v>
      </c>
      <c r="B11" s="435" t="s">
        <v>219</v>
      </c>
      <c r="C11" s="593"/>
      <c r="D11" s="593"/>
      <c r="E11" s="593"/>
      <c r="F11" s="593"/>
      <c r="G11" s="593"/>
      <c r="H11" s="594">
        <f t="shared" si="0"/>
        <v>0</v>
      </c>
    </row>
    <row r="12" spans="1:8">
      <c r="A12" s="434">
        <v>5</v>
      </c>
      <c r="B12" s="435" t="s">
        <v>220</v>
      </c>
      <c r="C12" s="593"/>
      <c r="D12" s="593"/>
      <c r="E12" s="593"/>
      <c r="F12" s="593"/>
      <c r="G12" s="593"/>
      <c r="H12" s="594">
        <f t="shared" si="0"/>
        <v>0</v>
      </c>
    </row>
    <row r="13" spans="1:8">
      <c r="A13" s="434">
        <v>6</v>
      </c>
      <c r="B13" s="435" t="s">
        <v>221</v>
      </c>
      <c r="C13" s="593">
        <v>45308994.119999997</v>
      </c>
      <c r="D13" s="593">
        <v>61990865</v>
      </c>
      <c r="E13" s="593">
        <v>2400</v>
      </c>
      <c r="F13" s="593">
        <v>4749405.75</v>
      </c>
      <c r="G13" s="593"/>
      <c r="H13" s="594">
        <f t="shared" si="0"/>
        <v>112051664.87</v>
      </c>
    </row>
    <row r="14" spans="1:8">
      <c r="A14" s="434">
        <v>7</v>
      </c>
      <c r="B14" s="435" t="s">
        <v>73</v>
      </c>
      <c r="C14" s="593"/>
      <c r="D14" s="593">
        <v>252269814.21045691</v>
      </c>
      <c r="E14" s="593">
        <v>236835118.61452198</v>
      </c>
      <c r="F14" s="593">
        <v>295174358.0729599</v>
      </c>
      <c r="G14" s="593">
        <v>53381319.306375958</v>
      </c>
      <c r="H14" s="594">
        <f t="shared" si="0"/>
        <v>837660610.20431471</v>
      </c>
    </row>
    <row r="15" spans="1:8">
      <c r="A15" s="434">
        <v>8</v>
      </c>
      <c r="B15" s="437" t="s">
        <v>74</v>
      </c>
      <c r="C15" s="593"/>
      <c r="D15" s="593"/>
      <c r="E15" s="593"/>
      <c r="F15" s="593"/>
      <c r="G15" s="593"/>
      <c r="H15" s="594">
        <f t="shared" si="0"/>
        <v>0</v>
      </c>
    </row>
    <row r="16" spans="1:8">
      <c r="A16" s="434">
        <v>9</v>
      </c>
      <c r="B16" s="435" t="s">
        <v>75</v>
      </c>
      <c r="C16" s="593"/>
      <c r="D16" s="593"/>
      <c r="E16" s="593"/>
      <c r="F16" s="593"/>
      <c r="G16" s="593"/>
      <c r="H16" s="594">
        <f t="shared" si="0"/>
        <v>0</v>
      </c>
    </row>
    <row r="17" spans="1:8">
      <c r="A17" s="434">
        <v>10</v>
      </c>
      <c r="B17" s="493" t="s">
        <v>692</v>
      </c>
      <c r="C17" s="593"/>
      <c r="D17" s="593">
        <v>25828212.877357006</v>
      </c>
      <c r="E17" s="593">
        <v>33253782.333668023</v>
      </c>
      <c r="F17" s="593">
        <v>38055633.851479001</v>
      </c>
      <c r="G17" s="593">
        <v>52971482.509067953</v>
      </c>
      <c r="H17" s="594">
        <f t="shared" si="0"/>
        <v>150109111.57157198</v>
      </c>
    </row>
    <row r="18" spans="1:8">
      <c r="A18" s="434">
        <v>11</v>
      </c>
      <c r="B18" s="435" t="s">
        <v>70</v>
      </c>
      <c r="C18" s="593"/>
      <c r="D18" s="593"/>
      <c r="E18" s="593"/>
      <c r="F18" s="593"/>
      <c r="G18" s="593"/>
      <c r="H18" s="594">
        <f t="shared" si="0"/>
        <v>0</v>
      </c>
    </row>
    <row r="19" spans="1:8">
      <c r="A19" s="434">
        <v>12</v>
      </c>
      <c r="B19" s="435" t="s">
        <v>71</v>
      </c>
      <c r="C19" s="593"/>
      <c r="D19" s="593"/>
      <c r="E19" s="593"/>
      <c r="F19" s="593"/>
      <c r="G19" s="593"/>
      <c r="H19" s="594">
        <f t="shared" si="0"/>
        <v>0</v>
      </c>
    </row>
    <row r="20" spans="1:8">
      <c r="A20" s="438">
        <v>13</v>
      </c>
      <c r="B20" s="437" t="s">
        <v>72</v>
      </c>
      <c r="C20" s="593"/>
      <c r="D20" s="593"/>
      <c r="E20" s="593"/>
      <c r="F20" s="593"/>
      <c r="G20" s="593"/>
      <c r="H20" s="594">
        <f t="shared" si="0"/>
        <v>0</v>
      </c>
    </row>
    <row r="21" spans="1:8">
      <c r="A21" s="434">
        <v>14</v>
      </c>
      <c r="B21" s="435" t="s">
        <v>671</v>
      </c>
      <c r="C21" s="593">
        <v>32557084</v>
      </c>
      <c r="D21" s="593">
        <v>3979446.068895</v>
      </c>
      <c r="E21" s="593">
        <v>3578636.6461380008</v>
      </c>
      <c r="F21" s="593">
        <v>16113046.041647008</v>
      </c>
      <c r="G21" s="593">
        <v>52530410.484203994</v>
      </c>
      <c r="H21" s="594">
        <f t="shared" si="0"/>
        <v>108758623.24088401</v>
      </c>
    </row>
    <row r="22" spans="1:8">
      <c r="A22" s="439">
        <v>15</v>
      </c>
      <c r="B22" s="436" t="s">
        <v>68</v>
      </c>
      <c r="C22" s="594">
        <f>SUM(C18:C21)+SUM(C8:C16)</f>
        <v>289499594.12</v>
      </c>
      <c r="D22" s="594">
        <f t="shared" ref="D22:G22" si="1">SUM(D18:D21)+SUM(D8:D16)</f>
        <v>320673201.27935189</v>
      </c>
      <c r="E22" s="594">
        <f t="shared" si="1"/>
        <v>254470155.52065998</v>
      </c>
      <c r="F22" s="594">
        <f t="shared" si="1"/>
        <v>337089809.86460692</v>
      </c>
      <c r="G22" s="594">
        <f t="shared" si="1"/>
        <v>105911729.79057994</v>
      </c>
      <c r="H22" s="594">
        <f>SUM(H18:H21)+SUM(H8:H16)</f>
        <v>1307644490.5751989</v>
      </c>
    </row>
    <row r="26" spans="1:8" ht="38.25">
      <c r="B26" s="492" t="s">
        <v>940</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90" zoomScaleNormal="90" workbookViewId="0"/>
  </sheetViews>
  <sheetFormatPr defaultColWidth="9.28515625" defaultRowHeight="12.75"/>
  <cols>
    <col min="1" max="1" width="11.7109375" style="440" bestFit="1" customWidth="1"/>
    <col min="2" max="2" width="114.7109375" style="430" customWidth="1"/>
    <col min="3" max="3" width="22.42578125" style="430" customWidth="1"/>
    <col min="4" max="4" width="23.5703125" style="430" customWidth="1"/>
    <col min="5" max="8" width="22.28515625" style="430" customWidth="1"/>
    <col min="9" max="9" width="41.42578125" style="430" customWidth="1"/>
    <col min="10" max="16384" width="9.28515625" style="430"/>
  </cols>
  <sheetData>
    <row r="1" spans="1:9">
      <c r="A1" s="429" t="s">
        <v>188</v>
      </c>
      <c r="B1" s="596" t="str">
        <f>'1. key ratios'!B1</f>
        <v>სს "ბანკი ქართუ"</v>
      </c>
    </row>
    <row r="2" spans="1:9" ht="13.5">
      <c r="A2" s="429" t="s">
        <v>189</v>
      </c>
      <c r="B2" s="390">
        <f>'1. key ratios'!B2</f>
        <v>44469</v>
      </c>
    </row>
    <row r="3" spans="1:9">
      <c r="A3" s="431" t="s">
        <v>672</v>
      </c>
      <c r="B3" s="432"/>
    </row>
    <row r="4" spans="1:9">
      <c r="C4" s="441" t="s">
        <v>673</v>
      </c>
      <c r="D4" s="441" t="s">
        <v>674</v>
      </c>
      <c r="E4" s="441" t="s">
        <v>675</v>
      </c>
      <c r="F4" s="441" t="s">
        <v>676</v>
      </c>
      <c r="G4" s="441" t="s">
        <v>677</v>
      </c>
      <c r="H4" s="441" t="s">
        <v>678</v>
      </c>
      <c r="I4" s="441" t="s">
        <v>679</v>
      </c>
    </row>
    <row r="5" spans="1:9" ht="34.15" customHeight="1">
      <c r="A5" s="730" t="s">
        <v>682</v>
      </c>
      <c r="B5" s="731"/>
      <c r="C5" s="744" t="s">
        <v>683</v>
      </c>
      <c r="D5" s="744"/>
      <c r="E5" s="744" t="s">
        <v>684</v>
      </c>
      <c r="F5" s="744" t="s">
        <v>685</v>
      </c>
      <c r="G5" s="742" t="s">
        <v>686</v>
      </c>
      <c r="H5" s="742" t="s">
        <v>687</v>
      </c>
      <c r="I5" s="442" t="s">
        <v>688</v>
      </c>
    </row>
    <row r="6" spans="1:9" ht="38.25">
      <c r="A6" s="734"/>
      <c r="B6" s="735"/>
      <c r="C6" s="476" t="s">
        <v>689</v>
      </c>
      <c r="D6" s="476" t="s">
        <v>690</v>
      </c>
      <c r="E6" s="744"/>
      <c r="F6" s="744"/>
      <c r="G6" s="743"/>
      <c r="H6" s="743"/>
      <c r="I6" s="442" t="s">
        <v>691</v>
      </c>
    </row>
    <row r="7" spans="1:9">
      <c r="A7" s="443">
        <v>1</v>
      </c>
      <c r="B7" s="435" t="s">
        <v>216</v>
      </c>
      <c r="C7" s="593"/>
      <c r="D7" s="593">
        <v>248921882</v>
      </c>
      <c r="E7" s="593"/>
      <c r="F7" s="593"/>
      <c r="G7" s="593"/>
      <c r="H7" s="593">
        <v>0</v>
      </c>
      <c r="I7" s="597">
        <f t="shared" ref="I7:I23" si="0">C7+D7-E7-F7-G7</f>
        <v>248921882</v>
      </c>
    </row>
    <row r="8" spans="1:9">
      <c r="A8" s="443">
        <v>2</v>
      </c>
      <c r="B8" s="435" t="s">
        <v>217</v>
      </c>
      <c r="C8" s="593"/>
      <c r="D8" s="593"/>
      <c r="E8" s="593"/>
      <c r="F8" s="593"/>
      <c r="G8" s="593"/>
      <c r="H8" s="593">
        <v>0</v>
      </c>
      <c r="I8" s="597">
        <f t="shared" si="0"/>
        <v>0</v>
      </c>
    </row>
    <row r="9" spans="1:9">
      <c r="A9" s="443">
        <v>3</v>
      </c>
      <c r="B9" s="435" t="s">
        <v>218</v>
      </c>
      <c r="C9" s="593"/>
      <c r="D9" s="593"/>
      <c r="E9" s="593"/>
      <c r="F9" s="593"/>
      <c r="G9" s="593"/>
      <c r="H9" s="593">
        <v>0</v>
      </c>
      <c r="I9" s="597">
        <f t="shared" si="0"/>
        <v>0</v>
      </c>
    </row>
    <row r="10" spans="1:9">
      <c r="A10" s="443">
        <v>4</v>
      </c>
      <c r="B10" s="435" t="s">
        <v>219</v>
      </c>
      <c r="C10" s="593"/>
      <c r="D10" s="593"/>
      <c r="E10" s="593"/>
      <c r="F10" s="593"/>
      <c r="G10" s="593"/>
      <c r="H10" s="593">
        <v>0</v>
      </c>
      <c r="I10" s="597">
        <f t="shared" si="0"/>
        <v>0</v>
      </c>
    </row>
    <row r="11" spans="1:9">
      <c r="A11" s="443">
        <v>5</v>
      </c>
      <c r="B11" s="435" t="s">
        <v>220</v>
      </c>
      <c r="C11" s="593"/>
      <c r="D11" s="593"/>
      <c r="E11" s="593"/>
      <c r="F11" s="593"/>
      <c r="G11" s="593"/>
      <c r="H11" s="593">
        <v>0</v>
      </c>
      <c r="I11" s="597">
        <f t="shared" si="0"/>
        <v>0</v>
      </c>
    </row>
    <row r="12" spans="1:9">
      <c r="A12" s="443">
        <v>6</v>
      </c>
      <c r="B12" s="435" t="s">
        <v>221</v>
      </c>
      <c r="C12" s="593"/>
      <c r="D12" s="593">
        <v>112051665</v>
      </c>
      <c r="E12" s="593"/>
      <c r="F12" s="593"/>
      <c r="G12" s="593"/>
      <c r="H12" s="593">
        <v>0</v>
      </c>
      <c r="I12" s="597">
        <f t="shared" si="0"/>
        <v>112051665</v>
      </c>
    </row>
    <row r="13" spans="1:9">
      <c r="A13" s="443">
        <v>7</v>
      </c>
      <c r="B13" s="435" t="s">
        <v>73</v>
      </c>
      <c r="C13" s="593">
        <v>343594634.4321</v>
      </c>
      <c r="D13" s="593">
        <v>647088956.85399532</v>
      </c>
      <c r="E13" s="593">
        <v>153022981.56285408</v>
      </c>
      <c r="F13" s="593">
        <v>11270744.291767001</v>
      </c>
      <c r="G13" s="593"/>
      <c r="H13" s="593">
        <v>1526546.74</v>
      </c>
      <c r="I13" s="597">
        <f t="shared" si="0"/>
        <v>826389865.43147433</v>
      </c>
    </row>
    <row r="14" spans="1:9">
      <c r="A14" s="443">
        <v>8</v>
      </c>
      <c r="B14" s="437" t="s">
        <v>74</v>
      </c>
      <c r="C14" s="593"/>
      <c r="D14" s="593"/>
      <c r="E14" s="593"/>
      <c r="F14" s="593"/>
      <c r="G14" s="593"/>
      <c r="H14" s="593">
        <v>0</v>
      </c>
      <c r="I14" s="597">
        <f t="shared" si="0"/>
        <v>0</v>
      </c>
    </row>
    <row r="15" spans="1:9">
      <c r="A15" s="443">
        <v>9</v>
      </c>
      <c r="B15" s="435" t="s">
        <v>75</v>
      </c>
      <c r="C15" s="593"/>
      <c r="D15" s="593"/>
      <c r="E15" s="593"/>
      <c r="F15" s="593"/>
      <c r="G15" s="593"/>
      <c r="H15" s="593">
        <v>0</v>
      </c>
      <c r="I15" s="597">
        <f t="shared" si="0"/>
        <v>0</v>
      </c>
    </row>
    <row r="16" spans="1:9">
      <c r="A16" s="443">
        <v>10</v>
      </c>
      <c r="B16" s="493" t="s">
        <v>692</v>
      </c>
      <c r="C16" s="593">
        <v>261070884.84779981</v>
      </c>
      <c r="D16" s="593">
        <v>1975143.8127000001</v>
      </c>
      <c r="E16" s="593">
        <v>112936917.08892804</v>
      </c>
      <c r="F16" s="593">
        <v>2395.3553559999937</v>
      </c>
      <c r="G16" s="593"/>
      <c r="H16" s="593">
        <v>1612595.97</v>
      </c>
      <c r="I16" s="597">
        <f t="shared" si="0"/>
        <v>150106716.21621576</v>
      </c>
    </row>
    <row r="17" spans="1:9">
      <c r="A17" s="443">
        <v>11</v>
      </c>
      <c r="B17" s="435" t="s">
        <v>70</v>
      </c>
      <c r="C17" s="593"/>
      <c r="D17" s="593"/>
      <c r="E17" s="593"/>
      <c r="F17" s="593"/>
      <c r="G17" s="593"/>
      <c r="H17" s="593">
        <v>0</v>
      </c>
      <c r="I17" s="597">
        <f t="shared" si="0"/>
        <v>0</v>
      </c>
    </row>
    <row r="18" spans="1:9">
      <c r="A18" s="443">
        <v>12</v>
      </c>
      <c r="B18" s="435" t="s">
        <v>71</v>
      </c>
      <c r="C18" s="593"/>
      <c r="D18" s="593"/>
      <c r="E18" s="593"/>
      <c r="F18" s="593"/>
      <c r="G18" s="593"/>
      <c r="H18" s="593">
        <v>0</v>
      </c>
      <c r="I18" s="597">
        <f t="shared" si="0"/>
        <v>0</v>
      </c>
    </row>
    <row r="19" spans="1:9">
      <c r="A19" s="445">
        <v>13</v>
      </c>
      <c r="B19" s="437" t="s">
        <v>72</v>
      </c>
      <c r="C19" s="593"/>
      <c r="D19" s="593"/>
      <c r="E19" s="593"/>
      <c r="F19" s="593"/>
      <c r="G19" s="593"/>
      <c r="H19" s="593">
        <v>0</v>
      </c>
      <c r="I19" s="597">
        <f t="shared" si="0"/>
        <v>0</v>
      </c>
    </row>
    <row r="20" spans="1:9">
      <c r="A20" s="443">
        <v>14</v>
      </c>
      <c r="B20" s="435" t="s">
        <v>671</v>
      </c>
      <c r="C20" s="593">
        <v>30068315.775699995</v>
      </c>
      <c r="D20" s="593">
        <v>95469873.928644046</v>
      </c>
      <c r="E20" s="593">
        <v>10153802.343460001</v>
      </c>
      <c r="F20" s="593">
        <v>332341.18341200141</v>
      </c>
      <c r="G20" s="593"/>
      <c r="H20" s="593">
        <v>218484.47</v>
      </c>
      <c r="I20" s="597">
        <f t="shared" si="0"/>
        <v>115052046.17747204</v>
      </c>
    </row>
    <row r="21" spans="1:9" s="447" customFormat="1">
      <c r="A21" s="446">
        <v>15</v>
      </c>
      <c r="B21" s="436" t="s">
        <v>68</v>
      </c>
      <c r="C21" s="594">
        <f>SUM(C7:C15)+SUM(C17:C20)</f>
        <v>373662950.20779997</v>
      </c>
      <c r="D21" s="594">
        <f t="shared" ref="D21:H21" si="1">SUM(D7:D15)+SUM(D17:D20)</f>
        <v>1103532377.7826393</v>
      </c>
      <c r="E21" s="594">
        <f t="shared" si="1"/>
        <v>163176783.90631407</v>
      </c>
      <c r="F21" s="594">
        <f t="shared" si="1"/>
        <v>11603085.475179002</v>
      </c>
      <c r="G21" s="594">
        <v>0</v>
      </c>
      <c r="H21" s="594">
        <f t="shared" si="1"/>
        <v>1745031.21</v>
      </c>
      <c r="I21" s="597">
        <f t="shared" si="0"/>
        <v>1302415458.6089461</v>
      </c>
    </row>
    <row r="22" spans="1:9">
      <c r="A22" s="448">
        <v>16</v>
      </c>
      <c r="B22" s="449" t="s">
        <v>693</v>
      </c>
      <c r="C22" s="593">
        <v>349882237.20779991</v>
      </c>
      <c r="D22" s="593">
        <v>647431513.49371064</v>
      </c>
      <c r="E22" s="593">
        <v>155384896.90631416</v>
      </c>
      <c r="F22" s="593">
        <v>11229665.47517897</v>
      </c>
      <c r="G22" s="593">
        <v>0</v>
      </c>
      <c r="H22" s="593">
        <v>1662844.37</v>
      </c>
      <c r="I22" s="597">
        <f t="shared" si="0"/>
        <v>830699188.32001746</v>
      </c>
    </row>
    <row r="23" spans="1:9">
      <c r="A23" s="448">
        <v>17</v>
      </c>
      <c r="B23" s="449" t="s">
        <v>694</v>
      </c>
      <c r="C23" s="593"/>
      <c r="D23" s="593">
        <v>56847028.758927993</v>
      </c>
      <c r="E23" s="593">
        <v>0</v>
      </c>
      <c r="F23" s="593">
        <v>372279.99999999994</v>
      </c>
      <c r="G23" s="593">
        <v>0</v>
      </c>
      <c r="H23" s="593">
        <v>0</v>
      </c>
      <c r="I23" s="597">
        <f t="shared" si="0"/>
        <v>56474748.758927993</v>
      </c>
    </row>
    <row r="26" spans="1:9" ht="42.4" customHeight="1">
      <c r="B26" s="492" t="s">
        <v>940</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D1" zoomScaleNormal="100" workbookViewId="0"/>
  </sheetViews>
  <sheetFormatPr defaultColWidth="9.28515625" defaultRowHeight="12.75"/>
  <cols>
    <col min="1" max="1" width="11" style="430" bestFit="1" customWidth="1"/>
    <col min="2" max="2" width="93.42578125" style="430" customWidth="1"/>
    <col min="3" max="8" width="22" style="430" customWidth="1"/>
    <col min="9" max="9" width="42.28515625" style="430" bestFit="1" customWidth="1"/>
    <col min="10" max="16384" width="9.28515625" style="430"/>
  </cols>
  <sheetData>
    <row r="1" spans="1:9">
      <c r="A1" s="429" t="s">
        <v>188</v>
      </c>
      <c r="B1" s="596" t="str">
        <f>'1. key ratios'!B1</f>
        <v>სს "ბანკი ქართუ"</v>
      </c>
    </row>
    <row r="2" spans="1:9">
      <c r="A2" s="429" t="s">
        <v>189</v>
      </c>
      <c r="B2" s="432">
        <f>'1. key ratios'!B2</f>
        <v>44469</v>
      </c>
    </row>
    <row r="3" spans="1:9">
      <c r="A3" s="431" t="s">
        <v>695</v>
      </c>
      <c r="B3" s="432"/>
    </row>
    <row r="4" spans="1:9">
      <c r="C4" s="441" t="s">
        <v>673</v>
      </c>
      <c r="D4" s="441" t="s">
        <v>674</v>
      </c>
      <c r="E4" s="441" t="s">
        <v>675</v>
      </c>
      <c r="F4" s="441" t="s">
        <v>676</v>
      </c>
      <c r="G4" s="441" t="s">
        <v>677</v>
      </c>
      <c r="H4" s="441" t="s">
        <v>678</v>
      </c>
      <c r="I4" s="441" t="s">
        <v>679</v>
      </c>
    </row>
    <row r="5" spans="1:9" ht="41.65" customHeight="1">
      <c r="A5" s="730" t="s">
        <v>951</v>
      </c>
      <c r="B5" s="731"/>
      <c r="C5" s="744" t="s">
        <v>683</v>
      </c>
      <c r="D5" s="744"/>
      <c r="E5" s="744" t="s">
        <v>684</v>
      </c>
      <c r="F5" s="744" t="s">
        <v>685</v>
      </c>
      <c r="G5" s="742" t="s">
        <v>686</v>
      </c>
      <c r="H5" s="742" t="s">
        <v>687</v>
      </c>
      <c r="I5" s="442" t="s">
        <v>688</v>
      </c>
    </row>
    <row r="6" spans="1:9" ht="41.65" customHeight="1">
      <c r="A6" s="734"/>
      <c r="B6" s="735"/>
      <c r="C6" s="476" t="s">
        <v>689</v>
      </c>
      <c r="D6" s="476" t="s">
        <v>690</v>
      </c>
      <c r="E6" s="744"/>
      <c r="F6" s="744"/>
      <c r="G6" s="743"/>
      <c r="H6" s="743"/>
      <c r="I6" s="442" t="s">
        <v>691</v>
      </c>
    </row>
    <row r="7" spans="1:9">
      <c r="A7" s="444">
        <v>1</v>
      </c>
      <c r="B7" s="450" t="s">
        <v>696</v>
      </c>
      <c r="C7" s="593">
        <v>377865.83000000007</v>
      </c>
      <c r="D7" s="593">
        <v>282158781.83929998</v>
      </c>
      <c r="E7" s="593">
        <v>106708.47882199999</v>
      </c>
      <c r="F7" s="593">
        <v>663509.76317499985</v>
      </c>
      <c r="G7" s="593">
        <v>0</v>
      </c>
      <c r="H7" s="593">
        <v>0</v>
      </c>
      <c r="I7" s="597">
        <f t="shared" ref="I7:I34" si="0">C7+D7-E7-F7-G7</f>
        <v>281766429.42730296</v>
      </c>
    </row>
    <row r="8" spans="1:9">
      <c r="A8" s="444">
        <v>2</v>
      </c>
      <c r="B8" s="450" t="s">
        <v>697</v>
      </c>
      <c r="C8" s="593">
        <v>403658.25280000007</v>
      </c>
      <c r="D8" s="593">
        <v>125867591.05572799</v>
      </c>
      <c r="E8" s="593">
        <v>131985.79817299999</v>
      </c>
      <c r="F8" s="593">
        <v>272506.09603399999</v>
      </c>
      <c r="G8" s="593">
        <v>0</v>
      </c>
      <c r="H8" s="593">
        <v>50248.399999999994</v>
      </c>
      <c r="I8" s="597">
        <f t="shared" si="0"/>
        <v>125866757.41432099</v>
      </c>
    </row>
    <row r="9" spans="1:9">
      <c r="A9" s="444">
        <v>3</v>
      </c>
      <c r="B9" s="450" t="s">
        <v>698</v>
      </c>
      <c r="C9" s="593">
        <v>0</v>
      </c>
      <c r="D9" s="593">
        <v>0</v>
      </c>
      <c r="E9" s="593">
        <v>0</v>
      </c>
      <c r="F9" s="593">
        <v>0</v>
      </c>
      <c r="G9" s="593">
        <v>0</v>
      </c>
      <c r="H9" s="593">
        <v>0</v>
      </c>
      <c r="I9" s="597">
        <f t="shared" si="0"/>
        <v>0</v>
      </c>
    </row>
    <row r="10" spans="1:9">
      <c r="A10" s="444">
        <v>4</v>
      </c>
      <c r="B10" s="450" t="s">
        <v>699</v>
      </c>
      <c r="C10" s="593">
        <v>57959311.570000008</v>
      </c>
      <c r="D10" s="593">
        <v>44183144.639287986</v>
      </c>
      <c r="E10" s="593">
        <v>21326426.506925005</v>
      </c>
      <c r="F10" s="593">
        <v>846267.17926699994</v>
      </c>
      <c r="G10" s="593">
        <v>0</v>
      </c>
      <c r="H10" s="593">
        <v>0</v>
      </c>
      <c r="I10" s="597">
        <f t="shared" si="0"/>
        <v>79969762.523095995</v>
      </c>
    </row>
    <row r="11" spans="1:9">
      <c r="A11" s="444">
        <v>5</v>
      </c>
      <c r="B11" s="450" t="s">
        <v>700</v>
      </c>
      <c r="C11" s="593">
        <v>32778263.969999999</v>
      </c>
      <c r="D11" s="593">
        <v>45956371.330982007</v>
      </c>
      <c r="E11" s="593">
        <v>12793630.189109998</v>
      </c>
      <c r="F11" s="593">
        <v>873473.55822700006</v>
      </c>
      <c r="G11" s="593">
        <v>0</v>
      </c>
      <c r="H11" s="593">
        <v>0</v>
      </c>
      <c r="I11" s="597">
        <f t="shared" si="0"/>
        <v>65067531.553645</v>
      </c>
    </row>
    <row r="12" spans="1:9">
      <c r="A12" s="444">
        <v>6</v>
      </c>
      <c r="B12" s="450" t="s">
        <v>701</v>
      </c>
      <c r="C12" s="593">
        <v>7177171.9199999999</v>
      </c>
      <c r="D12" s="593">
        <v>43656374.208977997</v>
      </c>
      <c r="E12" s="593">
        <v>3628231.003604</v>
      </c>
      <c r="F12" s="593">
        <v>807895.04267999972</v>
      </c>
      <c r="G12" s="593">
        <v>0</v>
      </c>
      <c r="H12" s="593">
        <v>0</v>
      </c>
      <c r="I12" s="597">
        <f t="shared" si="0"/>
        <v>46397420.082693994</v>
      </c>
    </row>
    <row r="13" spans="1:9">
      <c r="A13" s="444">
        <v>7</v>
      </c>
      <c r="B13" s="450" t="s">
        <v>702</v>
      </c>
      <c r="C13" s="593">
        <v>7083000.0199999986</v>
      </c>
      <c r="D13" s="593">
        <v>6075523.5768919997</v>
      </c>
      <c r="E13" s="593">
        <v>2518557.2751070005</v>
      </c>
      <c r="F13" s="593">
        <v>70415.776513000019</v>
      </c>
      <c r="G13" s="593">
        <v>0</v>
      </c>
      <c r="H13" s="593">
        <v>0</v>
      </c>
      <c r="I13" s="597">
        <f t="shared" si="0"/>
        <v>10569550.545272</v>
      </c>
    </row>
    <row r="14" spans="1:9">
      <c r="A14" s="444">
        <v>8</v>
      </c>
      <c r="B14" s="450" t="s">
        <v>703</v>
      </c>
      <c r="C14" s="593">
        <v>17702967.730100002</v>
      </c>
      <c r="D14" s="593">
        <v>16770978.202705998</v>
      </c>
      <c r="E14" s="593">
        <v>8352573.2777700005</v>
      </c>
      <c r="F14" s="593">
        <v>305893.95122500003</v>
      </c>
      <c r="G14" s="593">
        <v>0</v>
      </c>
      <c r="H14" s="593">
        <v>0</v>
      </c>
      <c r="I14" s="597">
        <f t="shared" si="0"/>
        <v>25815478.703810997</v>
      </c>
    </row>
    <row r="15" spans="1:9">
      <c r="A15" s="444">
        <v>9</v>
      </c>
      <c r="B15" s="450" t="s">
        <v>704</v>
      </c>
      <c r="C15" s="593">
        <v>77206414.893900022</v>
      </c>
      <c r="D15" s="593">
        <v>86409012.713272989</v>
      </c>
      <c r="E15" s="593">
        <v>38344186.792057015</v>
      </c>
      <c r="F15" s="593">
        <v>1556892.3177040007</v>
      </c>
      <c r="G15" s="593">
        <v>0</v>
      </c>
      <c r="H15" s="593">
        <v>1526546.74</v>
      </c>
      <c r="I15" s="597">
        <f t="shared" si="0"/>
        <v>123714348.49741201</v>
      </c>
    </row>
    <row r="16" spans="1:9">
      <c r="A16" s="444">
        <v>10</v>
      </c>
      <c r="B16" s="450" t="s">
        <v>705</v>
      </c>
      <c r="C16" s="593">
        <v>0</v>
      </c>
      <c r="D16" s="593">
        <v>1774973.7071279997</v>
      </c>
      <c r="E16" s="593">
        <v>8768.5351019999998</v>
      </c>
      <c r="F16" s="593">
        <v>33618.046253</v>
      </c>
      <c r="G16" s="593">
        <v>0</v>
      </c>
      <c r="H16" s="593">
        <v>0</v>
      </c>
      <c r="I16" s="597">
        <f t="shared" si="0"/>
        <v>1732587.1257729998</v>
      </c>
    </row>
    <row r="17" spans="1:9">
      <c r="A17" s="444">
        <v>11</v>
      </c>
      <c r="B17" s="450" t="s">
        <v>706</v>
      </c>
      <c r="C17" s="593">
        <v>0</v>
      </c>
      <c r="D17" s="593">
        <v>383668.13620499999</v>
      </c>
      <c r="E17" s="593">
        <v>0</v>
      </c>
      <c r="F17" s="593">
        <v>7648.4262509999999</v>
      </c>
      <c r="G17" s="593">
        <v>0</v>
      </c>
      <c r="H17" s="593">
        <v>0</v>
      </c>
      <c r="I17" s="597">
        <f t="shared" si="0"/>
        <v>376019.70995399996</v>
      </c>
    </row>
    <row r="18" spans="1:9">
      <c r="A18" s="444">
        <v>12</v>
      </c>
      <c r="B18" s="450" t="s">
        <v>707</v>
      </c>
      <c r="C18" s="593">
        <v>21726692.82</v>
      </c>
      <c r="D18" s="593">
        <v>10756747.910941999</v>
      </c>
      <c r="E18" s="593">
        <v>6958982.7214619992</v>
      </c>
      <c r="F18" s="593">
        <v>151537.34475799999</v>
      </c>
      <c r="G18" s="593">
        <v>0</v>
      </c>
      <c r="H18" s="593">
        <v>0</v>
      </c>
      <c r="I18" s="597">
        <f t="shared" si="0"/>
        <v>25372920.664721999</v>
      </c>
    </row>
    <row r="19" spans="1:9">
      <c r="A19" s="444">
        <v>13</v>
      </c>
      <c r="B19" s="450" t="s">
        <v>708</v>
      </c>
      <c r="C19" s="593">
        <v>5166293.7200000007</v>
      </c>
      <c r="D19" s="593">
        <v>26065154.853243999</v>
      </c>
      <c r="E19" s="593">
        <v>2142060.6863950002</v>
      </c>
      <c r="F19" s="593">
        <v>512024.99314000004</v>
      </c>
      <c r="G19" s="593">
        <v>0</v>
      </c>
      <c r="H19" s="593">
        <v>0</v>
      </c>
      <c r="I19" s="597">
        <f t="shared" si="0"/>
        <v>28577362.893708996</v>
      </c>
    </row>
    <row r="20" spans="1:9">
      <c r="A20" s="444">
        <v>14</v>
      </c>
      <c r="B20" s="450" t="s">
        <v>709</v>
      </c>
      <c r="C20" s="593">
        <v>42103424.61999999</v>
      </c>
      <c r="D20" s="593">
        <v>28760841.575550012</v>
      </c>
      <c r="E20" s="593">
        <v>17141351.065213997</v>
      </c>
      <c r="F20" s="593">
        <v>435713.92589599994</v>
      </c>
      <c r="G20" s="593">
        <v>0</v>
      </c>
      <c r="H20" s="593">
        <v>0</v>
      </c>
      <c r="I20" s="597">
        <f t="shared" si="0"/>
        <v>53287201.204440005</v>
      </c>
    </row>
    <row r="21" spans="1:9">
      <c r="A21" s="444">
        <v>15</v>
      </c>
      <c r="B21" s="450" t="s">
        <v>710</v>
      </c>
      <c r="C21" s="593">
        <v>4391795.47</v>
      </c>
      <c r="D21" s="593">
        <v>335829.00255999999</v>
      </c>
      <c r="E21" s="593">
        <v>1338632.6190750001</v>
      </c>
      <c r="F21" s="593">
        <v>1891.3238199999998</v>
      </c>
      <c r="G21" s="593">
        <v>0</v>
      </c>
      <c r="H21" s="593">
        <v>0</v>
      </c>
      <c r="I21" s="597">
        <f t="shared" si="0"/>
        <v>3387100.5296649993</v>
      </c>
    </row>
    <row r="22" spans="1:9">
      <c r="A22" s="444">
        <v>16</v>
      </c>
      <c r="B22" s="450" t="s">
        <v>711</v>
      </c>
      <c r="C22" s="593">
        <v>73667.63</v>
      </c>
      <c r="D22" s="593">
        <v>15713459.056496</v>
      </c>
      <c r="E22" s="593">
        <v>36833.816350000001</v>
      </c>
      <c r="F22" s="593">
        <v>312280</v>
      </c>
      <c r="G22" s="593">
        <v>0</v>
      </c>
      <c r="H22" s="593">
        <v>0</v>
      </c>
      <c r="I22" s="597">
        <f t="shared" si="0"/>
        <v>15438012.870146001</v>
      </c>
    </row>
    <row r="23" spans="1:9">
      <c r="A23" s="444">
        <v>17</v>
      </c>
      <c r="B23" s="450" t="s">
        <v>712</v>
      </c>
      <c r="C23" s="593">
        <v>1721520.7400000002</v>
      </c>
      <c r="D23" s="593">
        <v>23818306.930347998</v>
      </c>
      <c r="E23" s="593">
        <v>1620894.8498430001</v>
      </c>
      <c r="F23" s="593">
        <v>253495.34979899999</v>
      </c>
      <c r="G23" s="593">
        <v>0</v>
      </c>
      <c r="H23" s="593">
        <v>0</v>
      </c>
      <c r="I23" s="597">
        <f t="shared" si="0"/>
        <v>23665437.470705997</v>
      </c>
    </row>
    <row r="24" spans="1:9">
      <c r="A24" s="444">
        <v>18</v>
      </c>
      <c r="B24" s="450" t="s">
        <v>713</v>
      </c>
      <c r="C24" s="593">
        <v>2092276</v>
      </c>
      <c r="D24" s="593">
        <v>1645829.1685239999</v>
      </c>
      <c r="E24" s="593">
        <v>1103404.662118</v>
      </c>
      <c r="F24" s="593">
        <v>4287.9722659999998</v>
      </c>
      <c r="G24" s="593">
        <v>0</v>
      </c>
      <c r="H24" s="593">
        <v>0</v>
      </c>
      <c r="I24" s="597">
        <f t="shared" si="0"/>
        <v>2630412.5341399997</v>
      </c>
    </row>
    <row r="25" spans="1:9">
      <c r="A25" s="444">
        <v>19</v>
      </c>
      <c r="B25" s="450" t="s">
        <v>714</v>
      </c>
      <c r="C25" s="593">
        <v>34086352.879999995</v>
      </c>
      <c r="D25" s="593">
        <v>782605.461152</v>
      </c>
      <c r="E25" s="593">
        <v>13707700.980323996</v>
      </c>
      <c r="F25" s="593">
        <v>15599.596706</v>
      </c>
      <c r="G25" s="593">
        <v>0</v>
      </c>
      <c r="H25" s="593">
        <v>0</v>
      </c>
      <c r="I25" s="597">
        <f t="shared" si="0"/>
        <v>21145657.764122002</v>
      </c>
    </row>
    <row r="26" spans="1:9">
      <c r="A26" s="444">
        <v>20</v>
      </c>
      <c r="B26" s="450" t="s">
        <v>715</v>
      </c>
      <c r="C26" s="593">
        <v>525819.42999999993</v>
      </c>
      <c r="D26" s="593">
        <v>59278312.017267004</v>
      </c>
      <c r="E26" s="593">
        <v>1809475.6451160002</v>
      </c>
      <c r="F26" s="593">
        <v>838965.13685899996</v>
      </c>
      <c r="G26" s="593">
        <v>0</v>
      </c>
      <c r="H26" s="593">
        <v>0</v>
      </c>
      <c r="I26" s="597">
        <f t="shared" si="0"/>
        <v>57155690.665292002</v>
      </c>
    </row>
    <row r="27" spans="1:9">
      <c r="A27" s="444">
        <v>21</v>
      </c>
      <c r="B27" s="450" t="s">
        <v>716</v>
      </c>
      <c r="C27" s="593">
        <v>59.27</v>
      </c>
      <c r="D27" s="593">
        <v>2944201.672758</v>
      </c>
      <c r="E27" s="593">
        <v>59.27</v>
      </c>
      <c r="F27" s="593">
        <v>58748.875792999992</v>
      </c>
      <c r="G27" s="593">
        <v>0</v>
      </c>
      <c r="H27" s="593">
        <v>0</v>
      </c>
      <c r="I27" s="597">
        <f t="shared" si="0"/>
        <v>2885452.7969649998</v>
      </c>
    </row>
    <row r="28" spans="1:9">
      <c r="A28" s="444">
        <v>22</v>
      </c>
      <c r="B28" s="450" t="s">
        <v>717</v>
      </c>
      <c r="C28" s="593">
        <v>6953498.79</v>
      </c>
      <c r="D28" s="593">
        <v>49860934.131788</v>
      </c>
      <c r="E28" s="593">
        <v>6503778.2697839998</v>
      </c>
      <c r="F28" s="593">
        <v>936745.93599999999</v>
      </c>
      <c r="G28" s="593">
        <v>0</v>
      </c>
      <c r="H28" s="593">
        <v>0</v>
      </c>
      <c r="I28" s="597">
        <f t="shared" si="0"/>
        <v>49373908.716004007</v>
      </c>
    </row>
    <row r="29" spans="1:9">
      <c r="A29" s="444">
        <v>23</v>
      </c>
      <c r="B29" s="450" t="s">
        <v>718</v>
      </c>
      <c r="C29" s="593">
        <v>9766006.7499999981</v>
      </c>
      <c r="D29" s="593">
        <v>75737855.203652054</v>
      </c>
      <c r="E29" s="593">
        <v>3167845.1124969996</v>
      </c>
      <c r="F29" s="593">
        <v>1507862.6917530005</v>
      </c>
      <c r="G29" s="593">
        <v>0</v>
      </c>
      <c r="H29" s="593">
        <v>80215.28</v>
      </c>
      <c r="I29" s="597">
        <f t="shared" si="0"/>
        <v>80828154.149402052</v>
      </c>
    </row>
    <row r="30" spans="1:9">
      <c r="A30" s="444">
        <v>24</v>
      </c>
      <c r="B30" s="450" t="s">
        <v>719</v>
      </c>
      <c r="C30" s="593">
        <v>16395162.220000003</v>
      </c>
      <c r="D30" s="593">
        <v>45840014.811467029</v>
      </c>
      <c r="E30" s="593">
        <v>10877302.705427</v>
      </c>
      <c r="F30" s="593">
        <v>556272.62325499987</v>
      </c>
      <c r="G30" s="593">
        <v>0</v>
      </c>
      <c r="H30" s="593">
        <v>0</v>
      </c>
      <c r="I30" s="597">
        <f t="shared" si="0"/>
        <v>50801601.702785037</v>
      </c>
    </row>
    <row r="31" spans="1:9">
      <c r="A31" s="444">
        <v>25</v>
      </c>
      <c r="B31" s="450" t="s">
        <v>720</v>
      </c>
      <c r="C31" s="593">
        <v>4034930.1480999999</v>
      </c>
      <c r="D31" s="593">
        <v>31424130.025749002</v>
      </c>
      <c r="E31" s="593">
        <v>1617349.5290290001</v>
      </c>
      <c r="F31" s="593">
        <v>549269.83771099988</v>
      </c>
      <c r="G31" s="593">
        <v>0</v>
      </c>
      <c r="H31" s="593">
        <v>0</v>
      </c>
      <c r="I31" s="597">
        <f t="shared" si="0"/>
        <v>33292440.807109006</v>
      </c>
    </row>
    <row r="32" spans="1:9">
      <c r="A32" s="444">
        <v>26</v>
      </c>
      <c r="B32" s="450" t="s">
        <v>721</v>
      </c>
      <c r="C32" s="593">
        <v>156082.53290000002</v>
      </c>
      <c r="D32" s="593">
        <v>1763082.7806640014</v>
      </c>
      <c r="E32" s="593">
        <v>148157.11700999996</v>
      </c>
      <c r="F32" s="593">
        <v>29129.710094000024</v>
      </c>
      <c r="G32" s="593">
        <v>0</v>
      </c>
      <c r="H32" s="593">
        <v>5833.95</v>
      </c>
      <c r="I32" s="597">
        <f t="shared" si="0"/>
        <v>1741878.4864600014</v>
      </c>
    </row>
    <row r="33" spans="1:9">
      <c r="A33" s="444">
        <v>27</v>
      </c>
      <c r="B33" s="444" t="s">
        <v>165</v>
      </c>
      <c r="C33" s="593">
        <v>23780713</v>
      </c>
      <c r="D33" s="593">
        <v>75568653.769999996</v>
      </c>
      <c r="E33" s="593">
        <v>7791887</v>
      </c>
      <c r="F33" s="593">
        <v>1140</v>
      </c>
      <c r="G33" s="593">
        <v>0</v>
      </c>
      <c r="H33" s="593">
        <v>82186.84</v>
      </c>
      <c r="I33" s="597">
        <f t="shared" si="0"/>
        <v>91556339.769999996</v>
      </c>
    </row>
    <row r="34" spans="1:9">
      <c r="A34" s="444">
        <v>28</v>
      </c>
      <c r="B34" s="436" t="s">
        <v>68</v>
      </c>
      <c r="C34" s="594">
        <f>SUM(C7:C33)</f>
        <v>373662950.20780009</v>
      </c>
      <c r="D34" s="594">
        <f t="shared" ref="D34:H34" si="1">SUM(D7:D33)</f>
        <v>1103532377.7826409</v>
      </c>
      <c r="E34" s="594">
        <f t="shared" si="1"/>
        <v>163176783.90631399</v>
      </c>
      <c r="F34" s="594">
        <f t="shared" si="1"/>
        <v>11603085.475179</v>
      </c>
      <c r="G34" s="594">
        <v>0</v>
      </c>
      <c r="H34" s="594">
        <f t="shared" si="1"/>
        <v>1745031.21</v>
      </c>
      <c r="I34" s="597">
        <f t="shared" si="0"/>
        <v>1302415458.6089482</v>
      </c>
    </row>
    <row r="36" spans="1:9">
      <c r="B36" s="451"/>
    </row>
    <row r="42" spans="1:9">
      <c r="A42" s="447"/>
      <c r="B42" s="447"/>
    </row>
    <row r="43" spans="1:9">
      <c r="A43" s="447"/>
      <c r="B43" s="447"/>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heetViews>
  <sheetFormatPr defaultColWidth="9.28515625" defaultRowHeight="12.75"/>
  <cols>
    <col min="1" max="1" width="11.7109375" style="430" bestFit="1" customWidth="1"/>
    <col min="2" max="2" width="108" style="430" bestFit="1" customWidth="1"/>
    <col min="3" max="3" width="35.5703125" style="430" customWidth="1"/>
    <col min="4" max="4" width="38.42578125" style="430" customWidth="1"/>
    <col min="5" max="16384" width="9.28515625" style="430"/>
  </cols>
  <sheetData>
    <row r="1" spans="1:4">
      <c r="A1" s="429" t="s">
        <v>188</v>
      </c>
      <c r="B1" s="596" t="str">
        <f>'1. key ratios'!B1</f>
        <v>სს "ბანკი ქართუ"</v>
      </c>
    </row>
    <row r="2" spans="1:4">
      <c r="A2" s="429" t="s">
        <v>189</v>
      </c>
      <c r="B2" s="432">
        <f>'1. key ratios'!B2</f>
        <v>44469</v>
      </c>
    </row>
    <row r="3" spans="1:4">
      <c r="A3" s="431" t="s">
        <v>722</v>
      </c>
      <c r="B3" s="432"/>
    </row>
    <row r="5" spans="1:4" ht="51">
      <c r="A5" s="745" t="s">
        <v>723</v>
      </c>
      <c r="B5" s="745"/>
      <c r="C5" s="433" t="s">
        <v>724</v>
      </c>
      <c r="D5" s="433" t="s">
        <v>725</v>
      </c>
    </row>
    <row r="6" spans="1:4">
      <c r="A6" s="452">
        <v>1</v>
      </c>
      <c r="B6" s="453" t="s">
        <v>726</v>
      </c>
      <c r="C6" s="594">
        <v>172411134.33000001</v>
      </c>
      <c r="D6" s="594">
        <v>376030</v>
      </c>
    </row>
    <row r="7" spans="1:4">
      <c r="A7" s="454">
        <v>2</v>
      </c>
      <c r="B7" s="453" t="s">
        <v>727</v>
      </c>
      <c r="C7" s="593">
        <f>SUM(C8:C11)</f>
        <v>11380058.436440576</v>
      </c>
      <c r="D7" s="593">
        <f>SUM(D8:D11)</f>
        <v>0</v>
      </c>
    </row>
    <row r="8" spans="1:4">
      <c r="A8" s="454">
        <v>2.1</v>
      </c>
      <c r="B8" s="455" t="s">
        <v>728</v>
      </c>
      <c r="C8" s="593">
        <v>7798662.3174367873</v>
      </c>
      <c r="D8" s="593"/>
    </row>
    <row r="9" spans="1:4">
      <c r="A9" s="454">
        <v>2.2000000000000002</v>
      </c>
      <c r="B9" s="455" t="s">
        <v>729</v>
      </c>
      <c r="C9" s="593">
        <v>3581396.1190037881</v>
      </c>
      <c r="D9" s="593"/>
    </row>
    <row r="10" spans="1:4">
      <c r="A10" s="454">
        <v>2.2999999999999998</v>
      </c>
      <c r="B10" s="455" t="s">
        <v>730</v>
      </c>
      <c r="C10" s="593">
        <v>1.010867008589128E-13</v>
      </c>
      <c r="D10" s="593"/>
    </row>
    <row r="11" spans="1:4">
      <c r="A11" s="454">
        <v>2.4</v>
      </c>
      <c r="B11" s="455" t="s">
        <v>731</v>
      </c>
      <c r="C11" s="593">
        <v>0</v>
      </c>
      <c r="D11" s="593"/>
    </row>
    <row r="12" spans="1:4">
      <c r="A12" s="452">
        <v>3</v>
      </c>
      <c r="B12" s="453" t="s">
        <v>732</v>
      </c>
      <c r="C12" s="594">
        <f>SUM(C13:C18)</f>
        <v>17176629.560681794</v>
      </c>
      <c r="D12" s="593">
        <f>SUM(D13:D18)</f>
        <v>3750</v>
      </c>
    </row>
    <row r="13" spans="1:4">
      <c r="A13" s="454">
        <v>3.1</v>
      </c>
      <c r="B13" s="455" t="s">
        <v>733</v>
      </c>
      <c r="C13" s="593">
        <v>1667354.6080199999</v>
      </c>
      <c r="D13" s="593"/>
    </row>
    <row r="14" spans="1:4">
      <c r="A14" s="454">
        <v>3.2</v>
      </c>
      <c r="B14" s="455" t="s">
        <v>734</v>
      </c>
      <c r="C14" s="593">
        <v>2616761.8993351832</v>
      </c>
      <c r="D14" s="593"/>
    </row>
    <row r="15" spans="1:4">
      <c r="A15" s="454">
        <v>3.3</v>
      </c>
      <c r="B15" s="455" t="s">
        <v>735</v>
      </c>
      <c r="C15" s="593">
        <v>9646246.0725327563</v>
      </c>
      <c r="D15" s="593"/>
    </row>
    <row r="16" spans="1:4">
      <c r="A16" s="454">
        <v>3.4</v>
      </c>
      <c r="B16" s="455" t="s">
        <v>736</v>
      </c>
      <c r="C16" s="593">
        <v>1732914.291457393</v>
      </c>
      <c r="D16" s="593"/>
    </row>
    <row r="17" spans="1:4">
      <c r="A17" s="454">
        <v>3.5</v>
      </c>
      <c r="B17" s="455" t="s">
        <v>737</v>
      </c>
      <c r="C17" s="593">
        <v>1360668.3593364644</v>
      </c>
      <c r="D17" s="593">
        <v>3750</v>
      </c>
    </row>
    <row r="18" spans="1:4">
      <c r="A18" s="454">
        <v>3.6</v>
      </c>
      <c r="B18" s="455" t="s">
        <v>738</v>
      </c>
      <c r="C18" s="593">
        <v>152684.32999999999</v>
      </c>
      <c r="D18" s="593"/>
    </row>
    <row r="19" spans="1:4">
      <c r="A19" s="456">
        <v>4</v>
      </c>
      <c r="B19" s="453" t="s">
        <v>739</v>
      </c>
      <c r="C19" s="594">
        <f>C6+C7-C12</f>
        <v>166614563.20575881</v>
      </c>
      <c r="D19" s="594">
        <f>D6+D7-D12</f>
        <v>372280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heetViews>
  <sheetFormatPr defaultColWidth="9.28515625" defaultRowHeight="12.75"/>
  <cols>
    <col min="1" max="1" width="11.7109375" style="430" bestFit="1" customWidth="1"/>
    <col min="2" max="2" width="124.7109375" style="430" customWidth="1"/>
    <col min="3" max="3" width="21.5703125" style="430" customWidth="1"/>
    <col min="4" max="4" width="49.28515625" style="430" customWidth="1"/>
    <col min="5" max="16384" width="9.28515625" style="430"/>
  </cols>
  <sheetData>
    <row r="1" spans="1:4">
      <c r="A1" s="429" t="s">
        <v>188</v>
      </c>
      <c r="B1" s="596" t="str">
        <f>'1. key ratios'!B1</f>
        <v>სს "ბანკი ქართუ"</v>
      </c>
    </row>
    <row r="2" spans="1:4">
      <c r="A2" s="429" t="s">
        <v>189</v>
      </c>
      <c r="B2" s="432">
        <f>'1. key ratios'!B2</f>
        <v>44469</v>
      </c>
    </row>
    <row r="3" spans="1:4">
      <c r="A3" s="431" t="s">
        <v>740</v>
      </c>
      <c r="B3" s="432"/>
    </row>
    <row r="4" spans="1:4">
      <c r="A4" s="431"/>
    </row>
    <row r="5" spans="1:4" ht="15" customHeight="1">
      <c r="A5" s="746" t="s">
        <v>741</v>
      </c>
      <c r="B5" s="747"/>
      <c r="C5" s="736" t="s">
        <v>742</v>
      </c>
      <c r="D5" s="750" t="s">
        <v>743</v>
      </c>
    </row>
    <row r="6" spans="1:4" ht="22.5" customHeight="1">
      <c r="A6" s="748"/>
      <c r="B6" s="749"/>
      <c r="C6" s="739"/>
      <c r="D6" s="750"/>
    </row>
    <row r="7" spans="1:4">
      <c r="A7" s="436">
        <v>1</v>
      </c>
      <c r="B7" s="436" t="s">
        <v>744</v>
      </c>
      <c r="C7" s="594">
        <v>364769753.50239992</v>
      </c>
      <c r="D7" s="598"/>
    </row>
    <row r="8" spans="1:4">
      <c r="A8" s="444">
        <v>2</v>
      </c>
      <c r="B8" s="444" t="s">
        <v>745</v>
      </c>
      <c r="C8" s="593">
        <v>15498742.337052692</v>
      </c>
      <c r="D8" s="598"/>
    </row>
    <row r="9" spans="1:4">
      <c r="A9" s="444">
        <v>3</v>
      </c>
      <c r="B9" s="457" t="s">
        <v>746</v>
      </c>
      <c r="C9" s="593">
        <v>1.2000010447081877E-3</v>
      </c>
      <c r="D9" s="598"/>
    </row>
    <row r="10" spans="1:4">
      <c r="A10" s="444">
        <v>4</v>
      </c>
      <c r="B10" s="444" t="s">
        <v>747</v>
      </c>
      <c r="C10" s="593">
        <f>SUM(C11:C18)</f>
        <v>30438103.842852693</v>
      </c>
      <c r="D10" s="598"/>
    </row>
    <row r="11" spans="1:4">
      <c r="A11" s="444">
        <v>5</v>
      </c>
      <c r="B11" s="458" t="s">
        <v>748</v>
      </c>
      <c r="C11" s="593">
        <v>0</v>
      </c>
      <c r="D11" s="598"/>
    </row>
    <row r="12" spans="1:4">
      <c r="A12" s="444">
        <v>6</v>
      </c>
      <c r="B12" s="458" t="s">
        <v>749</v>
      </c>
      <c r="C12" s="593">
        <v>0</v>
      </c>
      <c r="D12" s="598"/>
    </row>
    <row r="13" spans="1:4">
      <c r="A13" s="444">
        <v>7</v>
      </c>
      <c r="B13" s="458" t="s">
        <v>750</v>
      </c>
      <c r="C13" s="593">
        <v>18901466.772255782</v>
      </c>
      <c r="D13" s="598"/>
    </row>
    <row r="14" spans="1:4">
      <c r="A14" s="444">
        <v>8</v>
      </c>
      <c r="B14" s="458" t="s">
        <v>751</v>
      </c>
      <c r="C14" s="593">
        <v>7019483.2400000002</v>
      </c>
      <c r="D14" s="593">
        <v>7100498.8900000006</v>
      </c>
    </row>
    <row r="15" spans="1:4">
      <c r="A15" s="444">
        <v>9</v>
      </c>
      <c r="B15" s="458" t="s">
        <v>752</v>
      </c>
      <c r="C15" s="593"/>
      <c r="D15" s="593"/>
    </row>
    <row r="16" spans="1:4">
      <c r="A16" s="444">
        <v>10</v>
      </c>
      <c r="B16" s="458" t="s">
        <v>753</v>
      </c>
      <c r="C16" s="593">
        <v>1667354.6080199999</v>
      </c>
      <c r="D16" s="598"/>
    </row>
    <row r="17" spans="1:4">
      <c r="A17" s="444">
        <v>11</v>
      </c>
      <c r="B17" s="458" t="s">
        <v>754</v>
      </c>
      <c r="C17" s="593">
        <v>0</v>
      </c>
      <c r="D17" s="593"/>
    </row>
    <row r="18" spans="1:4" ht="25.5">
      <c r="A18" s="444">
        <v>12</v>
      </c>
      <c r="B18" s="458" t="s">
        <v>755</v>
      </c>
      <c r="C18" s="593">
        <v>2849799.2225769111</v>
      </c>
      <c r="D18" s="598"/>
    </row>
    <row r="19" spans="1:4">
      <c r="A19" s="436">
        <v>13</v>
      </c>
      <c r="B19" s="459" t="s">
        <v>756</v>
      </c>
      <c r="C19" s="594">
        <f>C7+C8+C9-C10</f>
        <v>349830391.99779993</v>
      </c>
      <c r="D19" s="599"/>
    </row>
    <row r="22" spans="1:4">
      <c r="B22" s="429"/>
    </row>
    <row r="23" spans="1:4">
      <c r="B23" s="429"/>
    </row>
    <row r="24" spans="1:4">
      <c r="B24" s="43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Normal="100" workbookViewId="0">
      <selection activeCell="B16" sqref="B16"/>
    </sheetView>
  </sheetViews>
  <sheetFormatPr defaultColWidth="9.28515625" defaultRowHeight="12.75"/>
  <cols>
    <col min="1" max="1" width="11.7109375" style="430" bestFit="1" customWidth="1"/>
    <col min="2" max="2" width="80.7109375" style="430" customWidth="1"/>
    <col min="3" max="3" width="15.5703125" style="430" customWidth="1"/>
    <col min="4" max="5" width="22.28515625" style="430" customWidth="1"/>
    <col min="6" max="6" width="23.42578125" style="430" customWidth="1"/>
    <col min="7" max="14" width="22.28515625" style="430" customWidth="1"/>
    <col min="15" max="15" width="23.28515625" style="430" bestFit="1" customWidth="1"/>
    <col min="16" max="16" width="21.85546875" style="430" bestFit="1" customWidth="1"/>
    <col min="17" max="19" width="19.140625" style="430" bestFit="1" customWidth="1"/>
    <col min="20" max="20" width="16.28515625" style="430" customWidth="1"/>
    <col min="21" max="21" width="13.28515625" style="430" bestFit="1" customWidth="1"/>
    <col min="22" max="22" width="20" style="430" customWidth="1"/>
    <col min="23" max="16384" width="9.28515625" style="430"/>
  </cols>
  <sheetData>
    <row r="1" spans="1:22">
      <c r="A1" s="429" t="s">
        <v>188</v>
      </c>
      <c r="B1" s="596" t="str">
        <f>'1. key ratios'!B1</f>
        <v>სს "ბანკი ქართუ"</v>
      </c>
    </row>
    <row r="2" spans="1:22">
      <c r="A2" s="429" t="s">
        <v>189</v>
      </c>
      <c r="B2" s="595">
        <f>'1. key ratios'!B2</f>
        <v>44469</v>
      </c>
      <c r="C2" s="440"/>
    </row>
    <row r="3" spans="1:22">
      <c r="A3" s="431" t="s">
        <v>757</v>
      </c>
      <c r="B3" s="432"/>
    </row>
    <row r="5" spans="1:22" ht="15" customHeight="1">
      <c r="A5" s="736" t="s">
        <v>758</v>
      </c>
      <c r="B5" s="738"/>
      <c r="C5" s="753" t="s">
        <v>759</v>
      </c>
      <c r="D5" s="754"/>
      <c r="E5" s="754"/>
      <c r="F5" s="754"/>
      <c r="G5" s="754"/>
      <c r="H5" s="754"/>
      <c r="I5" s="754"/>
      <c r="J5" s="754"/>
      <c r="K5" s="754"/>
      <c r="L5" s="754"/>
      <c r="M5" s="754"/>
      <c r="N5" s="754"/>
      <c r="O5" s="754"/>
      <c r="P5" s="754"/>
      <c r="Q5" s="754"/>
      <c r="R5" s="754"/>
      <c r="S5" s="754"/>
      <c r="T5" s="754"/>
      <c r="U5" s="755"/>
      <c r="V5" s="460"/>
    </row>
    <row r="6" spans="1:22">
      <c r="A6" s="751"/>
      <c r="B6" s="752"/>
      <c r="C6" s="756" t="s">
        <v>68</v>
      </c>
      <c r="D6" s="758" t="s">
        <v>760</v>
      </c>
      <c r="E6" s="758"/>
      <c r="F6" s="743"/>
      <c r="G6" s="759" t="s">
        <v>761</v>
      </c>
      <c r="H6" s="760"/>
      <c r="I6" s="760"/>
      <c r="J6" s="760"/>
      <c r="K6" s="761"/>
      <c r="L6" s="461"/>
      <c r="M6" s="762" t="s">
        <v>762</v>
      </c>
      <c r="N6" s="762"/>
      <c r="O6" s="743"/>
      <c r="P6" s="743"/>
      <c r="Q6" s="743"/>
      <c r="R6" s="743"/>
      <c r="S6" s="743"/>
      <c r="T6" s="743"/>
      <c r="U6" s="743"/>
      <c r="V6" s="461"/>
    </row>
    <row r="7" spans="1:22" ht="25.5">
      <c r="A7" s="739"/>
      <c r="B7" s="741"/>
      <c r="C7" s="757"/>
      <c r="D7" s="462"/>
      <c r="E7" s="442" t="s">
        <v>763</v>
      </c>
      <c r="F7" s="442" t="s">
        <v>764</v>
      </c>
      <c r="G7" s="440"/>
      <c r="H7" s="442" t="s">
        <v>763</v>
      </c>
      <c r="I7" s="442" t="s">
        <v>790</v>
      </c>
      <c r="J7" s="442" t="s">
        <v>765</v>
      </c>
      <c r="K7" s="442" t="s">
        <v>766</v>
      </c>
      <c r="L7" s="463"/>
      <c r="M7" s="476" t="s">
        <v>767</v>
      </c>
      <c r="N7" s="442" t="s">
        <v>765</v>
      </c>
      <c r="O7" s="442" t="s">
        <v>768</v>
      </c>
      <c r="P7" s="442" t="s">
        <v>769</v>
      </c>
      <c r="Q7" s="442" t="s">
        <v>770</v>
      </c>
      <c r="R7" s="442" t="s">
        <v>771</v>
      </c>
      <c r="S7" s="442" t="s">
        <v>772</v>
      </c>
      <c r="T7" s="464" t="s">
        <v>773</v>
      </c>
      <c r="U7" s="442" t="s">
        <v>774</v>
      </c>
      <c r="V7" s="460"/>
    </row>
    <row r="8" spans="1:22">
      <c r="A8" s="465">
        <v>1</v>
      </c>
      <c r="B8" s="436" t="s">
        <v>775</v>
      </c>
      <c r="C8" s="594">
        <f>SUM(C9:C14)</f>
        <v>981831436.64520073</v>
      </c>
      <c r="D8" s="594">
        <f t="shared" ref="D8:U8" si="0">SUM(D9:D14)</f>
        <v>562814148.67250013</v>
      </c>
      <c r="E8" s="594">
        <f t="shared" si="0"/>
        <v>15814359.75</v>
      </c>
      <c r="F8" s="594">
        <f t="shared" si="0"/>
        <v>120109.51869999999</v>
      </c>
      <c r="G8" s="594">
        <f t="shared" si="0"/>
        <v>69186895.974900052</v>
      </c>
      <c r="H8" s="594">
        <f t="shared" si="0"/>
        <v>3034581.7800000003</v>
      </c>
      <c r="I8" s="594">
        <f t="shared" si="0"/>
        <v>2444242.5200000005</v>
      </c>
      <c r="J8" s="594">
        <f t="shared" si="0"/>
        <v>3384861.88</v>
      </c>
      <c r="K8" s="594">
        <f t="shared" si="0"/>
        <v>1855376.0449000001</v>
      </c>
      <c r="L8" s="594">
        <f t="shared" si="0"/>
        <v>349830391.99780011</v>
      </c>
      <c r="M8" s="594">
        <f t="shared" si="0"/>
        <v>11128345.379999999</v>
      </c>
      <c r="N8" s="594">
        <f t="shared" si="0"/>
        <v>395611.56999999995</v>
      </c>
      <c r="O8" s="594">
        <f t="shared" si="0"/>
        <v>6610046.9100000001</v>
      </c>
      <c r="P8" s="594">
        <f t="shared" si="0"/>
        <v>42842882.269999996</v>
      </c>
      <c r="Q8" s="594">
        <f t="shared" si="0"/>
        <v>67257811.610000014</v>
      </c>
      <c r="R8" s="594">
        <f t="shared" si="0"/>
        <v>81106187.252000034</v>
      </c>
      <c r="S8" s="594">
        <f t="shared" si="0"/>
        <v>28054640.335800007</v>
      </c>
      <c r="T8" s="594">
        <f t="shared" si="0"/>
        <v>19260605.689999994</v>
      </c>
      <c r="U8" s="594">
        <f t="shared" si="0"/>
        <v>16392857.520000001</v>
      </c>
    </row>
    <row r="9" spans="1:22">
      <c r="A9" s="444">
        <v>1.1000000000000001</v>
      </c>
      <c r="B9" s="466" t="s">
        <v>776</v>
      </c>
      <c r="C9" s="600"/>
      <c r="D9" s="593"/>
      <c r="E9" s="593"/>
      <c r="F9" s="593"/>
      <c r="G9" s="593"/>
      <c r="H9" s="593"/>
      <c r="I9" s="593"/>
      <c r="J9" s="593"/>
      <c r="K9" s="593"/>
      <c r="L9" s="593"/>
      <c r="M9" s="593"/>
      <c r="N9" s="593"/>
      <c r="O9" s="593"/>
      <c r="P9" s="593"/>
      <c r="Q9" s="593"/>
      <c r="R9" s="593"/>
      <c r="S9" s="593"/>
      <c r="T9" s="593"/>
      <c r="U9" s="593"/>
    </row>
    <row r="10" spans="1:22">
      <c r="A10" s="444">
        <v>1.2</v>
      </c>
      <c r="B10" s="466" t="s">
        <v>777</v>
      </c>
      <c r="C10" s="600"/>
      <c r="D10" s="593"/>
      <c r="E10" s="593"/>
      <c r="F10" s="593"/>
      <c r="G10" s="593"/>
      <c r="H10" s="593"/>
      <c r="I10" s="593"/>
      <c r="J10" s="593"/>
      <c r="K10" s="593"/>
      <c r="L10" s="593"/>
      <c r="M10" s="593"/>
      <c r="N10" s="593"/>
      <c r="O10" s="593"/>
      <c r="P10" s="593"/>
      <c r="Q10" s="593"/>
      <c r="R10" s="593"/>
      <c r="S10" s="593"/>
      <c r="T10" s="593"/>
      <c r="U10" s="593"/>
    </row>
    <row r="11" spans="1:22">
      <c r="A11" s="444">
        <v>1.3</v>
      </c>
      <c r="B11" s="466" t="s">
        <v>778</v>
      </c>
      <c r="C11" s="600"/>
      <c r="D11" s="593"/>
      <c r="E11" s="593"/>
      <c r="F11" s="593"/>
      <c r="G11" s="593"/>
      <c r="H11" s="593"/>
      <c r="I11" s="593"/>
      <c r="J11" s="593"/>
      <c r="K11" s="593"/>
      <c r="L11" s="593"/>
      <c r="M11" s="593"/>
      <c r="N11" s="593"/>
      <c r="O11" s="593"/>
      <c r="P11" s="593"/>
      <c r="Q11" s="593"/>
      <c r="R11" s="593"/>
      <c r="S11" s="593"/>
      <c r="T11" s="593"/>
      <c r="U11" s="593"/>
    </row>
    <row r="12" spans="1:22">
      <c r="A12" s="444">
        <v>1.4</v>
      </c>
      <c r="B12" s="466" t="s">
        <v>779</v>
      </c>
      <c r="C12" s="600">
        <v>10000000</v>
      </c>
      <c r="D12" s="593">
        <v>10000000</v>
      </c>
      <c r="E12" s="593">
        <v>0</v>
      </c>
      <c r="F12" s="593">
        <v>0</v>
      </c>
      <c r="G12" s="593">
        <v>0</v>
      </c>
      <c r="H12" s="593">
        <v>0</v>
      </c>
      <c r="I12" s="593">
        <v>0</v>
      </c>
      <c r="J12" s="593">
        <v>0</v>
      </c>
      <c r="K12" s="593">
        <v>0</v>
      </c>
      <c r="L12" s="593">
        <v>0</v>
      </c>
      <c r="M12" s="593">
        <v>0</v>
      </c>
      <c r="N12" s="593">
        <v>0</v>
      </c>
      <c r="O12" s="593">
        <v>0</v>
      </c>
      <c r="P12" s="593">
        <v>0</v>
      </c>
      <c r="Q12" s="593">
        <v>0</v>
      </c>
      <c r="R12" s="593">
        <v>0</v>
      </c>
      <c r="S12" s="593">
        <v>0</v>
      </c>
      <c r="T12" s="593">
        <v>0</v>
      </c>
      <c r="U12" s="593">
        <v>0</v>
      </c>
    </row>
    <row r="13" spans="1:22">
      <c r="A13" s="444">
        <v>1.5</v>
      </c>
      <c r="B13" s="466" t="s">
        <v>780</v>
      </c>
      <c r="C13" s="600">
        <v>882879441.69740069</v>
      </c>
      <c r="D13" s="593">
        <v>503885189.72530013</v>
      </c>
      <c r="E13" s="593">
        <v>12868936.51</v>
      </c>
      <c r="F13" s="593">
        <v>17738.02529999999</v>
      </c>
      <c r="G13" s="593">
        <v>61130306.130000047</v>
      </c>
      <c r="H13" s="593">
        <v>2755621.62</v>
      </c>
      <c r="I13" s="593">
        <v>2444242.5200000005</v>
      </c>
      <c r="J13" s="593">
        <v>3142126.94</v>
      </c>
      <c r="K13" s="593">
        <v>1855375.5</v>
      </c>
      <c r="L13" s="593">
        <v>317863945.84210014</v>
      </c>
      <c r="M13" s="593">
        <v>9291720.8399999999</v>
      </c>
      <c r="N13" s="593">
        <v>235726.37</v>
      </c>
      <c r="O13" s="593">
        <v>5979878.8700000001</v>
      </c>
      <c r="P13" s="593">
        <v>41834593.309999995</v>
      </c>
      <c r="Q13" s="593">
        <v>57350206.670000009</v>
      </c>
      <c r="R13" s="593">
        <v>80234085.712000027</v>
      </c>
      <c r="S13" s="593">
        <v>18619752.310100004</v>
      </c>
      <c r="T13" s="593">
        <v>19186938.059999995</v>
      </c>
      <c r="U13" s="593">
        <v>16244552.660000002</v>
      </c>
    </row>
    <row r="14" spans="1:22">
      <c r="A14" s="444">
        <v>1.6</v>
      </c>
      <c r="B14" s="466" t="s">
        <v>781</v>
      </c>
      <c r="C14" s="600">
        <v>88951994.94780004</v>
      </c>
      <c r="D14" s="593">
        <v>48928958.947200008</v>
      </c>
      <c r="E14" s="593">
        <v>2945423.24</v>
      </c>
      <c r="F14" s="593">
        <v>102371.49339999999</v>
      </c>
      <c r="G14" s="593">
        <v>8056589.844899999</v>
      </c>
      <c r="H14" s="593">
        <v>278960.16000000003</v>
      </c>
      <c r="I14" s="593">
        <v>0</v>
      </c>
      <c r="J14" s="593">
        <v>242734.94</v>
      </c>
      <c r="K14" s="593">
        <v>0.54489999999999994</v>
      </c>
      <c r="L14" s="593">
        <v>31966446.155699994</v>
      </c>
      <c r="M14" s="593">
        <v>1836624.54</v>
      </c>
      <c r="N14" s="593">
        <v>159885.19999999998</v>
      </c>
      <c r="O14" s="593">
        <v>630168.04</v>
      </c>
      <c r="P14" s="593">
        <v>1008288.9599999998</v>
      </c>
      <c r="Q14" s="593">
        <v>9907604.9399999976</v>
      </c>
      <c r="R14" s="593">
        <v>872101.53999999992</v>
      </c>
      <c r="S14" s="593">
        <v>9434888.025700001</v>
      </c>
      <c r="T14" s="593">
        <v>73667.63</v>
      </c>
      <c r="U14" s="593">
        <v>148304.85999999996</v>
      </c>
    </row>
    <row r="15" spans="1:22">
      <c r="A15" s="465">
        <v>2</v>
      </c>
      <c r="B15" s="436" t="s">
        <v>782</v>
      </c>
      <c r="C15" s="594">
        <f>SUM(C16:C21)</f>
        <v>55083289.259999998</v>
      </c>
      <c r="D15" s="594">
        <f t="shared" ref="D15:U15" si="1">SUM(D16:D21)</f>
        <v>55083289.259999998</v>
      </c>
      <c r="E15" s="594">
        <f t="shared" si="1"/>
        <v>0</v>
      </c>
      <c r="F15" s="594">
        <f t="shared" si="1"/>
        <v>0</v>
      </c>
      <c r="G15" s="594">
        <f t="shared" si="1"/>
        <v>0</v>
      </c>
      <c r="H15" s="594">
        <f t="shared" si="1"/>
        <v>0</v>
      </c>
      <c r="I15" s="594">
        <f t="shared" si="1"/>
        <v>0</v>
      </c>
      <c r="J15" s="594">
        <f t="shared" si="1"/>
        <v>0</v>
      </c>
      <c r="K15" s="594">
        <f t="shared" si="1"/>
        <v>0</v>
      </c>
      <c r="L15" s="594">
        <f t="shared" si="1"/>
        <v>0</v>
      </c>
      <c r="M15" s="594">
        <f t="shared" si="1"/>
        <v>0</v>
      </c>
      <c r="N15" s="594">
        <f t="shared" si="1"/>
        <v>0</v>
      </c>
      <c r="O15" s="594">
        <f t="shared" si="1"/>
        <v>0</v>
      </c>
      <c r="P15" s="594">
        <f t="shared" si="1"/>
        <v>0</v>
      </c>
      <c r="Q15" s="594">
        <f t="shared" si="1"/>
        <v>0</v>
      </c>
      <c r="R15" s="594">
        <f t="shared" si="1"/>
        <v>0</v>
      </c>
      <c r="S15" s="594">
        <f t="shared" si="1"/>
        <v>0</v>
      </c>
      <c r="T15" s="594">
        <f t="shared" si="1"/>
        <v>0</v>
      </c>
      <c r="U15" s="594">
        <f t="shared" si="1"/>
        <v>0</v>
      </c>
    </row>
    <row r="16" spans="1:22">
      <c r="A16" s="444">
        <v>2.1</v>
      </c>
      <c r="B16" s="466" t="s">
        <v>776</v>
      </c>
      <c r="C16" s="600">
        <v>0</v>
      </c>
      <c r="D16" s="593">
        <v>0</v>
      </c>
      <c r="E16" s="593"/>
      <c r="F16" s="593"/>
      <c r="G16" s="593"/>
      <c r="H16" s="593"/>
      <c r="I16" s="593"/>
      <c r="J16" s="593"/>
      <c r="K16" s="593"/>
      <c r="L16" s="593"/>
      <c r="M16" s="593"/>
      <c r="N16" s="593"/>
      <c r="O16" s="593"/>
      <c r="P16" s="593"/>
      <c r="Q16" s="593"/>
      <c r="R16" s="593"/>
      <c r="S16" s="593"/>
      <c r="T16" s="593"/>
      <c r="U16" s="593"/>
    </row>
    <row r="17" spans="1:21">
      <c r="A17" s="444">
        <v>2.2000000000000002</v>
      </c>
      <c r="B17" s="466" t="s">
        <v>777</v>
      </c>
      <c r="C17" s="600">
        <v>36469289.259999998</v>
      </c>
      <c r="D17" s="593">
        <v>36469289.259999998</v>
      </c>
      <c r="E17" s="593"/>
      <c r="F17" s="593"/>
      <c r="G17" s="593"/>
      <c r="H17" s="593"/>
      <c r="I17" s="593"/>
      <c r="J17" s="593"/>
      <c r="K17" s="593"/>
      <c r="L17" s="593"/>
      <c r="M17" s="593"/>
      <c r="N17" s="593"/>
      <c r="O17" s="593"/>
      <c r="P17" s="593"/>
      <c r="Q17" s="593"/>
      <c r="R17" s="593"/>
      <c r="S17" s="593"/>
      <c r="T17" s="593"/>
      <c r="U17" s="593"/>
    </row>
    <row r="18" spans="1:21">
      <c r="A18" s="444">
        <v>2.2999999999999998</v>
      </c>
      <c r="B18" s="466" t="s">
        <v>778</v>
      </c>
      <c r="C18" s="600"/>
      <c r="D18" s="593"/>
      <c r="E18" s="593"/>
      <c r="F18" s="593"/>
      <c r="G18" s="593"/>
      <c r="H18" s="593"/>
      <c r="I18" s="593"/>
      <c r="J18" s="593"/>
      <c r="K18" s="593"/>
      <c r="L18" s="593"/>
      <c r="M18" s="593"/>
      <c r="N18" s="593"/>
      <c r="O18" s="593"/>
      <c r="P18" s="593"/>
      <c r="Q18" s="593"/>
      <c r="R18" s="593"/>
      <c r="S18" s="593"/>
      <c r="T18" s="593"/>
      <c r="U18" s="593"/>
    </row>
    <row r="19" spans="1:21">
      <c r="A19" s="444">
        <v>2.4</v>
      </c>
      <c r="B19" s="466" t="s">
        <v>779</v>
      </c>
      <c r="C19" s="600"/>
      <c r="D19" s="593"/>
      <c r="E19" s="593"/>
      <c r="F19" s="593"/>
      <c r="G19" s="593"/>
      <c r="H19" s="593"/>
      <c r="I19" s="593"/>
      <c r="J19" s="593"/>
      <c r="K19" s="593"/>
      <c r="L19" s="593"/>
      <c r="M19" s="593"/>
      <c r="N19" s="593"/>
      <c r="O19" s="593"/>
      <c r="P19" s="593"/>
      <c r="Q19" s="593"/>
      <c r="R19" s="593"/>
      <c r="S19" s="593"/>
      <c r="T19" s="593"/>
      <c r="U19" s="593"/>
    </row>
    <row r="20" spans="1:21">
      <c r="A20" s="444">
        <v>2.5</v>
      </c>
      <c r="B20" s="466" t="s">
        <v>780</v>
      </c>
      <c r="C20" s="600">
        <v>18614000</v>
      </c>
      <c r="D20" s="593">
        <v>18614000</v>
      </c>
      <c r="E20" s="593">
        <v>0</v>
      </c>
      <c r="F20" s="593">
        <v>0</v>
      </c>
      <c r="G20" s="593">
        <v>0</v>
      </c>
      <c r="H20" s="593">
        <v>0</v>
      </c>
      <c r="I20" s="593">
        <v>0</v>
      </c>
      <c r="J20" s="593">
        <v>0</v>
      </c>
      <c r="K20" s="593">
        <v>0</v>
      </c>
      <c r="L20" s="593">
        <v>0</v>
      </c>
      <c r="M20" s="593">
        <v>0</v>
      </c>
      <c r="N20" s="593">
        <v>0</v>
      </c>
      <c r="O20" s="593">
        <v>0</v>
      </c>
      <c r="P20" s="593">
        <v>0</v>
      </c>
      <c r="Q20" s="593">
        <v>0</v>
      </c>
      <c r="R20" s="593">
        <v>0</v>
      </c>
      <c r="S20" s="593">
        <v>0</v>
      </c>
      <c r="T20" s="593">
        <v>0</v>
      </c>
      <c r="U20" s="593">
        <v>0</v>
      </c>
    </row>
    <row r="21" spans="1:21">
      <c r="A21" s="444">
        <v>2.6</v>
      </c>
      <c r="B21" s="466" t="s">
        <v>781</v>
      </c>
      <c r="C21" s="600"/>
      <c r="D21" s="593"/>
      <c r="E21" s="593"/>
      <c r="F21" s="593"/>
      <c r="G21" s="593"/>
      <c r="H21" s="593"/>
      <c r="I21" s="593"/>
      <c r="J21" s="593"/>
      <c r="K21" s="593"/>
      <c r="L21" s="593"/>
      <c r="M21" s="593"/>
      <c r="N21" s="593"/>
      <c r="O21" s="593"/>
      <c r="P21" s="593"/>
      <c r="Q21" s="593"/>
      <c r="R21" s="593"/>
      <c r="S21" s="593"/>
      <c r="T21" s="593"/>
      <c r="U21" s="593"/>
    </row>
    <row r="22" spans="1:21">
      <c r="A22" s="465">
        <v>3</v>
      </c>
      <c r="B22" s="436" t="s">
        <v>783</v>
      </c>
      <c r="C22" s="594">
        <f>SUM(C23:C28)</f>
        <v>81068979.649900019</v>
      </c>
      <c r="D22" s="593">
        <f t="shared" ref="D22:L22" si="2">SUM(D23:D28)</f>
        <v>51754940.750000007</v>
      </c>
      <c r="E22" s="601"/>
      <c r="F22" s="601"/>
      <c r="G22" s="593">
        <f t="shared" si="2"/>
        <v>240000</v>
      </c>
      <c r="H22" s="601"/>
      <c r="I22" s="601"/>
      <c r="J22" s="601"/>
      <c r="K22" s="601"/>
      <c r="L22" s="593">
        <f t="shared" si="2"/>
        <v>5283498.5</v>
      </c>
      <c r="M22" s="601"/>
      <c r="N22" s="601"/>
      <c r="O22" s="601"/>
      <c r="P22" s="601"/>
      <c r="Q22" s="601"/>
      <c r="R22" s="601"/>
      <c r="S22" s="601"/>
      <c r="T22" s="601"/>
      <c r="U22" s="593">
        <f t="shared" ref="U22" si="3">SUM(U23:U28)</f>
        <v>0</v>
      </c>
    </row>
    <row r="23" spans="1:21">
      <c r="A23" s="444">
        <v>3.1</v>
      </c>
      <c r="B23" s="466" t="s">
        <v>776</v>
      </c>
      <c r="C23" s="600"/>
      <c r="D23" s="593"/>
      <c r="E23" s="601"/>
      <c r="F23" s="601"/>
      <c r="G23" s="593"/>
      <c r="H23" s="601"/>
      <c r="I23" s="601"/>
      <c r="J23" s="601"/>
      <c r="K23" s="601"/>
      <c r="L23" s="593"/>
      <c r="M23" s="601"/>
      <c r="N23" s="601"/>
      <c r="O23" s="601"/>
      <c r="P23" s="601"/>
      <c r="Q23" s="601"/>
      <c r="R23" s="601"/>
      <c r="S23" s="601"/>
      <c r="T23" s="601"/>
      <c r="U23" s="593"/>
    </row>
    <row r="24" spans="1:21">
      <c r="A24" s="444">
        <v>3.2</v>
      </c>
      <c r="B24" s="466" t="s">
        <v>777</v>
      </c>
      <c r="C24" s="600"/>
      <c r="D24" s="593"/>
      <c r="E24" s="601"/>
      <c r="F24" s="601"/>
      <c r="G24" s="593"/>
      <c r="H24" s="601"/>
      <c r="I24" s="601"/>
      <c r="J24" s="601"/>
      <c r="K24" s="601"/>
      <c r="L24" s="593"/>
      <c r="M24" s="601"/>
      <c r="N24" s="601"/>
      <c r="O24" s="601"/>
      <c r="P24" s="601"/>
      <c r="Q24" s="601"/>
      <c r="R24" s="601"/>
      <c r="S24" s="601"/>
      <c r="T24" s="601"/>
      <c r="U24" s="593"/>
    </row>
    <row r="25" spans="1:21">
      <c r="A25" s="444">
        <v>3.3</v>
      </c>
      <c r="B25" s="466" t="s">
        <v>778</v>
      </c>
      <c r="C25" s="600"/>
      <c r="D25" s="593"/>
      <c r="E25" s="601"/>
      <c r="F25" s="601"/>
      <c r="G25" s="593"/>
      <c r="H25" s="601"/>
      <c r="I25" s="601"/>
      <c r="J25" s="601"/>
      <c r="K25" s="601"/>
      <c r="L25" s="593"/>
      <c r="M25" s="601"/>
      <c r="N25" s="601"/>
      <c r="O25" s="601"/>
      <c r="P25" s="601"/>
      <c r="Q25" s="601"/>
      <c r="R25" s="601"/>
      <c r="S25" s="601"/>
      <c r="T25" s="601"/>
      <c r="U25" s="593"/>
    </row>
    <row r="26" spans="1:21">
      <c r="A26" s="444">
        <v>3.4</v>
      </c>
      <c r="B26" s="466" t="s">
        <v>779</v>
      </c>
      <c r="C26" s="600">
        <v>443878.84000000008</v>
      </c>
      <c r="D26" s="593">
        <v>443878.84000000008</v>
      </c>
      <c r="E26" s="601"/>
      <c r="F26" s="601"/>
      <c r="G26" s="593">
        <v>0</v>
      </c>
      <c r="H26" s="601"/>
      <c r="I26" s="601"/>
      <c r="J26" s="601"/>
      <c r="K26" s="601"/>
      <c r="L26" s="593">
        <v>0</v>
      </c>
      <c r="M26" s="601"/>
      <c r="N26" s="601"/>
      <c r="O26" s="601"/>
      <c r="P26" s="601"/>
      <c r="Q26" s="601"/>
      <c r="R26" s="601"/>
      <c r="S26" s="601"/>
      <c r="T26" s="601"/>
      <c r="U26" s="593">
        <v>0</v>
      </c>
    </row>
    <row r="27" spans="1:21">
      <c r="A27" s="444">
        <v>3.5</v>
      </c>
      <c r="B27" s="466" t="s">
        <v>780</v>
      </c>
      <c r="C27" s="600">
        <v>79108513.49000001</v>
      </c>
      <c r="D27" s="593">
        <v>51310061.910000004</v>
      </c>
      <c r="E27" s="601"/>
      <c r="F27" s="601"/>
      <c r="G27" s="593">
        <v>240000</v>
      </c>
      <c r="H27" s="601"/>
      <c r="I27" s="601"/>
      <c r="J27" s="601"/>
      <c r="K27" s="601"/>
      <c r="L27" s="593">
        <v>5283498.5</v>
      </c>
      <c r="M27" s="601"/>
      <c r="N27" s="601"/>
      <c r="O27" s="601"/>
      <c r="P27" s="601"/>
      <c r="Q27" s="601"/>
      <c r="R27" s="601"/>
      <c r="S27" s="601"/>
      <c r="T27" s="601"/>
      <c r="U27" s="593">
        <v>0</v>
      </c>
    </row>
    <row r="28" spans="1:21">
      <c r="A28" s="444">
        <v>3.6</v>
      </c>
      <c r="B28" s="466" t="s">
        <v>781</v>
      </c>
      <c r="C28" s="600">
        <v>1516587.3198999998</v>
      </c>
      <c r="D28" s="593">
        <v>1000</v>
      </c>
      <c r="E28" s="601"/>
      <c r="F28" s="601"/>
      <c r="G28" s="593">
        <v>0</v>
      </c>
      <c r="H28" s="601"/>
      <c r="I28" s="601"/>
      <c r="J28" s="601"/>
      <c r="K28" s="601"/>
      <c r="L28" s="593">
        <v>0</v>
      </c>
      <c r="M28" s="601"/>
      <c r="N28" s="601"/>
      <c r="O28" s="601"/>
      <c r="P28" s="601"/>
      <c r="Q28" s="601"/>
      <c r="R28" s="601"/>
      <c r="S28" s="601"/>
      <c r="T28" s="601"/>
      <c r="U28" s="593">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Normal="100" workbookViewId="0"/>
  </sheetViews>
  <sheetFormatPr defaultColWidth="9.28515625" defaultRowHeight="12.75"/>
  <cols>
    <col min="1" max="1" width="11.7109375" style="430" bestFit="1" customWidth="1"/>
    <col min="2" max="2" width="90.28515625" style="430" bestFit="1" customWidth="1"/>
    <col min="3" max="3" width="20.28515625" style="430" customWidth="1"/>
    <col min="4" max="4" width="22.28515625" style="430" customWidth="1"/>
    <col min="5" max="5" width="17.140625" style="430" customWidth="1"/>
    <col min="6" max="7" width="22.28515625" style="430" customWidth="1"/>
    <col min="8" max="8" width="17.140625" style="430" customWidth="1"/>
    <col min="9" max="14" width="22.28515625" style="430" customWidth="1"/>
    <col min="15" max="15" width="23.28515625" style="430" bestFit="1" customWidth="1"/>
    <col min="16" max="16" width="21.7109375" style="430" bestFit="1" customWidth="1"/>
    <col min="17" max="19" width="19" style="430" bestFit="1" customWidth="1"/>
    <col min="20" max="20" width="15.28515625" style="430" customWidth="1"/>
    <col min="21" max="21" width="20" style="430" customWidth="1"/>
    <col min="22" max="16384" width="9.28515625" style="430"/>
  </cols>
  <sheetData>
    <row r="1" spans="1:21">
      <c r="A1" s="429" t="s">
        <v>188</v>
      </c>
      <c r="B1" s="596" t="str">
        <f>'1. key ratios'!B1</f>
        <v>სს "ბანკი ქართუ"</v>
      </c>
    </row>
    <row r="2" spans="1:21">
      <c r="A2" s="429" t="s">
        <v>189</v>
      </c>
      <c r="B2" s="432">
        <f>'1. key ratios'!B2</f>
        <v>44469</v>
      </c>
    </row>
    <row r="3" spans="1:21">
      <c r="A3" s="431" t="s">
        <v>784</v>
      </c>
      <c r="B3" s="432"/>
      <c r="C3" s="432"/>
    </row>
    <row r="4" spans="1:21">
      <c r="A4" s="431"/>
      <c r="B4" s="432"/>
      <c r="C4" s="432"/>
    </row>
    <row r="5" spans="1:21" ht="13.5" customHeight="1">
      <c r="A5" s="763" t="s">
        <v>785</v>
      </c>
      <c r="B5" s="764"/>
      <c r="C5" s="769" t="s">
        <v>786</v>
      </c>
      <c r="D5" s="770"/>
      <c r="E5" s="770"/>
      <c r="F5" s="770"/>
      <c r="G5" s="770"/>
      <c r="H5" s="770"/>
      <c r="I5" s="770"/>
      <c r="J5" s="770"/>
      <c r="K5" s="770"/>
      <c r="L5" s="770"/>
      <c r="M5" s="770"/>
      <c r="N5" s="770"/>
      <c r="O5" s="770"/>
      <c r="P5" s="770"/>
      <c r="Q5" s="770"/>
      <c r="R5" s="770"/>
      <c r="S5" s="770"/>
      <c r="T5" s="771"/>
      <c r="U5" s="460"/>
    </row>
    <row r="6" spans="1:21">
      <c r="A6" s="765"/>
      <c r="B6" s="766"/>
      <c r="C6" s="750" t="s">
        <v>68</v>
      </c>
      <c r="D6" s="769" t="s">
        <v>787</v>
      </c>
      <c r="E6" s="770"/>
      <c r="F6" s="771"/>
      <c r="G6" s="769" t="s">
        <v>788</v>
      </c>
      <c r="H6" s="770"/>
      <c r="I6" s="770"/>
      <c r="J6" s="770"/>
      <c r="K6" s="771"/>
      <c r="L6" s="772" t="s">
        <v>789</v>
      </c>
      <c r="M6" s="773"/>
      <c r="N6" s="773"/>
      <c r="O6" s="773"/>
      <c r="P6" s="773"/>
      <c r="Q6" s="773"/>
      <c r="R6" s="773"/>
      <c r="S6" s="773"/>
      <c r="T6" s="774"/>
      <c r="U6" s="461"/>
    </row>
    <row r="7" spans="1:21" ht="25.5">
      <c r="A7" s="767"/>
      <c r="B7" s="768"/>
      <c r="C7" s="750"/>
      <c r="E7" s="476" t="s">
        <v>763</v>
      </c>
      <c r="F7" s="442" t="s">
        <v>764</v>
      </c>
      <c r="H7" s="476" t="s">
        <v>763</v>
      </c>
      <c r="I7" s="442" t="s">
        <v>790</v>
      </c>
      <c r="J7" s="442" t="s">
        <v>765</v>
      </c>
      <c r="K7" s="442" t="s">
        <v>766</v>
      </c>
      <c r="L7" s="467"/>
      <c r="M7" s="476" t="s">
        <v>767</v>
      </c>
      <c r="N7" s="442" t="s">
        <v>765</v>
      </c>
      <c r="O7" s="442" t="s">
        <v>768</v>
      </c>
      <c r="P7" s="442" t="s">
        <v>769</v>
      </c>
      <c r="Q7" s="442" t="s">
        <v>770</v>
      </c>
      <c r="R7" s="442" t="s">
        <v>771</v>
      </c>
      <c r="S7" s="442" t="s">
        <v>772</v>
      </c>
      <c r="T7" s="464" t="s">
        <v>773</v>
      </c>
      <c r="U7" s="460"/>
    </row>
    <row r="8" spans="1:21">
      <c r="A8" s="467">
        <v>1</v>
      </c>
      <c r="B8" s="459" t="s">
        <v>775</v>
      </c>
      <c r="C8" s="602">
        <v>981831436.64520121</v>
      </c>
      <c r="D8" s="593">
        <v>562814148.67250013</v>
      </c>
      <c r="E8" s="593">
        <v>15814359.750000002</v>
      </c>
      <c r="F8" s="593">
        <v>120109.5187</v>
      </c>
      <c r="G8" s="593">
        <v>69186895.974900067</v>
      </c>
      <c r="H8" s="593">
        <v>3034581.7800000003</v>
      </c>
      <c r="I8" s="593">
        <v>2444242.5200000005</v>
      </c>
      <c r="J8" s="593">
        <v>3384861.88</v>
      </c>
      <c r="K8" s="593">
        <v>1855376.0449000001</v>
      </c>
      <c r="L8" s="593">
        <v>349830391.99779987</v>
      </c>
      <c r="M8" s="593">
        <v>11128345.379999997</v>
      </c>
      <c r="N8" s="593">
        <v>395611.57</v>
      </c>
      <c r="O8" s="593">
        <v>6610046.9100000001</v>
      </c>
      <c r="P8" s="593">
        <v>42842882.269999996</v>
      </c>
      <c r="Q8" s="593">
        <v>67257811.609999999</v>
      </c>
      <c r="R8" s="593">
        <v>81106187.252000019</v>
      </c>
      <c r="S8" s="593">
        <v>28054640.335799996</v>
      </c>
      <c r="T8" s="593">
        <v>19260605.689999994</v>
      </c>
    </row>
    <row r="9" spans="1:21">
      <c r="A9" s="466">
        <v>1.1000000000000001</v>
      </c>
      <c r="B9" s="466" t="s">
        <v>791</v>
      </c>
      <c r="C9" s="600">
        <v>951698595.77320075</v>
      </c>
      <c r="D9" s="593">
        <v>532937066.74320012</v>
      </c>
      <c r="E9" s="593">
        <v>15814359.750000002</v>
      </c>
      <c r="F9" s="593">
        <v>0</v>
      </c>
      <c r="G9" s="593">
        <v>69115548.820000067</v>
      </c>
      <c r="H9" s="593">
        <v>3034581.7800000003</v>
      </c>
      <c r="I9" s="593">
        <v>2444242.5200000005</v>
      </c>
      <c r="J9" s="593">
        <v>3380761.88</v>
      </c>
      <c r="K9" s="593">
        <v>1855315.06</v>
      </c>
      <c r="L9" s="593">
        <v>349645980.20999986</v>
      </c>
      <c r="M9" s="593">
        <v>11128345.379999997</v>
      </c>
      <c r="N9" s="593">
        <v>383975.27</v>
      </c>
      <c r="O9" s="593">
        <v>6606039.8700000001</v>
      </c>
      <c r="P9" s="593">
        <v>42839633.43</v>
      </c>
      <c r="Q9" s="593">
        <v>67251985.530000001</v>
      </c>
      <c r="R9" s="593">
        <v>80969932.060000032</v>
      </c>
      <c r="S9" s="593">
        <v>28051901.98</v>
      </c>
      <c r="T9" s="593">
        <v>19260605.689999994</v>
      </c>
    </row>
    <row r="10" spans="1:21">
      <c r="A10" s="468" t="s">
        <v>252</v>
      </c>
      <c r="B10" s="468" t="s">
        <v>792</v>
      </c>
      <c r="C10" s="603">
        <v>901201742.2232008</v>
      </c>
      <c r="D10" s="593">
        <v>491922119.30320001</v>
      </c>
      <c r="E10" s="593">
        <v>15807949.390000002</v>
      </c>
      <c r="F10" s="593">
        <v>0</v>
      </c>
      <c r="G10" s="593">
        <v>69069416.140000075</v>
      </c>
      <c r="H10" s="593">
        <v>3034581.7800000003</v>
      </c>
      <c r="I10" s="593">
        <v>2444242.5200000005</v>
      </c>
      <c r="J10" s="593">
        <v>3380761.88</v>
      </c>
      <c r="K10" s="593">
        <v>1855315.06</v>
      </c>
      <c r="L10" s="593">
        <v>340210206.77999985</v>
      </c>
      <c r="M10" s="593">
        <v>10880998.779999997</v>
      </c>
      <c r="N10" s="593">
        <v>383975.27</v>
      </c>
      <c r="O10" s="593">
        <v>6606039.8700000001</v>
      </c>
      <c r="P10" s="593">
        <v>42839633.43</v>
      </c>
      <c r="Q10" s="593">
        <v>67251985.530000001</v>
      </c>
      <c r="R10" s="593">
        <v>78596157.160000026</v>
      </c>
      <c r="S10" s="593">
        <v>28003281.449999999</v>
      </c>
      <c r="T10" s="593">
        <v>19186938.059999995</v>
      </c>
    </row>
    <row r="11" spans="1:21">
      <c r="A11" s="469" t="s">
        <v>793</v>
      </c>
      <c r="B11" s="469" t="s">
        <v>794</v>
      </c>
      <c r="C11" s="604">
        <v>560878010.09999979</v>
      </c>
      <c r="D11" s="593">
        <v>350804667.46999979</v>
      </c>
      <c r="E11" s="593">
        <v>13642730.870000003</v>
      </c>
      <c r="F11" s="593">
        <v>0</v>
      </c>
      <c r="G11" s="593">
        <v>66786533.570000045</v>
      </c>
      <c r="H11" s="593">
        <v>2833450.0100000002</v>
      </c>
      <c r="I11" s="593">
        <v>2424468.3000000003</v>
      </c>
      <c r="J11" s="593">
        <v>3380761.88</v>
      </c>
      <c r="K11" s="593">
        <v>0</v>
      </c>
      <c r="L11" s="593">
        <v>143286809.05999991</v>
      </c>
      <c r="M11" s="593">
        <v>10149291.509999998</v>
      </c>
      <c r="N11" s="593">
        <v>383975.27</v>
      </c>
      <c r="O11" s="593">
        <v>1391643.3000000003</v>
      </c>
      <c r="P11" s="593">
        <v>24010751.769999996</v>
      </c>
      <c r="Q11" s="593">
        <v>16862777.659999993</v>
      </c>
      <c r="R11" s="593">
        <v>40095821.999999993</v>
      </c>
      <c r="S11" s="593">
        <v>7973891.6900000013</v>
      </c>
      <c r="T11" s="593">
        <v>19186938.059999995</v>
      </c>
    </row>
    <row r="12" spans="1:21">
      <c r="A12" s="469" t="s">
        <v>795</v>
      </c>
      <c r="B12" s="469" t="s">
        <v>796</v>
      </c>
      <c r="C12" s="604">
        <v>85934999.900000021</v>
      </c>
      <c r="D12" s="593">
        <v>33337539.989999995</v>
      </c>
      <c r="E12" s="593">
        <v>0</v>
      </c>
      <c r="F12" s="593">
        <v>0</v>
      </c>
      <c r="G12" s="593">
        <v>196132.51</v>
      </c>
      <c r="H12" s="593">
        <v>196132.51</v>
      </c>
      <c r="I12" s="593">
        <v>0</v>
      </c>
      <c r="J12" s="593">
        <v>0</v>
      </c>
      <c r="K12" s="593">
        <v>0</v>
      </c>
      <c r="L12" s="593">
        <v>52401327.400000006</v>
      </c>
      <c r="M12" s="593">
        <v>731707.27</v>
      </c>
      <c r="N12" s="593">
        <v>0</v>
      </c>
      <c r="O12" s="593">
        <v>0</v>
      </c>
      <c r="P12" s="593">
        <v>14148505.919999998</v>
      </c>
      <c r="Q12" s="593">
        <v>15374866.710000001</v>
      </c>
      <c r="R12" s="593">
        <v>22050401.869999994</v>
      </c>
      <c r="S12" s="593">
        <v>0</v>
      </c>
      <c r="T12" s="593">
        <v>0</v>
      </c>
    </row>
    <row r="13" spans="1:21">
      <c r="A13" s="469" t="s">
        <v>797</v>
      </c>
      <c r="B13" s="469" t="s">
        <v>798</v>
      </c>
      <c r="C13" s="604">
        <v>67539001.109999985</v>
      </c>
      <c r="D13" s="593">
        <v>29298018.300000001</v>
      </c>
      <c r="E13" s="593">
        <v>0</v>
      </c>
      <c r="F13" s="593">
        <v>0</v>
      </c>
      <c r="G13" s="593">
        <v>157674.12</v>
      </c>
      <c r="H13" s="593">
        <v>0</v>
      </c>
      <c r="I13" s="593">
        <v>0</v>
      </c>
      <c r="J13" s="593">
        <v>0</v>
      </c>
      <c r="K13" s="593">
        <v>0</v>
      </c>
      <c r="L13" s="593">
        <v>38083308.689999998</v>
      </c>
      <c r="M13" s="593">
        <v>0</v>
      </c>
      <c r="N13" s="593">
        <v>0</v>
      </c>
      <c r="O13" s="593">
        <v>0</v>
      </c>
      <c r="P13" s="593">
        <v>1909429.1600000001</v>
      </c>
      <c r="Q13" s="593">
        <v>5327414.29</v>
      </c>
      <c r="R13" s="593">
        <v>499648</v>
      </c>
      <c r="S13" s="593">
        <v>5184926.07</v>
      </c>
      <c r="T13" s="593">
        <v>0</v>
      </c>
    </row>
    <row r="14" spans="1:21">
      <c r="A14" s="469" t="s">
        <v>799</v>
      </c>
      <c r="B14" s="469" t="s">
        <v>800</v>
      </c>
      <c r="C14" s="604">
        <v>186849731.11319998</v>
      </c>
      <c r="D14" s="593">
        <v>78481893.543200031</v>
      </c>
      <c r="E14" s="593">
        <v>2165218.52</v>
      </c>
      <c r="F14" s="593">
        <v>0</v>
      </c>
      <c r="G14" s="593">
        <v>1929075.9400000002</v>
      </c>
      <c r="H14" s="593">
        <v>4999.26</v>
      </c>
      <c r="I14" s="593">
        <v>19774.22</v>
      </c>
      <c r="J14" s="593">
        <v>0</v>
      </c>
      <c r="K14" s="593">
        <v>1855315.06</v>
      </c>
      <c r="L14" s="593">
        <v>106438761.63000004</v>
      </c>
      <c r="M14" s="593">
        <v>0</v>
      </c>
      <c r="N14" s="593">
        <v>0</v>
      </c>
      <c r="O14" s="593">
        <v>5214396.5699999994</v>
      </c>
      <c r="P14" s="593">
        <v>2770946.58</v>
      </c>
      <c r="Q14" s="593">
        <v>29686926.870000005</v>
      </c>
      <c r="R14" s="593">
        <v>15950285.290000001</v>
      </c>
      <c r="S14" s="593">
        <v>14844463.689999999</v>
      </c>
      <c r="T14" s="593">
        <v>0</v>
      </c>
    </row>
    <row r="15" spans="1:21">
      <c r="A15" s="470">
        <v>1.2</v>
      </c>
      <c r="B15" s="470" t="s">
        <v>801</v>
      </c>
      <c r="C15" s="600">
        <v>165861903.764548</v>
      </c>
      <c r="D15" s="593">
        <v>10641743.139463997</v>
      </c>
      <c r="E15" s="593">
        <v>316287.19522200007</v>
      </c>
      <c r="F15" s="593">
        <v>0</v>
      </c>
      <c r="G15" s="593">
        <v>6911554.8868909944</v>
      </c>
      <c r="H15" s="593">
        <v>303458.18022200005</v>
      </c>
      <c r="I15" s="593">
        <v>244424.25083300003</v>
      </c>
      <c r="J15" s="593">
        <v>338076.18918700004</v>
      </c>
      <c r="K15" s="593">
        <v>185531.50599999999</v>
      </c>
      <c r="L15" s="593">
        <v>148308605.73819306</v>
      </c>
      <c r="M15" s="593">
        <v>3371313.2096220003</v>
      </c>
      <c r="N15" s="593">
        <v>116145.94770400001</v>
      </c>
      <c r="O15" s="593">
        <v>1981811.9591949997</v>
      </c>
      <c r="P15" s="593">
        <v>13160575.287219997</v>
      </c>
      <c r="Q15" s="593">
        <v>28851449.656865995</v>
      </c>
      <c r="R15" s="593">
        <v>36296533.647799991</v>
      </c>
      <c r="S15" s="593">
        <v>13408634.759858994</v>
      </c>
      <c r="T15" s="593">
        <v>9485385.4607139993</v>
      </c>
    </row>
    <row r="16" spans="1:21">
      <c r="A16" s="466">
        <v>1.3</v>
      </c>
      <c r="B16" s="470" t="s">
        <v>802</v>
      </c>
      <c r="C16" s="605"/>
      <c r="D16" s="605"/>
      <c r="E16" s="605"/>
      <c r="F16" s="605"/>
      <c r="G16" s="605"/>
      <c r="H16" s="605"/>
      <c r="I16" s="605"/>
      <c r="J16" s="605"/>
      <c r="K16" s="605"/>
      <c r="L16" s="605"/>
      <c r="M16" s="605"/>
      <c r="N16" s="605"/>
      <c r="O16" s="605"/>
      <c r="P16" s="605"/>
      <c r="Q16" s="605"/>
      <c r="R16" s="605"/>
      <c r="S16" s="605"/>
      <c r="T16" s="605"/>
    </row>
    <row r="17" spans="1:20" ht="25.5">
      <c r="A17" s="471" t="s">
        <v>803</v>
      </c>
      <c r="B17" s="472" t="s">
        <v>804</v>
      </c>
      <c r="C17" s="606">
        <v>890974128.63314295</v>
      </c>
      <c r="D17" s="593">
        <v>499008768.54226571</v>
      </c>
      <c r="E17" s="593">
        <v>15649550.28347527</v>
      </c>
      <c r="F17" s="593">
        <v>0</v>
      </c>
      <c r="G17" s="593">
        <v>66963499.951442786</v>
      </c>
      <c r="H17" s="593">
        <v>3034581.7800000003</v>
      </c>
      <c r="I17" s="593">
        <v>2444242.5200000005</v>
      </c>
      <c r="J17" s="593">
        <v>3084028.0618765824</v>
      </c>
      <c r="K17" s="593">
        <v>9.5661560590995526E-3</v>
      </c>
      <c r="L17" s="593">
        <v>325001860.13943315</v>
      </c>
      <c r="M17" s="593">
        <v>11128345.379999997</v>
      </c>
      <c r="N17" s="593">
        <v>383975.27</v>
      </c>
      <c r="O17" s="593">
        <v>6585641.2400000002</v>
      </c>
      <c r="P17" s="593">
        <v>42839633.43</v>
      </c>
      <c r="Q17" s="593">
        <v>59217651.255852908</v>
      </c>
      <c r="R17" s="593">
        <v>78100223.808163822</v>
      </c>
      <c r="S17" s="593">
        <v>22878956.016461849</v>
      </c>
      <c r="T17" s="593">
        <v>19260605.689999994</v>
      </c>
    </row>
    <row r="18" spans="1:20" ht="25.5">
      <c r="A18" s="473" t="s">
        <v>805</v>
      </c>
      <c r="B18" s="473" t="s">
        <v>806</v>
      </c>
      <c r="C18" s="607">
        <v>774810499.15953684</v>
      </c>
      <c r="D18" s="593">
        <v>409895364.4498865</v>
      </c>
      <c r="E18" s="593">
        <v>14187653.325049555</v>
      </c>
      <c r="F18" s="593">
        <v>0</v>
      </c>
      <c r="G18" s="593">
        <v>66610611.557589956</v>
      </c>
      <c r="H18" s="593">
        <v>3034581.7800000003</v>
      </c>
      <c r="I18" s="593">
        <v>2444242.5200000005</v>
      </c>
      <c r="J18" s="593">
        <v>3084028.0618765824</v>
      </c>
      <c r="K18" s="593">
        <v>9.5661560590995526E-3</v>
      </c>
      <c r="L18" s="593">
        <v>298304523.15205884</v>
      </c>
      <c r="M18" s="593">
        <v>10880998.779999997</v>
      </c>
      <c r="N18" s="593">
        <v>383975.27</v>
      </c>
      <c r="O18" s="593">
        <v>6585641.2400000002</v>
      </c>
      <c r="P18" s="593">
        <v>42187606.06314858</v>
      </c>
      <c r="Q18" s="593">
        <v>54959839.155678846</v>
      </c>
      <c r="R18" s="593">
        <v>67355736.846362919</v>
      </c>
      <c r="S18" s="593">
        <v>20796999.213661846</v>
      </c>
      <c r="T18" s="593">
        <v>19186938.059999995</v>
      </c>
    </row>
    <row r="19" spans="1:20">
      <c r="A19" s="471" t="s">
        <v>807</v>
      </c>
      <c r="B19" s="471" t="s">
        <v>808</v>
      </c>
      <c r="C19" s="608">
        <v>1251914310.427211</v>
      </c>
      <c r="D19" s="593">
        <v>846239896.76664209</v>
      </c>
      <c r="E19" s="593">
        <v>23936042.382749978</v>
      </c>
      <c r="F19" s="593">
        <v>0</v>
      </c>
      <c r="G19" s="593">
        <v>113740254.50593543</v>
      </c>
      <c r="H19" s="593">
        <v>6922241.8072333531</v>
      </c>
      <c r="I19" s="593">
        <v>1151844.5065643063</v>
      </c>
      <c r="J19" s="593">
        <v>11955100.482033364</v>
      </c>
      <c r="K19" s="593">
        <v>0</v>
      </c>
      <c r="L19" s="593">
        <v>291934159.15463525</v>
      </c>
      <c r="M19" s="593">
        <v>22621697.051842701</v>
      </c>
      <c r="N19" s="593">
        <v>491426.40060173685</v>
      </c>
      <c r="O19" s="593">
        <v>8315504.3365588468</v>
      </c>
      <c r="P19" s="593">
        <v>44919312.057242587</v>
      </c>
      <c r="Q19" s="593">
        <v>26608495.297677018</v>
      </c>
      <c r="R19" s="593">
        <v>62474516.745632388</v>
      </c>
      <c r="S19" s="593">
        <v>12531729.866288748</v>
      </c>
      <c r="T19" s="593">
        <v>24179103.710000008</v>
      </c>
    </row>
    <row r="20" spans="1:20">
      <c r="A20" s="473" t="s">
        <v>809</v>
      </c>
      <c r="B20" s="473" t="s">
        <v>810</v>
      </c>
      <c r="C20" s="607">
        <v>841184026.07134748</v>
      </c>
      <c r="D20" s="593">
        <v>502059649.78078246</v>
      </c>
      <c r="E20" s="593">
        <v>21177904.007225171</v>
      </c>
      <c r="F20" s="593">
        <v>0</v>
      </c>
      <c r="G20" s="593">
        <v>79604928.113108382</v>
      </c>
      <c r="H20" s="593">
        <v>6631909.4364701994</v>
      </c>
      <c r="I20" s="593">
        <v>448008.96445215365</v>
      </c>
      <c r="J20" s="593">
        <v>11250798.793445416</v>
      </c>
      <c r="K20" s="593">
        <v>0</v>
      </c>
      <c r="L20" s="593">
        <v>259519448.17745501</v>
      </c>
      <c r="M20" s="593">
        <v>20574621.598673243</v>
      </c>
      <c r="N20" s="593">
        <v>491426.40060173685</v>
      </c>
      <c r="O20" s="593">
        <v>8150394.7943745963</v>
      </c>
      <c r="P20" s="593">
        <v>42369776.76289089</v>
      </c>
      <c r="Q20" s="593">
        <v>21559578.168823723</v>
      </c>
      <c r="R20" s="593">
        <v>49931735.26214613</v>
      </c>
      <c r="S20" s="593">
        <v>10195597.790623844</v>
      </c>
      <c r="T20" s="593">
        <v>23798403.940000005</v>
      </c>
    </row>
    <row r="21" spans="1:20">
      <c r="A21" s="474">
        <v>1.4</v>
      </c>
      <c r="B21" s="490" t="s">
        <v>942</v>
      </c>
      <c r="C21" s="609">
        <v>13379525.204652002</v>
      </c>
      <c r="D21" s="593">
        <v>7290324.459999999</v>
      </c>
      <c r="E21" s="593">
        <v>0</v>
      </c>
      <c r="F21" s="593">
        <v>0</v>
      </c>
      <c r="G21" s="593">
        <v>2951096.3410519999</v>
      </c>
      <c r="H21" s="593">
        <v>0</v>
      </c>
      <c r="I21" s="593">
        <v>223810.75</v>
      </c>
      <c r="J21" s="593">
        <v>0</v>
      </c>
      <c r="K21" s="593">
        <v>927657.52999999991</v>
      </c>
      <c r="L21" s="593">
        <v>3138104.4036000003</v>
      </c>
      <c r="M21" s="593">
        <v>0</v>
      </c>
      <c r="N21" s="593">
        <v>0</v>
      </c>
      <c r="O21" s="593">
        <v>444182.03500000003</v>
      </c>
      <c r="P21" s="593">
        <v>0</v>
      </c>
      <c r="Q21" s="593">
        <v>0</v>
      </c>
      <c r="R21" s="593">
        <v>988950.16359999985</v>
      </c>
      <c r="S21" s="593">
        <v>1560366.6</v>
      </c>
      <c r="T21" s="593">
        <v>0</v>
      </c>
    </row>
    <row r="22" spans="1:20">
      <c r="A22" s="474">
        <v>1.5</v>
      </c>
      <c r="B22" s="490" t="s">
        <v>943</v>
      </c>
      <c r="C22" s="609">
        <v>0</v>
      </c>
      <c r="D22" s="593">
        <v>0</v>
      </c>
      <c r="E22" s="593">
        <v>0</v>
      </c>
      <c r="F22" s="593">
        <v>0</v>
      </c>
      <c r="G22" s="593">
        <v>0</v>
      </c>
      <c r="H22" s="593">
        <v>0</v>
      </c>
      <c r="I22" s="593">
        <v>0</v>
      </c>
      <c r="J22" s="593">
        <v>0</v>
      </c>
      <c r="K22" s="593">
        <v>0</v>
      </c>
      <c r="L22" s="593">
        <v>0</v>
      </c>
      <c r="M22" s="593">
        <v>0</v>
      </c>
      <c r="N22" s="593">
        <v>0</v>
      </c>
      <c r="O22" s="593">
        <v>0</v>
      </c>
      <c r="P22" s="593">
        <v>0</v>
      </c>
      <c r="Q22" s="593">
        <v>0</v>
      </c>
      <c r="R22" s="593">
        <v>0</v>
      </c>
      <c r="S22" s="593">
        <v>0</v>
      </c>
      <c r="T22" s="593">
        <v>0</v>
      </c>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D7" zoomScaleNormal="100" workbookViewId="0"/>
  </sheetViews>
  <sheetFormatPr defaultColWidth="9.28515625" defaultRowHeight="12.75"/>
  <cols>
    <col min="1" max="1" width="11.7109375" style="430" bestFit="1" customWidth="1"/>
    <col min="2" max="2" width="93.42578125" style="430" customWidth="1"/>
    <col min="3" max="3" width="14.7109375" style="430" customWidth="1"/>
    <col min="4" max="4" width="14.85546875" style="430" bestFit="1" customWidth="1"/>
    <col min="5" max="5" width="13.85546875" style="430" bestFit="1" customWidth="1"/>
    <col min="6" max="6" width="17.85546875" style="460" bestFit="1" customWidth="1"/>
    <col min="7" max="7" width="13.42578125" style="460" bestFit="1" customWidth="1"/>
    <col min="8" max="8" width="13" style="430" bestFit="1" customWidth="1"/>
    <col min="9" max="9" width="10.7109375" style="430" bestFit="1" customWidth="1"/>
    <col min="10" max="10" width="14.85546875" style="460" bestFit="1" customWidth="1"/>
    <col min="11" max="11" width="13.85546875" style="460" bestFit="1" customWidth="1"/>
    <col min="12" max="12" width="17.85546875" style="460" bestFit="1" customWidth="1"/>
    <col min="13" max="13" width="13.42578125" style="460" bestFit="1" customWidth="1"/>
    <col min="14" max="14" width="13" style="460" bestFit="1" customWidth="1"/>
    <col min="15" max="15" width="18.85546875" style="430" bestFit="1" customWidth="1"/>
    <col min="16" max="16384" width="9.28515625" style="430"/>
  </cols>
  <sheetData>
    <row r="1" spans="1:15">
      <c r="A1" s="429" t="s">
        <v>188</v>
      </c>
      <c r="B1" s="596" t="str">
        <f>'1. key ratios'!B1</f>
        <v>სს "ბანკი ქართუ"</v>
      </c>
      <c r="F1" s="430"/>
      <c r="G1" s="430"/>
      <c r="J1" s="430"/>
      <c r="K1" s="430"/>
      <c r="L1" s="430"/>
      <c r="M1" s="430"/>
      <c r="N1" s="430"/>
    </row>
    <row r="2" spans="1:15">
      <c r="A2" s="429" t="s">
        <v>189</v>
      </c>
      <c r="B2" s="432">
        <f>'1. key ratios'!B2</f>
        <v>44469</v>
      </c>
      <c r="F2" s="430"/>
      <c r="G2" s="430"/>
      <c r="J2" s="430"/>
      <c r="K2" s="430"/>
      <c r="L2" s="430"/>
      <c r="M2" s="430"/>
      <c r="N2" s="430"/>
    </row>
    <row r="3" spans="1:15">
      <c r="A3" s="431" t="s">
        <v>813</v>
      </c>
      <c r="B3" s="432"/>
      <c r="F3" s="430"/>
      <c r="G3" s="430"/>
      <c r="J3" s="430"/>
      <c r="K3" s="430"/>
      <c r="L3" s="430"/>
      <c r="M3" s="430"/>
      <c r="N3" s="430"/>
    </row>
    <row r="4" spans="1:15">
      <c r="F4" s="430"/>
      <c r="G4" s="430"/>
      <c r="J4" s="430"/>
      <c r="K4" s="430"/>
      <c r="L4" s="430"/>
      <c r="M4" s="430"/>
      <c r="N4" s="430"/>
    </row>
    <row r="5" spans="1:15" ht="37.5" customHeight="1">
      <c r="A5" s="730" t="s">
        <v>814</v>
      </c>
      <c r="B5" s="731"/>
      <c r="C5" s="775" t="s">
        <v>815</v>
      </c>
      <c r="D5" s="776"/>
      <c r="E5" s="776"/>
      <c r="F5" s="776"/>
      <c r="G5" s="776"/>
      <c r="H5" s="777"/>
      <c r="I5" s="775" t="s">
        <v>816</v>
      </c>
      <c r="J5" s="778"/>
      <c r="K5" s="778"/>
      <c r="L5" s="778"/>
      <c r="M5" s="778"/>
      <c r="N5" s="779"/>
      <c r="O5" s="780" t="s">
        <v>686</v>
      </c>
    </row>
    <row r="6" spans="1:15" ht="39.4" customHeight="1">
      <c r="A6" s="734"/>
      <c r="B6" s="735"/>
      <c r="C6" s="475"/>
      <c r="D6" s="476" t="s">
        <v>817</v>
      </c>
      <c r="E6" s="476" t="s">
        <v>818</v>
      </c>
      <c r="F6" s="476" t="s">
        <v>819</v>
      </c>
      <c r="G6" s="476" t="s">
        <v>820</v>
      </c>
      <c r="H6" s="476" t="s">
        <v>821</v>
      </c>
      <c r="I6" s="463"/>
      <c r="J6" s="476" t="s">
        <v>817</v>
      </c>
      <c r="K6" s="476" t="s">
        <v>818</v>
      </c>
      <c r="L6" s="476" t="s">
        <v>819</v>
      </c>
      <c r="M6" s="476" t="s">
        <v>820</v>
      </c>
      <c r="N6" s="476" t="s">
        <v>821</v>
      </c>
      <c r="O6" s="781"/>
    </row>
    <row r="7" spans="1:15">
      <c r="A7" s="444">
        <v>1</v>
      </c>
      <c r="B7" s="450" t="s">
        <v>696</v>
      </c>
      <c r="C7" s="610">
        <v>33536559.539999999</v>
      </c>
      <c r="D7" s="593">
        <v>33175488.169999998</v>
      </c>
      <c r="E7" s="593">
        <v>19501.22</v>
      </c>
      <c r="F7" s="611">
        <v>338302.55999999994</v>
      </c>
      <c r="G7" s="611">
        <v>0</v>
      </c>
      <c r="H7" s="593">
        <v>3267.59</v>
      </c>
      <c r="I7" s="593">
        <v>770218.24199699995</v>
      </c>
      <c r="J7" s="611">
        <v>663509.76317499985</v>
      </c>
      <c r="K7" s="611">
        <v>1950.1219999999998</v>
      </c>
      <c r="L7" s="611">
        <v>101490.76682199999</v>
      </c>
      <c r="M7" s="611">
        <v>0</v>
      </c>
      <c r="N7" s="611">
        <v>3267.59</v>
      </c>
      <c r="O7" s="593">
        <v>0</v>
      </c>
    </row>
    <row r="8" spans="1:15">
      <c r="A8" s="444">
        <v>2</v>
      </c>
      <c r="B8" s="450" t="s">
        <v>697</v>
      </c>
      <c r="C8" s="610">
        <v>14137846.277299996</v>
      </c>
      <c r="D8" s="593">
        <v>13625304.779599998</v>
      </c>
      <c r="E8" s="593">
        <v>108883.24490000001</v>
      </c>
      <c r="F8" s="611">
        <v>403658.25280000007</v>
      </c>
      <c r="G8" s="611">
        <v>0</v>
      </c>
      <c r="H8" s="593">
        <v>0</v>
      </c>
      <c r="I8" s="593">
        <v>404491.89420700003</v>
      </c>
      <c r="J8" s="611">
        <v>272506.09603400005</v>
      </c>
      <c r="K8" s="611">
        <v>10888.324102</v>
      </c>
      <c r="L8" s="611">
        <v>121097.474071</v>
      </c>
      <c r="M8" s="611">
        <v>0</v>
      </c>
      <c r="N8" s="611">
        <v>0</v>
      </c>
      <c r="O8" s="593">
        <v>0</v>
      </c>
    </row>
    <row r="9" spans="1:15">
      <c r="A9" s="444">
        <v>3</v>
      </c>
      <c r="B9" s="450" t="s">
        <v>698</v>
      </c>
      <c r="C9" s="610">
        <v>0</v>
      </c>
      <c r="D9" s="593">
        <v>0</v>
      </c>
      <c r="E9" s="593">
        <v>0</v>
      </c>
      <c r="F9" s="612">
        <v>0</v>
      </c>
      <c r="G9" s="612">
        <v>0</v>
      </c>
      <c r="H9" s="593">
        <v>0</v>
      </c>
      <c r="I9" s="593">
        <v>0</v>
      </c>
      <c r="J9" s="612">
        <v>0</v>
      </c>
      <c r="K9" s="612">
        <v>0</v>
      </c>
      <c r="L9" s="612">
        <v>0</v>
      </c>
      <c r="M9" s="612">
        <v>0</v>
      </c>
      <c r="N9" s="612">
        <v>0</v>
      </c>
      <c r="O9" s="593">
        <v>0</v>
      </c>
    </row>
    <row r="10" spans="1:15">
      <c r="A10" s="444">
        <v>4</v>
      </c>
      <c r="B10" s="450" t="s">
        <v>699</v>
      </c>
      <c r="C10" s="610">
        <v>101265508.65999997</v>
      </c>
      <c r="D10" s="593">
        <v>42313358.979999997</v>
      </c>
      <c r="E10" s="593">
        <v>993633.21</v>
      </c>
      <c r="F10" s="612">
        <v>38760975.209999993</v>
      </c>
      <c r="G10" s="612">
        <v>19197541.260000002</v>
      </c>
      <c r="H10" s="593">
        <v>0</v>
      </c>
      <c r="I10" s="593">
        <v>22172693.686192013</v>
      </c>
      <c r="J10" s="612">
        <v>846267.17926699994</v>
      </c>
      <c r="K10" s="612">
        <v>99363.320816000007</v>
      </c>
      <c r="L10" s="612">
        <v>11628292.557906998</v>
      </c>
      <c r="M10" s="612">
        <v>9598770.6282020006</v>
      </c>
      <c r="N10" s="612">
        <v>0</v>
      </c>
      <c r="O10" s="593">
        <v>0</v>
      </c>
    </row>
    <row r="11" spans="1:15">
      <c r="A11" s="444">
        <v>5</v>
      </c>
      <c r="B11" s="450" t="s">
        <v>700</v>
      </c>
      <c r="C11" s="610">
        <v>76819738.620000035</v>
      </c>
      <c r="D11" s="593">
        <v>43673677.890000001</v>
      </c>
      <c r="E11" s="593">
        <v>367796.76</v>
      </c>
      <c r="F11" s="612">
        <v>18267813.579999998</v>
      </c>
      <c r="G11" s="612">
        <v>14467887.909999998</v>
      </c>
      <c r="H11" s="593">
        <v>42562.48</v>
      </c>
      <c r="I11" s="593">
        <v>13667103.747337</v>
      </c>
      <c r="J11" s="612">
        <v>873473.55822700006</v>
      </c>
      <c r="K11" s="612">
        <v>36779.676366</v>
      </c>
      <c r="L11" s="612">
        <v>5480344.0724979993</v>
      </c>
      <c r="M11" s="612">
        <v>7233943.9565939987</v>
      </c>
      <c r="N11" s="612">
        <v>42562.483652000003</v>
      </c>
      <c r="O11" s="593">
        <v>0</v>
      </c>
    </row>
    <row r="12" spans="1:15">
      <c r="A12" s="444">
        <v>6</v>
      </c>
      <c r="B12" s="450" t="s">
        <v>701</v>
      </c>
      <c r="C12" s="610">
        <v>47571924.05439999</v>
      </c>
      <c r="D12" s="593">
        <v>40394752.134399988</v>
      </c>
      <c r="E12" s="593">
        <v>0</v>
      </c>
      <c r="F12" s="612">
        <v>2889443.27</v>
      </c>
      <c r="G12" s="612">
        <v>3052661.2499999995</v>
      </c>
      <c r="H12" s="593">
        <v>1235067.3999999999</v>
      </c>
      <c r="I12" s="593">
        <v>4436126.0462839985</v>
      </c>
      <c r="J12" s="612">
        <v>807895.04267999972</v>
      </c>
      <c r="K12" s="612">
        <v>0</v>
      </c>
      <c r="L12" s="612">
        <v>866832.98216199991</v>
      </c>
      <c r="M12" s="612">
        <v>1526330.6214420001</v>
      </c>
      <c r="N12" s="612">
        <v>1235067.3999999999</v>
      </c>
      <c r="O12" s="593">
        <v>0</v>
      </c>
    </row>
    <row r="13" spans="1:15">
      <c r="A13" s="444">
        <v>7</v>
      </c>
      <c r="B13" s="450" t="s">
        <v>702</v>
      </c>
      <c r="C13" s="610">
        <v>13132469.810000002</v>
      </c>
      <c r="D13" s="593">
        <v>3520788.83</v>
      </c>
      <c r="E13" s="593">
        <v>2531328.8400000003</v>
      </c>
      <c r="F13" s="612">
        <v>6373758.3699999982</v>
      </c>
      <c r="G13" s="612">
        <v>706593.77</v>
      </c>
      <c r="H13" s="593">
        <v>0</v>
      </c>
      <c r="I13" s="593">
        <v>2588973.0516199996</v>
      </c>
      <c r="J13" s="612">
        <v>70415.776513000019</v>
      </c>
      <c r="K13" s="612">
        <v>253132.88359600003</v>
      </c>
      <c r="L13" s="612">
        <v>1912127.5056330008</v>
      </c>
      <c r="M13" s="612">
        <v>353296.885878</v>
      </c>
      <c r="N13" s="612">
        <v>0</v>
      </c>
      <c r="O13" s="593">
        <v>0</v>
      </c>
    </row>
    <row r="14" spans="1:15">
      <c r="A14" s="444">
        <v>8</v>
      </c>
      <c r="B14" s="450" t="s">
        <v>703</v>
      </c>
      <c r="C14" s="610">
        <v>34392534.680100009</v>
      </c>
      <c r="D14" s="593">
        <v>15294697.57</v>
      </c>
      <c r="E14" s="593">
        <v>1394869.3800000001</v>
      </c>
      <c r="F14" s="612">
        <v>3191987.63</v>
      </c>
      <c r="G14" s="612">
        <v>14510980.100099999</v>
      </c>
      <c r="H14" s="593">
        <v>0</v>
      </c>
      <c r="I14" s="593">
        <v>8658467.2289950009</v>
      </c>
      <c r="J14" s="612">
        <v>305893.95122500003</v>
      </c>
      <c r="K14" s="612">
        <v>139486.93891899998</v>
      </c>
      <c r="L14" s="612">
        <v>957596.28977700009</v>
      </c>
      <c r="M14" s="612">
        <v>7255490.0490739997</v>
      </c>
      <c r="N14" s="612">
        <v>0</v>
      </c>
      <c r="O14" s="593">
        <v>0</v>
      </c>
    </row>
    <row r="15" spans="1:15">
      <c r="A15" s="444">
        <v>9</v>
      </c>
      <c r="B15" s="450" t="s">
        <v>704</v>
      </c>
      <c r="C15" s="610">
        <v>160011946.56389987</v>
      </c>
      <c r="D15" s="593">
        <v>74844615.900000021</v>
      </c>
      <c r="E15" s="593">
        <v>7960915.7700000005</v>
      </c>
      <c r="F15" s="612">
        <v>20297283.133900002</v>
      </c>
      <c r="G15" s="612">
        <v>50900442.980000004</v>
      </c>
      <c r="H15" s="593">
        <v>6008688.7800000003</v>
      </c>
      <c r="I15" s="593">
        <v>39841079.109761007</v>
      </c>
      <c r="J15" s="612">
        <v>1496892.3177040007</v>
      </c>
      <c r="K15" s="612">
        <v>796091.57736500003</v>
      </c>
      <c r="L15" s="612">
        <v>6089184.9425880006</v>
      </c>
      <c r="M15" s="612">
        <v>25450221.494104002</v>
      </c>
      <c r="N15" s="612">
        <v>6008688.7779999999</v>
      </c>
      <c r="O15" s="593">
        <v>0</v>
      </c>
    </row>
    <row r="16" spans="1:15">
      <c r="A16" s="444">
        <v>10</v>
      </c>
      <c r="B16" s="450" t="s">
        <v>705</v>
      </c>
      <c r="C16" s="610">
        <v>1768587.6499999997</v>
      </c>
      <c r="D16" s="593">
        <v>1680902.3099999998</v>
      </c>
      <c r="E16" s="593">
        <v>87685.34</v>
      </c>
      <c r="F16" s="612">
        <v>0</v>
      </c>
      <c r="G16" s="612">
        <v>0</v>
      </c>
      <c r="H16" s="593">
        <v>0</v>
      </c>
      <c r="I16" s="593">
        <v>42386.581354999995</v>
      </c>
      <c r="J16" s="612">
        <v>33618.046253</v>
      </c>
      <c r="K16" s="612">
        <v>8768.5351019999998</v>
      </c>
      <c r="L16" s="612">
        <v>0</v>
      </c>
      <c r="M16" s="612">
        <v>0</v>
      </c>
      <c r="N16" s="612">
        <v>0</v>
      </c>
      <c r="O16" s="593">
        <v>0</v>
      </c>
    </row>
    <row r="17" spans="1:15">
      <c r="A17" s="444">
        <v>11</v>
      </c>
      <c r="B17" s="450" t="s">
        <v>706</v>
      </c>
      <c r="C17" s="610">
        <v>382421.31</v>
      </c>
      <c r="D17" s="593">
        <v>382421.31</v>
      </c>
      <c r="E17" s="593">
        <v>0</v>
      </c>
      <c r="F17" s="612">
        <v>0</v>
      </c>
      <c r="G17" s="612">
        <v>0</v>
      </c>
      <c r="H17" s="593">
        <v>0</v>
      </c>
      <c r="I17" s="593">
        <v>7648.4262509999999</v>
      </c>
      <c r="J17" s="612">
        <v>7648.4262509999999</v>
      </c>
      <c r="K17" s="612">
        <v>0</v>
      </c>
      <c r="L17" s="612">
        <v>0</v>
      </c>
      <c r="M17" s="612">
        <v>0</v>
      </c>
      <c r="N17" s="612">
        <v>0</v>
      </c>
      <c r="O17" s="593">
        <v>0</v>
      </c>
    </row>
    <row r="18" spans="1:15">
      <c r="A18" s="444">
        <v>12</v>
      </c>
      <c r="B18" s="450" t="s">
        <v>707</v>
      </c>
      <c r="C18" s="610">
        <v>31745467.26030001</v>
      </c>
      <c r="D18" s="593">
        <v>7576867.2302999999</v>
      </c>
      <c r="E18" s="593">
        <v>2441907.21</v>
      </c>
      <c r="F18" s="612">
        <v>20742772.050000001</v>
      </c>
      <c r="G18" s="612">
        <v>983920.7699999999</v>
      </c>
      <c r="H18" s="593">
        <v>0</v>
      </c>
      <c r="I18" s="593">
        <v>7110520.0662200004</v>
      </c>
      <c r="J18" s="612">
        <v>151537.34475799996</v>
      </c>
      <c r="K18" s="612">
        <v>244190.72158200003</v>
      </c>
      <c r="L18" s="612">
        <v>6222831.6152359992</v>
      </c>
      <c r="M18" s="612">
        <v>491960.38464399998</v>
      </c>
      <c r="N18" s="612">
        <v>0</v>
      </c>
      <c r="O18" s="593">
        <v>0</v>
      </c>
    </row>
    <row r="19" spans="1:15">
      <c r="A19" s="444">
        <v>13</v>
      </c>
      <c r="B19" s="450" t="s">
        <v>708</v>
      </c>
      <c r="C19" s="610">
        <v>30835498.679999996</v>
      </c>
      <c r="D19" s="593">
        <v>25601249.649999995</v>
      </c>
      <c r="E19" s="593">
        <v>67955.31</v>
      </c>
      <c r="F19" s="612">
        <v>2239408.5099999998</v>
      </c>
      <c r="G19" s="612">
        <v>2926885.21</v>
      </c>
      <c r="H19" s="593">
        <v>0</v>
      </c>
      <c r="I19" s="593">
        <v>2654085.6795350001</v>
      </c>
      <c r="J19" s="612">
        <v>512024.99314000004</v>
      </c>
      <c r="K19" s="612">
        <v>6795.5309999999999</v>
      </c>
      <c r="L19" s="612">
        <v>671822.55155899993</v>
      </c>
      <c r="M19" s="612">
        <v>1463442.603836</v>
      </c>
      <c r="N19" s="612">
        <v>0</v>
      </c>
      <c r="O19" s="593">
        <v>0</v>
      </c>
    </row>
    <row r="20" spans="1:15">
      <c r="A20" s="444">
        <v>14</v>
      </c>
      <c r="B20" s="450" t="s">
        <v>709</v>
      </c>
      <c r="C20" s="610">
        <v>70325414.799999982</v>
      </c>
      <c r="D20" s="593">
        <v>21785696.320000008</v>
      </c>
      <c r="E20" s="593">
        <v>6436457.7000000002</v>
      </c>
      <c r="F20" s="612">
        <v>22769625.490000006</v>
      </c>
      <c r="G20" s="612">
        <v>19333635.289999999</v>
      </c>
      <c r="H20" s="593">
        <v>0</v>
      </c>
      <c r="I20" s="593">
        <v>17577064.991109993</v>
      </c>
      <c r="J20" s="612">
        <v>435713.92589599994</v>
      </c>
      <c r="K20" s="612">
        <v>643645.77260999999</v>
      </c>
      <c r="L20" s="612">
        <v>6830887.6470080018</v>
      </c>
      <c r="M20" s="612">
        <v>9666817.6455959957</v>
      </c>
      <c r="N20" s="612">
        <v>0</v>
      </c>
      <c r="O20" s="593">
        <v>0</v>
      </c>
    </row>
    <row r="21" spans="1:15">
      <c r="A21" s="444">
        <v>15</v>
      </c>
      <c r="B21" s="450" t="s">
        <v>710</v>
      </c>
      <c r="C21" s="610">
        <v>4697301.459999999</v>
      </c>
      <c r="D21" s="593">
        <v>94566.19</v>
      </c>
      <c r="E21" s="593">
        <v>210939.8</v>
      </c>
      <c r="F21" s="612">
        <v>4391795.47</v>
      </c>
      <c r="G21" s="612">
        <v>0</v>
      </c>
      <c r="H21" s="593">
        <v>0</v>
      </c>
      <c r="I21" s="593">
        <v>1340523.9428950001</v>
      </c>
      <c r="J21" s="612">
        <v>1891.3238199999998</v>
      </c>
      <c r="K21" s="612">
        <v>21093.980001</v>
      </c>
      <c r="L21" s="612">
        <v>1317538.6390740001</v>
      </c>
      <c r="M21" s="612">
        <v>0</v>
      </c>
      <c r="N21" s="612">
        <v>0</v>
      </c>
      <c r="O21" s="593">
        <v>0</v>
      </c>
    </row>
    <row r="22" spans="1:15">
      <c r="A22" s="444">
        <v>16</v>
      </c>
      <c r="B22" s="450" t="s">
        <v>711</v>
      </c>
      <c r="C22" s="610">
        <v>15687667.630000001</v>
      </c>
      <c r="D22" s="593">
        <v>15614000</v>
      </c>
      <c r="E22" s="593">
        <v>0</v>
      </c>
      <c r="F22" s="612">
        <v>0</v>
      </c>
      <c r="G22" s="612">
        <v>73667.63</v>
      </c>
      <c r="H22" s="593">
        <v>0</v>
      </c>
      <c r="I22" s="593">
        <v>349113.81634999998</v>
      </c>
      <c r="J22" s="612">
        <v>312280</v>
      </c>
      <c r="K22" s="612">
        <v>0</v>
      </c>
      <c r="L22" s="612">
        <v>0</v>
      </c>
      <c r="M22" s="612">
        <v>36833.816350000001</v>
      </c>
      <c r="N22" s="612">
        <v>0</v>
      </c>
      <c r="O22" s="593">
        <v>0</v>
      </c>
    </row>
    <row r="23" spans="1:15">
      <c r="A23" s="444">
        <v>17</v>
      </c>
      <c r="B23" s="450" t="s">
        <v>712</v>
      </c>
      <c r="C23" s="610">
        <v>25440674.559999991</v>
      </c>
      <c r="D23" s="593">
        <v>12674767.490000002</v>
      </c>
      <c r="E23" s="593">
        <v>11044386.329999998</v>
      </c>
      <c r="F23" s="612">
        <v>1721520.7400000002</v>
      </c>
      <c r="G23" s="612">
        <v>0</v>
      </c>
      <c r="H23" s="593">
        <v>0</v>
      </c>
      <c r="I23" s="593">
        <v>1874390.1996420003</v>
      </c>
      <c r="J23" s="612">
        <v>253495.34979899999</v>
      </c>
      <c r="K23" s="612">
        <v>1104438.631789</v>
      </c>
      <c r="L23" s="612">
        <v>516456.218054</v>
      </c>
      <c r="M23" s="612">
        <v>0</v>
      </c>
      <c r="N23" s="612">
        <v>0</v>
      </c>
      <c r="O23" s="593">
        <v>0</v>
      </c>
    </row>
    <row r="24" spans="1:15">
      <c r="A24" s="444">
        <v>18</v>
      </c>
      <c r="B24" s="450" t="s">
        <v>713</v>
      </c>
      <c r="C24" s="610">
        <v>3729251</v>
      </c>
      <c r="D24" s="593">
        <v>1064308.3799999999</v>
      </c>
      <c r="E24" s="593">
        <v>572666.62</v>
      </c>
      <c r="F24" s="612">
        <v>0</v>
      </c>
      <c r="G24" s="612">
        <v>2092276</v>
      </c>
      <c r="H24" s="593">
        <v>0</v>
      </c>
      <c r="I24" s="593">
        <v>1107692.634384</v>
      </c>
      <c r="J24" s="612">
        <v>4287.9722659999998</v>
      </c>
      <c r="K24" s="612">
        <v>57266.662118</v>
      </c>
      <c r="L24" s="612">
        <v>0</v>
      </c>
      <c r="M24" s="612">
        <v>1046138</v>
      </c>
      <c r="N24" s="612">
        <v>0</v>
      </c>
      <c r="O24" s="593">
        <v>0</v>
      </c>
    </row>
    <row r="25" spans="1:15">
      <c r="A25" s="444">
        <v>19</v>
      </c>
      <c r="B25" s="450" t="s">
        <v>714</v>
      </c>
      <c r="C25" s="610">
        <v>34866332.719999991</v>
      </c>
      <c r="D25" s="593">
        <v>779979.83999999985</v>
      </c>
      <c r="E25" s="593">
        <v>0</v>
      </c>
      <c r="F25" s="612">
        <v>16677377.309999997</v>
      </c>
      <c r="G25" s="612">
        <v>17408975.57</v>
      </c>
      <c r="H25" s="593">
        <v>0</v>
      </c>
      <c r="I25" s="593">
        <v>13723300.577029997</v>
      </c>
      <c r="J25" s="612">
        <v>15599.596706</v>
      </c>
      <c r="K25" s="612">
        <v>0</v>
      </c>
      <c r="L25" s="612">
        <v>5003213.1943480019</v>
      </c>
      <c r="M25" s="612">
        <v>8704487.7859760001</v>
      </c>
      <c r="N25" s="612">
        <v>0</v>
      </c>
      <c r="O25" s="593">
        <v>0</v>
      </c>
    </row>
    <row r="26" spans="1:15">
      <c r="A26" s="444">
        <v>20</v>
      </c>
      <c r="B26" s="450" t="s">
        <v>715</v>
      </c>
      <c r="C26" s="610">
        <v>58991374.400000006</v>
      </c>
      <c r="D26" s="593">
        <v>41948256.830000006</v>
      </c>
      <c r="E26" s="593">
        <v>16517298.140000001</v>
      </c>
      <c r="F26" s="612">
        <v>525819.42999999993</v>
      </c>
      <c r="G26" s="612">
        <v>0</v>
      </c>
      <c r="H26" s="593">
        <v>0</v>
      </c>
      <c r="I26" s="593">
        <v>2648440.7819750002</v>
      </c>
      <c r="J26" s="612">
        <v>838965.13685899996</v>
      </c>
      <c r="K26" s="612">
        <v>1651729.8139170001</v>
      </c>
      <c r="L26" s="612">
        <v>157745.83119899998</v>
      </c>
      <c r="M26" s="612">
        <v>0</v>
      </c>
      <c r="N26" s="612">
        <v>0</v>
      </c>
      <c r="O26" s="593">
        <v>0</v>
      </c>
    </row>
    <row r="27" spans="1:15">
      <c r="A27" s="444">
        <v>21</v>
      </c>
      <c r="B27" s="450" t="s">
        <v>716</v>
      </c>
      <c r="C27" s="610">
        <v>2937503.0507000005</v>
      </c>
      <c r="D27" s="593">
        <v>2937443.7807000005</v>
      </c>
      <c r="E27" s="593">
        <v>0</v>
      </c>
      <c r="F27" s="612">
        <v>0</v>
      </c>
      <c r="G27" s="612">
        <v>0</v>
      </c>
      <c r="H27" s="593">
        <v>59.27</v>
      </c>
      <c r="I27" s="593">
        <v>58808.145792999989</v>
      </c>
      <c r="J27" s="612">
        <v>58748.875792999992</v>
      </c>
      <c r="K27" s="612">
        <v>0</v>
      </c>
      <c r="L27" s="612">
        <v>0</v>
      </c>
      <c r="M27" s="612">
        <v>0</v>
      </c>
      <c r="N27" s="612">
        <v>59.27</v>
      </c>
      <c r="O27" s="593">
        <v>0</v>
      </c>
    </row>
    <row r="28" spans="1:15">
      <c r="A28" s="444">
        <v>22</v>
      </c>
      <c r="B28" s="450" t="s">
        <v>717</v>
      </c>
      <c r="C28" s="610">
        <v>38176795.589999996</v>
      </c>
      <c r="D28" s="593">
        <v>31223296.800000001</v>
      </c>
      <c r="E28" s="593">
        <v>0</v>
      </c>
      <c r="F28" s="612">
        <v>507385.64</v>
      </c>
      <c r="G28" s="612">
        <v>189101.15</v>
      </c>
      <c r="H28" s="593">
        <v>6257012</v>
      </c>
      <c r="I28" s="593">
        <v>7128244.2057839995</v>
      </c>
      <c r="J28" s="612">
        <v>624465.93599999999</v>
      </c>
      <c r="K28" s="612">
        <v>0</v>
      </c>
      <c r="L28" s="612">
        <v>152215.69278400001</v>
      </c>
      <c r="M28" s="612">
        <v>94550.577000000005</v>
      </c>
      <c r="N28" s="612">
        <v>6257012</v>
      </c>
      <c r="O28" s="593">
        <v>0</v>
      </c>
    </row>
    <row r="29" spans="1:15">
      <c r="A29" s="444">
        <v>23</v>
      </c>
      <c r="B29" s="450" t="s">
        <v>718</v>
      </c>
      <c r="C29" s="610">
        <v>85215437.089999989</v>
      </c>
      <c r="D29" s="593">
        <v>75393134.590000004</v>
      </c>
      <c r="E29" s="593">
        <v>56950.12</v>
      </c>
      <c r="F29" s="612">
        <v>8602630.4900000002</v>
      </c>
      <c r="G29" s="612">
        <v>1162721.8900000001</v>
      </c>
      <c r="H29" s="593">
        <v>0</v>
      </c>
      <c r="I29" s="593">
        <v>4675707.80425</v>
      </c>
      <c r="J29" s="612">
        <v>1507862.6917530003</v>
      </c>
      <c r="K29" s="612">
        <v>5695.0128869999999</v>
      </c>
      <c r="L29" s="612">
        <v>2580789.151906</v>
      </c>
      <c r="M29" s="612">
        <v>581360.94770399993</v>
      </c>
      <c r="N29" s="612">
        <v>0</v>
      </c>
      <c r="O29" s="593">
        <v>0</v>
      </c>
    </row>
    <row r="30" spans="1:15">
      <c r="A30" s="444">
        <v>24</v>
      </c>
      <c r="B30" s="450" t="s">
        <v>719</v>
      </c>
      <c r="C30" s="610">
        <v>61774892.500000007</v>
      </c>
      <c r="D30" s="593">
        <v>27813631.170000009</v>
      </c>
      <c r="E30" s="593">
        <v>17572621.129999999</v>
      </c>
      <c r="F30" s="612">
        <v>2124452.54</v>
      </c>
      <c r="G30" s="612">
        <v>11562965.660000002</v>
      </c>
      <c r="H30" s="593">
        <v>2701222</v>
      </c>
      <c r="I30" s="593">
        <v>11433575.328682002</v>
      </c>
      <c r="J30" s="612">
        <v>556272.62325499998</v>
      </c>
      <c r="K30" s="612">
        <v>1757262.1123390009</v>
      </c>
      <c r="L30" s="612">
        <v>637335.76132799999</v>
      </c>
      <c r="M30" s="612">
        <v>5781482.8317600004</v>
      </c>
      <c r="N30" s="612">
        <v>2701222</v>
      </c>
      <c r="O30" s="593">
        <v>0</v>
      </c>
    </row>
    <row r="31" spans="1:15">
      <c r="A31" s="444">
        <v>25</v>
      </c>
      <c r="B31" s="450" t="s">
        <v>720</v>
      </c>
      <c r="C31" s="610">
        <v>32774657.58090004</v>
      </c>
      <c r="D31" s="593">
        <v>27944457.022800036</v>
      </c>
      <c r="E31" s="593">
        <v>795270.41</v>
      </c>
      <c r="F31" s="612">
        <v>2398212.9299999997</v>
      </c>
      <c r="G31" s="612">
        <v>1636717.2180999999</v>
      </c>
      <c r="H31" s="593">
        <v>0</v>
      </c>
      <c r="I31" s="593">
        <v>2166619.36674</v>
      </c>
      <c r="J31" s="612">
        <v>549269.83771100035</v>
      </c>
      <c r="K31" s="612">
        <v>79527.041872000002</v>
      </c>
      <c r="L31" s="612">
        <v>719463.87803899974</v>
      </c>
      <c r="M31" s="612">
        <v>818358.60911800002</v>
      </c>
      <c r="N31" s="612">
        <v>0</v>
      </c>
      <c r="O31" s="593">
        <v>0</v>
      </c>
    </row>
    <row r="32" spans="1:15">
      <c r="A32" s="444">
        <v>26</v>
      </c>
      <c r="B32" s="450" t="s">
        <v>822</v>
      </c>
      <c r="C32" s="610">
        <v>1613631.1575999991</v>
      </c>
      <c r="D32" s="593">
        <v>1456485.504699999</v>
      </c>
      <c r="E32" s="593">
        <v>5829.44</v>
      </c>
      <c r="F32" s="612">
        <v>2864.6671999999999</v>
      </c>
      <c r="G32" s="612">
        <v>3473.5457000000001</v>
      </c>
      <c r="H32" s="593">
        <v>144977.99999999997</v>
      </c>
      <c r="I32" s="593">
        <v>177286.82710399973</v>
      </c>
      <c r="J32" s="612">
        <v>29129.710094000024</v>
      </c>
      <c r="K32" s="612">
        <v>582.94399999999996</v>
      </c>
      <c r="L32" s="612">
        <v>859.40015999999991</v>
      </c>
      <c r="M32" s="612">
        <v>1736.7728500000001</v>
      </c>
      <c r="N32" s="612">
        <v>144977.99999999997</v>
      </c>
      <c r="O32" s="593">
        <v>0</v>
      </c>
    </row>
    <row r="33" spans="1:15">
      <c r="A33" s="444">
        <v>27</v>
      </c>
      <c r="B33" s="477" t="s">
        <v>68</v>
      </c>
      <c r="C33" s="613">
        <f>SUM(C7:C32)</f>
        <v>981831436.64519989</v>
      </c>
      <c r="D33" s="593">
        <f t="shared" ref="D33:N33" si="0">SUM(D7:D32)</f>
        <v>562814148.67250001</v>
      </c>
      <c r="E33" s="593">
        <f t="shared" si="0"/>
        <v>69186895.974899992</v>
      </c>
      <c r="F33" s="612">
        <f t="shared" si="0"/>
        <v>173227087.2739</v>
      </c>
      <c r="G33" s="612">
        <f t="shared" si="0"/>
        <v>160210447.20390001</v>
      </c>
      <c r="H33" s="593">
        <f t="shared" si="0"/>
        <v>16392857.52</v>
      </c>
      <c r="I33" s="593">
        <f t="shared" si="0"/>
        <v>166614562.381493</v>
      </c>
      <c r="J33" s="612">
        <f t="shared" si="0"/>
        <v>11229665.475179</v>
      </c>
      <c r="K33" s="612">
        <f t="shared" si="0"/>
        <v>6918689.6023810022</v>
      </c>
      <c r="L33" s="612">
        <f t="shared" si="0"/>
        <v>51968126.172152989</v>
      </c>
      <c r="M33" s="612">
        <f t="shared" si="0"/>
        <v>80105223.610128015</v>
      </c>
      <c r="N33" s="612">
        <f t="shared" si="0"/>
        <v>16392857.521651998</v>
      </c>
      <c r="O33" s="593">
        <v>0</v>
      </c>
    </row>
    <row r="35" spans="1:15">
      <c r="B35" s="451"/>
      <c r="C35" s="451"/>
    </row>
    <row r="41" spans="1:15">
      <c r="A41" s="447"/>
      <c r="B41" s="447"/>
      <c r="C41" s="447"/>
    </row>
    <row r="42" spans="1:15">
      <c r="A42" s="447"/>
      <c r="B42" s="447"/>
      <c r="C42" s="447"/>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heetViews>
  <sheetFormatPr defaultColWidth="8.7109375" defaultRowHeight="12"/>
  <cols>
    <col min="1" max="1" width="11.7109375" style="478" bestFit="1" customWidth="1"/>
    <col min="2" max="2" width="80.28515625" style="478" customWidth="1"/>
    <col min="3" max="11" width="28.28515625" style="478" customWidth="1"/>
    <col min="12" max="16384" width="8.7109375" style="478"/>
  </cols>
  <sheetData>
    <row r="1" spans="1:11" s="430" customFormat="1" ht="12.75">
      <c r="A1" s="429" t="s">
        <v>188</v>
      </c>
      <c r="B1" s="596" t="str">
        <f>'1. key ratios'!B1</f>
        <v>სს "ბანკი ქართუ"</v>
      </c>
    </row>
    <row r="2" spans="1:11" s="430" customFormat="1" ht="12.75">
      <c r="A2" s="429" t="s">
        <v>189</v>
      </c>
      <c r="B2" s="432">
        <f>'1. key ratios'!B2</f>
        <v>44469</v>
      </c>
    </row>
    <row r="3" spans="1:11" s="430" customFormat="1" ht="12.75">
      <c r="A3" s="431" t="s">
        <v>823</v>
      </c>
      <c r="B3" s="432"/>
    </row>
    <row r="4" spans="1:11">
      <c r="C4" s="479" t="s">
        <v>673</v>
      </c>
      <c r="D4" s="479" t="s">
        <v>674</v>
      </c>
      <c r="E4" s="479" t="s">
        <v>675</v>
      </c>
      <c r="F4" s="479" t="s">
        <v>676</v>
      </c>
      <c r="G4" s="479" t="s">
        <v>677</v>
      </c>
      <c r="H4" s="479" t="s">
        <v>678</v>
      </c>
      <c r="I4" s="479" t="s">
        <v>679</v>
      </c>
      <c r="J4" s="479" t="s">
        <v>680</v>
      </c>
      <c r="K4" s="479" t="s">
        <v>681</v>
      </c>
    </row>
    <row r="5" spans="1:11" ht="103.9" customHeight="1">
      <c r="A5" s="782" t="s">
        <v>824</v>
      </c>
      <c r="B5" s="783"/>
      <c r="C5" s="433" t="s">
        <v>825</v>
      </c>
      <c r="D5" s="433" t="s">
        <v>811</v>
      </c>
      <c r="E5" s="433" t="s">
        <v>812</v>
      </c>
      <c r="F5" s="433" t="s">
        <v>826</v>
      </c>
      <c r="G5" s="433" t="s">
        <v>827</v>
      </c>
      <c r="H5" s="433" t="s">
        <v>828</v>
      </c>
      <c r="I5" s="433" t="s">
        <v>829</v>
      </c>
      <c r="J5" s="433" t="s">
        <v>830</v>
      </c>
      <c r="K5" s="433" t="s">
        <v>831</v>
      </c>
    </row>
    <row r="6" spans="1:11" ht="12.75">
      <c r="A6" s="444">
        <v>1</v>
      </c>
      <c r="B6" s="444" t="s">
        <v>832</v>
      </c>
      <c r="C6" s="593">
        <v>36705283.708033621</v>
      </c>
      <c r="D6" s="593">
        <v>13379525.204652002</v>
      </c>
      <c r="E6" s="593">
        <v>0</v>
      </c>
      <c r="F6" s="593">
        <v>0</v>
      </c>
      <c r="G6" s="593">
        <v>763509467.5934546</v>
      </c>
      <c r="H6" s="593">
        <v>4523219.3255245397</v>
      </c>
      <c r="I6" s="593">
        <v>142025085.37542096</v>
      </c>
      <c r="J6" s="593">
        <v>7483226.2886109529</v>
      </c>
      <c r="K6" s="593">
        <v>14205629.149504626</v>
      </c>
    </row>
    <row r="7" spans="1:11" ht="12.75">
      <c r="A7" s="444">
        <v>2</v>
      </c>
      <c r="B7" s="444" t="s">
        <v>833</v>
      </c>
      <c r="C7" s="593">
        <v>0</v>
      </c>
      <c r="D7" s="593">
        <v>0</v>
      </c>
      <c r="E7" s="593">
        <v>0</v>
      </c>
      <c r="F7" s="593">
        <v>0</v>
      </c>
      <c r="G7" s="593">
        <v>0</v>
      </c>
      <c r="H7" s="593">
        <v>0</v>
      </c>
      <c r="I7" s="593">
        <v>0</v>
      </c>
      <c r="J7" s="593">
        <v>0</v>
      </c>
      <c r="K7" s="593">
        <v>18614000</v>
      </c>
    </row>
    <row r="8" spans="1:11" ht="12.75">
      <c r="A8" s="444">
        <v>3</v>
      </c>
      <c r="B8" s="444" t="s">
        <v>783</v>
      </c>
      <c r="C8" s="593">
        <v>1204627.8317463677</v>
      </c>
      <c r="D8" s="593">
        <v>0</v>
      </c>
      <c r="E8" s="593">
        <v>0</v>
      </c>
      <c r="F8" s="593">
        <v>0</v>
      </c>
      <c r="G8" s="593">
        <v>48730975.494851187</v>
      </c>
      <c r="H8" s="593">
        <v>2197602.3693829379</v>
      </c>
      <c r="I8" s="593">
        <v>17826159.03233771</v>
      </c>
      <c r="J8" s="593">
        <v>3376851.0177427023</v>
      </c>
      <c r="K8" s="593">
        <v>7732763.9038390992</v>
      </c>
    </row>
    <row r="9" spans="1:11" ht="12.75">
      <c r="A9" s="444">
        <v>4</v>
      </c>
      <c r="B9" s="466" t="s">
        <v>834</v>
      </c>
      <c r="C9" s="593">
        <v>5253373.8408501996</v>
      </c>
      <c r="D9" s="593">
        <v>3138104.4036000003</v>
      </c>
      <c r="E9" s="593">
        <v>0</v>
      </c>
      <c r="F9" s="593">
        <v>0</v>
      </c>
      <c r="G9" s="593">
        <v>297272056.17846203</v>
      </c>
      <c r="H9" s="593">
        <v>1580079.7922324394</v>
      </c>
      <c r="I9" s="593">
        <v>26621538.399368532</v>
      </c>
      <c r="J9" s="593">
        <v>4476263.9258004399</v>
      </c>
      <c r="K9" s="593">
        <v>11488975.457486419</v>
      </c>
    </row>
    <row r="10" spans="1:11" ht="12.75">
      <c r="A10" s="444">
        <v>5</v>
      </c>
      <c r="B10" s="466" t="s">
        <v>835</v>
      </c>
      <c r="C10" s="593">
        <v>0</v>
      </c>
      <c r="D10" s="593">
        <v>0</v>
      </c>
      <c r="E10" s="593">
        <v>0</v>
      </c>
      <c r="F10" s="593">
        <v>0</v>
      </c>
      <c r="G10" s="593">
        <v>0</v>
      </c>
      <c r="H10" s="593">
        <v>0</v>
      </c>
      <c r="I10" s="593">
        <v>0</v>
      </c>
      <c r="J10" s="593">
        <v>0</v>
      </c>
      <c r="K10" s="593">
        <v>0</v>
      </c>
    </row>
    <row r="11" spans="1:11" ht="12.75">
      <c r="A11" s="444">
        <v>6</v>
      </c>
      <c r="B11" s="466" t="s">
        <v>836</v>
      </c>
      <c r="C11" s="593">
        <v>0</v>
      </c>
      <c r="D11" s="593">
        <v>0</v>
      </c>
      <c r="E11" s="593">
        <v>0</v>
      </c>
      <c r="F11" s="593">
        <v>0</v>
      </c>
      <c r="G11" s="593">
        <v>5263802.6682246383</v>
      </c>
      <c r="H11" s="593">
        <v>19695.831775361323</v>
      </c>
      <c r="I11" s="593">
        <v>0</v>
      </c>
      <c r="J11" s="593">
        <v>0</v>
      </c>
      <c r="K11" s="593">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70" zoomScaleNormal="70" workbookViewId="0"/>
  </sheetViews>
  <sheetFormatPr defaultRowHeight="15"/>
  <cols>
    <col min="1" max="1" width="10" bestFit="1" customWidth="1"/>
    <col min="2" max="2" width="71.7109375" customWidth="1"/>
    <col min="3" max="3" width="12.7109375" bestFit="1" customWidth="1"/>
    <col min="4" max="4" width="13.28515625" bestFit="1" customWidth="1"/>
    <col min="5" max="5" width="12.28515625" bestFit="1" customWidth="1"/>
    <col min="6" max="6" width="16.28515625" bestFit="1" customWidth="1"/>
    <col min="7" max="7" width="10.28515625" bestFit="1" customWidth="1"/>
    <col min="8" max="8" width="10.5703125" bestFit="1" customWidth="1"/>
    <col min="9" max="9" width="11.7109375" bestFit="1" customWidth="1"/>
    <col min="10" max="10" width="13.28515625" bestFit="1" customWidth="1"/>
    <col min="11" max="11" width="12.28515625" bestFit="1" customWidth="1"/>
    <col min="12" max="12" width="16.28515625" bestFit="1" customWidth="1"/>
    <col min="13" max="14" width="10.5703125" bestFit="1" customWidth="1"/>
    <col min="15" max="15" width="18.140625" bestFit="1" customWidth="1"/>
    <col min="16" max="16" width="48.140625" bestFit="1" customWidth="1"/>
    <col min="17" max="17" width="45.85546875" bestFit="1" customWidth="1"/>
    <col min="18" max="18" width="48.140625" bestFit="1" customWidth="1"/>
    <col min="19" max="19" width="44.42578125" bestFit="1" customWidth="1"/>
  </cols>
  <sheetData>
    <row r="1" spans="1:19">
      <c r="A1" s="429" t="s">
        <v>188</v>
      </c>
      <c r="B1" s="596" t="str">
        <f>'1. key ratios'!B1</f>
        <v>სს "ბანკი ქართუ"</v>
      </c>
    </row>
    <row r="2" spans="1:19">
      <c r="A2" s="429" t="s">
        <v>189</v>
      </c>
      <c r="B2" s="432">
        <f>'1. key ratios'!B2</f>
        <v>44469</v>
      </c>
    </row>
    <row r="3" spans="1:19">
      <c r="A3" s="431" t="s">
        <v>998</v>
      </c>
      <c r="B3" s="430"/>
    </row>
    <row r="4" spans="1:19">
      <c r="A4" s="431"/>
      <c r="B4" s="430"/>
    </row>
    <row r="5" spans="1:19" ht="24" customHeight="1">
      <c r="A5" s="785" t="s">
        <v>999</v>
      </c>
      <c r="B5" s="785"/>
      <c r="C5" s="786" t="s">
        <v>786</v>
      </c>
      <c r="D5" s="786"/>
      <c r="E5" s="786"/>
      <c r="F5" s="786"/>
      <c r="G5" s="786"/>
      <c r="H5" s="786"/>
      <c r="I5" s="786" t="s">
        <v>1000</v>
      </c>
      <c r="J5" s="786"/>
      <c r="K5" s="786"/>
      <c r="L5" s="786"/>
      <c r="M5" s="786"/>
      <c r="N5" s="786"/>
      <c r="O5" s="784" t="s">
        <v>1001</v>
      </c>
      <c r="P5" s="784" t="s">
        <v>1002</v>
      </c>
      <c r="Q5" s="784" t="s">
        <v>1003</v>
      </c>
      <c r="R5" s="784" t="s">
        <v>1004</v>
      </c>
      <c r="S5" s="784" t="s">
        <v>1005</v>
      </c>
    </row>
    <row r="6" spans="1:19" ht="36" customHeight="1">
      <c r="A6" s="785"/>
      <c r="B6" s="785"/>
      <c r="C6" s="614"/>
      <c r="D6" s="476" t="s">
        <v>817</v>
      </c>
      <c r="E6" s="476" t="s">
        <v>818</v>
      </c>
      <c r="F6" s="476" t="s">
        <v>819</v>
      </c>
      <c r="G6" s="476" t="s">
        <v>820</v>
      </c>
      <c r="H6" s="476" t="s">
        <v>821</v>
      </c>
      <c r="I6" s="614"/>
      <c r="J6" s="476" t="s">
        <v>817</v>
      </c>
      <c r="K6" s="476" t="s">
        <v>818</v>
      </c>
      <c r="L6" s="476" t="s">
        <v>819</v>
      </c>
      <c r="M6" s="476" t="s">
        <v>820</v>
      </c>
      <c r="N6" s="476" t="s">
        <v>821</v>
      </c>
      <c r="O6" s="784"/>
      <c r="P6" s="784"/>
      <c r="Q6" s="784"/>
      <c r="R6" s="784"/>
      <c r="S6" s="784"/>
    </row>
    <row r="7" spans="1:19">
      <c r="A7" s="615">
        <v>1</v>
      </c>
      <c r="B7" s="616" t="s">
        <v>1006</v>
      </c>
      <c r="C7" s="674">
        <v>266897.33999999997</v>
      </c>
      <c r="D7" s="674">
        <v>243615.82</v>
      </c>
      <c r="E7" s="674">
        <v>0</v>
      </c>
      <c r="F7" s="674">
        <v>20013.93</v>
      </c>
      <c r="G7" s="674">
        <v>0</v>
      </c>
      <c r="H7" s="674">
        <v>3267.59</v>
      </c>
      <c r="I7" s="674">
        <v>14144.085372000001</v>
      </c>
      <c r="J7" s="674">
        <v>4872.3163719999984</v>
      </c>
      <c r="K7" s="674">
        <v>0</v>
      </c>
      <c r="L7" s="674">
        <v>6004.1790000000001</v>
      </c>
      <c r="M7" s="674">
        <v>0</v>
      </c>
      <c r="N7" s="674">
        <v>3267.59</v>
      </c>
      <c r="O7" s="674">
        <v>18</v>
      </c>
      <c r="P7" s="676">
        <v>0.14499999999999999</v>
      </c>
      <c r="Q7" s="676">
        <v>0.1550353528039834</v>
      </c>
      <c r="R7" s="676">
        <v>0.11798067565978738</v>
      </c>
      <c r="S7" s="672">
        <v>52.926313395481102</v>
      </c>
    </row>
    <row r="8" spans="1:19">
      <c r="A8" s="615">
        <v>2</v>
      </c>
      <c r="B8" s="618" t="s">
        <v>1007</v>
      </c>
      <c r="C8" s="674">
        <v>7584814.4499999993</v>
      </c>
      <c r="D8" s="674">
        <v>4084397.9800000014</v>
      </c>
      <c r="E8" s="674">
        <v>1080085.4500000002</v>
      </c>
      <c r="F8" s="674">
        <v>1703081.3900000004</v>
      </c>
      <c r="G8" s="674">
        <v>717190.36</v>
      </c>
      <c r="H8" s="674">
        <v>59.27</v>
      </c>
      <c r="I8" s="674">
        <v>1051569.0361630004</v>
      </c>
      <c r="J8" s="674">
        <v>73981.622753999982</v>
      </c>
      <c r="K8" s="674">
        <v>108008.54632699999</v>
      </c>
      <c r="L8" s="674">
        <v>510924.41629600001</v>
      </c>
      <c r="M8" s="674">
        <v>358595.18078599998</v>
      </c>
      <c r="N8" s="674">
        <v>59.27</v>
      </c>
      <c r="O8" s="674">
        <v>134</v>
      </c>
      <c r="P8" s="676">
        <v>0.11048846615859233</v>
      </c>
      <c r="Q8" s="676">
        <v>0.11651186726991818</v>
      </c>
      <c r="R8" s="676">
        <v>9.3196178753983894E-2</v>
      </c>
      <c r="S8" s="672">
        <v>61.723751328909138</v>
      </c>
    </row>
    <row r="9" spans="1:19">
      <c r="A9" s="615">
        <v>3</v>
      </c>
      <c r="B9" s="618" t="s">
        <v>1008</v>
      </c>
      <c r="C9" s="674">
        <v>0</v>
      </c>
      <c r="D9" s="674">
        <v>0</v>
      </c>
      <c r="E9" s="674">
        <v>0</v>
      </c>
      <c r="F9" s="674">
        <v>0</v>
      </c>
      <c r="G9" s="674">
        <v>0</v>
      </c>
      <c r="H9" s="674">
        <v>0</v>
      </c>
      <c r="I9" s="674">
        <v>0</v>
      </c>
      <c r="J9" s="674">
        <v>0</v>
      </c>
      <c r="K9" s="674">
        <v>0</v>
      </c>
      <c r="L9" s="674">
        <v>0</v>
      </c>
      <c r="M9" s="674">
        <v>0</v>
      </c>
      <c r="N9" s="674">
        <v>0</v>
      </c>
      <c r="O9" s="674">
        <v>0</v>
      </c>
      <c r="P9" s="676">
        <v>0</v>
      </c>
      <c r="Q9" s="676">
        <v>0</v>
      </c>
      <c r="R9" s="676">
        <v>0</v>
      </c>
      <c r="S9" s="672">
        <v>0</v>
      </c>
    </row>
    <row r="10" spans="1:19">
      <c r="A10" s="615">
        <v>4</v>
      </c>
      <c r="B10" s="618" t="s">
        <v>1009</v>
      </c>
      <c r="C10" s="674">
        <v>0</v>
      </c>
      <c r="D10" s="674">
        <v>0</v>
      </c>
      <c r="E10" s="674">
        <v>0</v>
      </c>
      <c r="F10" s="674">
        <v>0</v>
      </c>
      <c r="G10" s="674">
        <v>0</v>
      </c>
      <c r="H10" s="674">
        <v>0</v>
      </c>
      <c r="I10" s="674">
        <v>0</v>
      </c>
      <c r="J10" s="674">
        <v>0</v>
      </c>
      <c r="K10" s="674">
        <v>0</v>
      </c>
      <c r="L10" s="674">
        <v>0</v>
      </c>
      <c r="M10" s="674">
        <v>0</v>
      </c>
      <c r="N10" s="674">
        <v>0</v>
      </c>
      <c r="O10" s="674">
        <v>0</v>
      </c>
      <c r="P10" s="676">
        <v>0</v>
      </c>
      <c r="Q10" s="676">
        <v>0</v>
      </c>
      <c r="R10" s="676">
        <v>0</v>
      </c>
      <c r="S10" s="672">
        <v>0</v>
      </c>
    </row>
    <row r="11" spans="1:19">
      <c r="A11" s="615">
        <v>5</v>
      </c>
      <c r="B11" s="618" t="s">
        <v>1010</v>
      </c>
      <c r="C11" s="674">
        <v>1889848.1912000005</v>
      </c>
      <c r="D11" s="674">
        <v>1757998.5112000001</v>
      </c>
      <c r="E11" s="674">
        <v>61651.87999999999</v>
      </c>
      <c r="F11" s="674">
        <v>58382.879999999997</v>
      </c>
      <c r="G11" s="674">
        <v>2740</v>
      </c>
      <c r="H11" s="674">
        <v>9074.92</v>
      </c>
      <c r="I11" s="674">
        <v>69284.942224000028</v>
      </c>
      <c r="J11" s="674">
        <v>35159.970224000026</v>
      </c>
      <c r="K11" s="674">
        <v>6165.1879999999992</v>
      </c>
      <c r="L11" s="674">
        <v>17514.863999999998</v>
      </c>
      <c r="M11" s="674">
        <v>1370</v>
      </c>
      <c r="N11" s="674">
        <v>9074.92</v>
      </c>
      <c r="O11" s="674">
        <v>273</v>
      </c>
      <c r="P11" s="676">
        <v>0.13387555864324896</v>
      </c>
      <c r="Q11" s="676">
        <v>0.14258384012274469</v>
      </c>
      <c r="R11" s="676">
        <v>0.10523308318522674</v>
      </c>
      <c r="S11" s="672">
        <v>3.1408818289768496</v>
      </c>
    </row>
    <row r="12" spans="1:19">
      <c r="A12" s="615">
        <v>6</v>
      </c>
      <c r="B12" s="618" t="s">
        <v>1011</v>
      </c>
      <c r="C12" s="674">
        <v>508725.15660000045</v>
      </c>
      <c r="D12" s="674">
        <v>365483.3660000005</v>
      </c>
      <c r="E12" s="674">
        <v>4990.2848999999997</v>
      </c>
      <c r="F12" s="674">
        <v>1614.88</v>
      </c>
      <c r="G12" s="674">
        <v>733.54570000000001</v>
      </c>
      <c r="H12" s="674">
        <v>135903.07999999999</v>
      </c>
      <c r="I12" s="674">
        <v>144563.01265999977</v>
      </c>
      <c r="J12" s="674">
        <v>7309.6673200000205</v>
      </c>
      <c r="K12" s="674">
        <v>499.02848999999998</v>
      </c>
      <c r="L12" s="674">
        <v>484.464</v>
      </c>
      <c r="M12" s="674">
        <v>366.77285000000001</v>
      </c>
      <c r="N12" s="674">
        <v>135903.07999999999</v>
      </c>
      <c r="O12" s="674">
        <v>1567</v>
      </c>
      <c r="P12" s="676">
        <v>9.9421263133752963E-2</v>
      </c>
      <c r="Q12" s="676">
        <v>0.10410705431623592</v>
      </c>
      <c r="R12" s="676">
        <v>6.1242831131500565E-2</v>
      </c>
      <c r="S12" s="672">
        <v>6.5854124680000892</v>
      </c>
    </row>
    <row r="13" spans="1:19">
      <c r="A13" s="615">
        <v>7</v>
      </c>
      <c r="B13" s="618" t="s">
        <v>1012</v>
      </c>
      <c r="C13" s="674">
        <v>15437349.170000006</v>
      </c>
      <c r="D13" s="674">
        <v>10589528.589999998</v>
      </c>
      <c r="E13" s="674">
        <v>1253341.6500000001</v>
      </c>
      <c r="F13" s="674">
        <v>3594478.93</v>
      </c>
      <c r="G13" s="674">
        <v>0</v>
      </c>
      <c r="H13" s="674">
        <v>0</v>
      </c>
      <c r="I13" s="674">
        <v>1413555.4504530004</v>
      </c>
      <c r="J13" s="674">
        <v>209877.60674199986</v>
      </c>
      <c r="K13" s="674">
        <v>125334.165392</v>
      </c>
      <c r="L13" s="674">
        <v>1078343.6783189999</v>
      </c>
      <c r="M13" s="674">
        <v>0</v>
      </c>
      <c r="N13" s="674">
        <v>0</v>
      </c>
      <c r="O13" s="674">
        <v>200</v>
      </c>
      <c r="P13" s="676">
        <v>8.4320645519994797E-2</v>
      </c>
      <c r="Q13" s="676">
        <v>8.7898146576170691E-2</v>
      </c>
      <c r="R13" s="676">
        <v>8.97089810105655E-2</v>
      </c>
      <c r="S13" s="672">
        <v>98.396226607502797</v>
      </c>
    </row>
    <row r="14" spans="1:19">
      <c r="A14" s="619">
        <v>7.1</v>
      </c>
      <c r="B14" s="620" t="s">
        <v>1013</v>
      </c>
      <c r="C14" s="674">
        <v>11287506.500000006</v>
      </c>
      <c r="D14" s="674">
        <v>7540215.5799999982</v>
      </c>
      <c r="E14" s="674">
        <v>1015837.94</v>
      </c>
      <c r="F14" s="674">
        <v>2731452.9800000004</v>
      </c>
      <c r="G14" s="674">
        <v>0</v>
      </c>
      <c r="H14" s="674">
        <v>0</v>
      </c>
      <c r="I14" s="674">
        <v>1069911.0359690005</v>
      </c>
      <c r="J14" s="674">
        <v>148891.3460569999</v>
      </c>
      <c r="K14" s="674">
        <v>101583.79400299999</v>
      </c>
      <c r="L14" s="674">
        <v>819435.89590899984</v>
      </c>
      <c r="M14" s="674">
        <v>0</v>
      </c>
      <c r="N14" s="674">
        <v>0</v>
      </c>
      <c r="O14" s="674">
        <v>124</v>
      </c>
      <c r="P14" s="676">
        <v>7.6033211797087746E-2</v>
      </c>
      <c r="Q14" s="676">
        <v>7.8743941787956226E-2</v>
      </c>
      <c r="R14" s="676">
        <v>8.7676149091032551E-2</v>
      </c>
      <c r="S14" s="672">
        <v>97.753751083249469</v>
      </c>
    </row>
    <row r="15" spans="1:19" ht="25.5">
      <c r="A15" s="619">
        <v>7.2</v>
      </c>
      <c r="B15" s="620" t="s">
        <v>1014</v>
      </c>
      <c r="C15" s="674">
        <v>3245903.3499999992</v>
      </c>
      <c r="D15" s="674">
        <v>2274474.41</v>
      </c>
      <c r="E15" s="674">
        <v>233650.89</v>
      </c>
      <c r="F15" s="674">
        <v>737778.05</v>
      </c>
      <c r="G15" s="674">
        <v>0</v>
      </c>
      <c r="H15" s="674">
        <v>0</v>
      </c>
      <c r="I15" s="674">
        <v>290187.98955999996</v>
      </c>
      <c r="J15" s="674">
        <v>45489.48847299999</v>
      </c>
      <c r="K15" s="674">
        <v>23365.089389000001</v>
      </c>
      <c r="L15" s="674">
        <v>221333.41169800001</v>
      </c>
      <c r="M15" s="674">
        <v>0</v>
      </c>
      <c r="N15" s="674">
        <v>0</v>
      </c>
      <c r="O15" s="674">
        <v>25</v>
      </c>
      <c r="P15" s="676">
        <v>0.14146114393569933</v>
      </c>
      <c r="Q15" s="676">
        <v>0.15101488954959372</v>
      </c>
      <c r="R15" s="676">
        <v>9.0449437607253519E-2</v>
      </c>
      <c r="S15" s="672">
        <v>110.25060494267613</v>
      </c>
    </row>
    <row r="16" spans="1:19">
      <c r="A16" s="619">
        <v>7.3</v>
      </c>
      <c r="B16" s="620" t="s">
        <v>1015</v>
      </c>
      <c r="C16" s="674">
        <v>903939.32000000007</v>
      </c>
      <c r="D16" s="674">
        <v>774838.60000000021</v>
      </c>
      <c r="E16" s="674">
        <v>3852.82</v>
      </c>
      <c r="F16" s="674">
        <v>125247.90000000001</v>
      </c>
      <c r="G16" s="674">
        <v>0</v>
      </c>
      <c r="H16" s="674">
        <v>0</v>
      </c>
      <c r="I16" s="674">
        <v>53456.424923999999</v>
      </c>
      <c r="J16" s="674">
        <v>15496.772211999996</v>
      </c>
      <c r="K16" s="674">
        <v>385.28199999999998</v>
      </c>
      <c r="L16" s="674">
        <v>37574.370711999996</v>
      </c>
      <c r="M16" s="674">
        <v>0</v>
      </c>
      <c r="N16" s="674">
        <v>0</v>
      </c>
      <c r="O16" s="674">
        <v>51</v>
      </c>
      <c r="P16" s="676">
        <v>0</v>
      </c>
      <c r="Q16" s="676">
        <v>0</v>
      </c>
      <c r="R16" s="676">
        <v>0.11243412693896308</v>
      </c>
      <c r="S16" s="672">
        <v>63.851629416834321</v>
      </c>
    </row>
    <row r="17" spans="1:19">
      <c r="A17" s="615">
        <v>8</v>
      </c>
      <c r="B17" s="618" t="s">
        <v>1016</v>
      </c>
      <c r="C17" s="674">
        <v>0</v>
      </c>
      <c r="D17" s="674">
        <v>0</v>
      </c>
      <c r="E17" s="674">
        <v>0</v>
      </c>
      <c r="F17" s="674">
        <v>0</v>
      </c>
      <c r="G17" s="674">
        <v>0</v>
      </c>
      <c r="H17" s="674">
        <v>0</v>
      </c>
      <c r="I17" s="674">
        <v>0</v>
      </c>
      <c r="J17" s="674">
        <v>0</v>
      </c>
      <c r="K17" s="674">
        <v>0</v>
      </c>
      <c r="L17" s="674">
        <v>0</v>
      </c>
      <c r="M17" s="674">
        <v>0</v>
      </c>
      <c r="N17" s="674">
        <v>0</v>
      </c>
      <c r="O17" s="674">
        <v>0</v>
      </c>
      <c r="P17" s="676">
        <v>0</v>
      </c>
      <c r="Q17" s="676">
        <v>0</v>
      </c>
      <c r="R17" s="676">
        <v>0</v>
      </c>
      <c r="S17" s="672">
        <v>0</v>
      </c>
    </row>
    <row r="18" spans="1:19">
      <c r="A18" s="621">
        <v>9</v>
      </c>
      <c r="B18" s="622" t="s">
        <v>1017</v>
      </c>
      <c r="C18" s="675">
        <v>0</v>
      </c>
      <c r="D18" s="675">
        <v>0</v>
      </c>
      <c r="E18" s="675">
        <v>0</v>
      </c>
      <c r="F18" s="675">
        <v>0</v>
      </c>
      <c r="G18" s="675">
        <v>0</v>
      </c>
      <c r="H18" s="675">
        <v>0</v>
      </c>
      <c r="I18" s="675">
        <v>0</v>
      </c>
      <c r="J18" s="675">
        <v>0</v>
      </c>
      <c r="K18" s="675">
        <v>0</v>
      </c>
      <c r="L18" s="675">
        <v>0</v>
      </c>
      <c r="M18" s="675">
        <v>0</v>
      </c>
      <c r="N18" s="675">
        <v>0</v>
      </c>
      <c r="O18" s="675">
        <v>0</v>
      </c>
      <c r="P18" s="677">
        <v>0</v>
      </c>
      <c r="Q18" s="677">
        <v>0</v>
      </c>
      <c r="R18" s="677">
        <v>0</v>
      </c>
      <c r="S18" s="673">
        <v>0</v>
      </c>
    </row>
    <row r="19" spans="1:19">
      <c r="A19" s="615">
        <v>10</v>
      </c>
      <c r="B19" s="623" t="s">
        <v>1018</v>
      </c>
      <c r="C19" s="678">
        <v>25687634.307800006</v>
      </c>
      <c r="D19" s="678">
        <v>17041024.267200001</v>
      </c>
      <c r="E19" s="678">
        <v>2400069.2649000003</v>
      </c>
      <c r="F19" s="678">
        <v>5377572.0099999998</v>
      </c>
      <c r="G19" s="678">
        <v>720663.9057</v>
      </c>
      <c r="H19" s="678">
        <v>148304.85999999999</v>
      </c>
      <c r="I19" s="678">
        <v>2693116.5268720007</v>
      </c>
      <c r="J19" s="678">
        <v>331201.1834119999</v>
      </c>
      <c r="K19" s="678">
        <v>240006.92820899998</v>
      </c>
      <c r="L19" s="678">
        <v>1613271.6016150001</v>
      </c>
      <c r="M19" s="678">
        <v>360331.95363599999</v>
      </c>
      <c r="N19" s="678">
        <v>148304.85999999999</v>
      </c>
      <c r="O19" s="679">
        <v>2192</v>
      </c>
      <c r="P19" s="680">
        <v>9.3209793994541074E-2</v>
      </c>
      <c r="Q19" s="680">
        <v>9.7630366380019887E-2</v>
      </c>
      <c r="R19" s="680">
        <v>9.1610757453185684E-2</v>
      </c>
      <c r="S19" s="681">
        <v>79.045469760777763</v>
      </c>
    </row>
    <row r="20" spans="1:19" ht="25.5">
      <c r="A20" s="619">
        <v>10.1</v>
      </c>
      <c r="B20" s="620" t="s">
        <v>1019</v>
      </c>
      <c r="C20" s="674"/>
      <c r="D20" s="674"/>
      <c r="E20" s="674"/>
      <c r="F20" s="674"/>
      <c r="G20" s="674"/>
      <c r="H20" s="674"/>
      <c r="I20" s="674"/>
      <c r="J20" s="674"/>
      <c r="K20" s="674"/>
      <c r="L20" s="674"/>
      <c r="M20" s="674"/>
      <c r="N20" s="674"/>
      <c r="O20" s="617"/>
      <c r="P20" s="676"/>
      <c r="Q20" s="676"/>
      <c r="R20" s="676"/>
      <c r="S20" s="676"/>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6" activePane="bottomRight" state="frozen"/>
      <selection pane="topRight"/>
      <selection pane="bottomLeft"/>
      <selection pane="bottomRight"/>
    </sheetView>
  </sheetViews>
  <sheetFormatPr defaultRowHeight="15"/>
  <cols>
    <col min="1" max="1" width="9.5703125" style="1" bestFit="1" customWidth="1"/>
    <col min="2" max="2" width="55.28515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188</v>
      </c>
      <c r="B1" s="1" t="str">
        <f>Info!C2</f>
        <v>სს "ბანკი ქართუ"</v>
      </c>
    </row>
    <row r="2" spans="1:8" ht="15.75">
      <c r="A2" s="14" t="s">
        <v>189</v>
      </c>
      <c r="B2" s="390">
        <f>'1. key ratios'!B2</f>
        <v>44469</v>
      </c>
    </row>
    <row r="3" spans="1:8" ht="15.75">
      <c r="A3" s="14"/>
    </row>
    <row r="4" spans="1:8" ht="16.5" thickBot="1">
      <c r="A4" s="15" t="s">
        <v>406</v>
      </c>
      <c r="B4" s="63" t="s">
        <v>244</v>
      </c>
      <c r="C4" s="15"/>
      <c r="D4" s="25"/>
      <c r="E4" s="25"/>
      <c r="F4" s="26"/>
      <c r="G4" s="26"/>
      <c r="H4" s="27" t="s">
        <v>93</v>
      </c>
    </row>
    <row r="5" spans="1:8" ht="15.75">
      <c r="A5" s="28"/>
      <c r="B5" s="29"/>
      <c r="C5" s="684" t="s">
        <v>194</v>
      </c>
      <c r="D5" s="685"/>
      <c r="E5" s="686"/>
      <c r="F5" s="684" t="s">
        <v>195</v>
      </c>
      <c r="G5" s="685"/>
      <c r="H5" s="687"/>
    </row>
    <row r="6" spans="1:8" ht="15.75">
      <c r="A6" s="30" t="s">
        <v>26</v>
      </c>
      <c r="B6" s="31" t="s">
        <v>153</v>
      </c>
      <c r="C6" s="32" t="s">
        <v>27</v>
      </c>
      <c r="D6" s="32" t="s">
        <v>94</v>
      </c>
      <c r="E6" s="32" t="s">
        <v>68</v>
      </c>
      <c r="F6" s="32" t="s">
        <v>27</v>
      </c>
      <c r="G6" s="32" t="s">
        <v>94</v>
      </c>
      <c r="H6" s="33" t="s">
        <v>68</v>
      </c>
    </row>
    <row r="7" spans="1:8" ht="15.75">
      <c r="A7" s="30">
        <v>1</v>
      </c>
      <c r="B7" s="34" t="s">
        <v>154</v>
      </c>
      <c r="C7" s="509">
        <v>24978912</v>
      </c>
      <c r="D7" s="509">
        <v>7578172</v>
      </c>
      <c r="E7" s="510">
        <f>C7+D7</f>
        <v>32557084</v>
      </c>
      <c r="F7" s="511">
        <v>7857658</v>
      </c>
      <c r="G7" s="512">
        <v>23822573</v>
      </c>
      <c r="H7" s="513">
        <f>F7+G7</f>
        <v>31680231</v>
      </c>
    </row>
    <row r="8" spans="1:8" ht="15.75">
      <c r="A8" s="30">
        <v>2</v>
      </c>
      <c r="B8" s="34" t="s">
        <v>155</v>
      </c>
      <c r="C8" s="509">
        <v>13293605</v>
      </c>
      <c r="D8" s="509">
        <v>198339911</v>
      </c>
      <c r="E8" s="510">
        <f t="shared" ref="E8:E20" si="0">C8+D8</f>
        <v>211633516</v>
      </c>
      <c r="F8" s="511">
        <v>503395</v>
      </c>
      <c r="G8" s="512">
        <v>195118342</v>
      </c>
      <c r="H8" s="513">
        <f t="shared" ref="H8:H40" si="1">F8+G8</f>
        <v>195621737</v>
      </c>
    </row>
    <row r="9" spans="1:8" ht="15.75">
      <c r="A9" s="30">
        <v>3</v>
      </c>
      <c r="B9" s="34" t="s">
        <v>156</v>
      </c>
      <c r="C9" s="509">
        <v>15161176</v>
      </c>
      <c r="D9" s="509">
        <v>96890489</v>
      </c>
      <c r="E9" s="510">
        <f t="shared" si="0"/>
        <v>112051665</v>
      </c>
      <c r="F9" s="511">
        <v>20459841</v>
      </c>
      <c r="G9" s="512">
        <v>147924146</v>
      </c>
      <c r="H9" s="513">
        <f t="shared" si="1"/>
        <v>168383987</v>
      </c>
    </row>
    <row r="10" spans="1:8" ht="15.75">
      <c r="A10" s="30">
        <v>4</v>
      </c>
      <c r="B10" s="34" t="s">
        <v>185</v>
      </c>
      <c r="C10" s="509">
        <v>0</v>
      </c>
      <c r="D10" s="509">
        <v>0</v>
      </c>
      <c r="E10" s="510">
        <f t="shared" si="0"/>
        <v>0</v>
      </c>
      <c r="F10" s="511">
        <v>0</v>
      </c>
      <c r="G10" s="512">
        <v>0</v>
      </c>
      <c r="H10" s="513">
        <f t="shared" si="1"/>
        <v>0</v>
      </c>
    </row>
    <row r="11" spans="1:8" ht="15.75">
      <c r="A11" s="30">
        <v>5</v>
      </c>
      <c r="B11" s="34" t="s">
        <v>157</v>
      </c>
      <c r="C11" s="509">
        <v>39409289</v>
      </c>
      <c r="D11" s="509">
        <v>15301720</v>
      </c>
      <c r="E11" s="510">
        <f t="shared" si="0"/>
        <v>54711009</v>
      </c>
      <c r="F11" s="511">
        <v>46272032</v>
      </c>
      <c r="G11" s="512">
        <v>16110220</v>
      </c>
      <c r="H11" s="513">
        <f t="shared" si="1"/>
        <v>62382252</v>
      </c>
    </row>
    <row r="12" spans="1:8" ht="15.75">
      <c r="A12" s="30">
        <v>6.1</v>
      </c>
      <c r="B12" s="35" t="s">
        <v>158</v>
      </c>
      <c r="C12" s="509">
        <v>318023858</v>
      </c>
      <c r="D12" s="509">
        <v>663807577</v>
      </c>
      <c r="E12" s="510">
        <f t="shared" si="0"/>
        <v>981831435</v>
      </c>
      <c r="F12" s="511">
        <v>335797325</v>
      </c>
      <c r="G12" s="512">
        <v>696892122</v>
      </c>
      <c r="H12" s="513">
        <f t="shared" si="1"/>
        <v>1032689447</v>
      </c>
    </row>
    <row r="13" spans="1:8" ht="15.75">
      <c r="A13" s="30">
        <v>6.2</v>
      </c>
      <c r="B13" s="35" t="s">
        <v>159</v>
      </c>
      <c r="C13" s="509">
        <v>-61548402</v>
      </c>
      <c r="D13" s="509">
        <v>-105066164</v>
      </c>
      <c r="E13" s="510">
        <f t="shared" si="0"/>
        <v>-166614566</v>
      </c>
      <c r="F13" s="511">
        <v>-50434890</v>
      </c>
      <c r="G13" s="512">
        <v>-126980355</v>
      </c>
      <c r="H13" s="513">
        <f t="shared" si="1"/>
        <v>-177415245</v>
      </c>
    </row>
    <row r="14" spans="1:8" ht="15.75">
      <c r="A14" s="30">
        <v>6</v>
      </c>
      <c r="B14" s="34" t="s">
        <v>160</v>
      </c>
      <c r="C14" s="510">
        <f>C12+C13</f>
        <v>256475456</v>
      </c>
      <c r="D14" s="510">
        <f>D12+D13</f>
        <v>558741413</v>
      </c>
      <c r="E14" s="510">
        <f t="shared" si="0"/>
        <v>815216869</v>
      </c>
      <c r="F14" s="510">
        <f>F12+F13</f>
        <v>285362435</v>
      </c>
      <c r="G14" s="510">
        <f>G12+G13</f>
        <v>569911767</v>
      </c>
      <c r="H14" s="513">
        <f t="shared" si="1"/>
        <v>855274202</v>
      </c>
    </row>
    <row r="15" spans="1:8" ht="15.75">
      <c r="A15" s="30">
        <v>7</v>
      </c>
      <c r="B15" s="34" t="s">
        <v>161</v>
      </c>
      <c r="C15" s="509">
        <v>10922059</v>
      </c>
      <c r="D15" s="509">
        <v>6375935</v>
      </c>
      <c r="E15" s="510">
        <f t="shared" si="0"/>
        <v>17297994</v>
      </c>
      <c r="F15" s="511">
        <v>7655942</v>
      </c>
      <c r="G15" s="512">
        <v>7107044</v>
      </c>
      <c r="H15" s="513">
        <f t="shared" si="1"/>
        <v>14762986</v>
      </c>
    </row>
    <row r="16" spans="1:8" ht="15.75">
      <c r="A16" s="30">
        <v>8</v>
      </c>
      <c r="B16" s="34" t="s">
        <v>162</v>
      </c>
      <c r="C16" s="509">
        <v>6855626</v>
      </c>
      <c r="D16" s="509"/>
      <c r="E16" s="510">
        <f>C16</f>
        <v>6855626</v>
      </c>
      <c r="F16" s="511">
        <v>6013426</v>
      </c>
      <c r="G16" s="512"/>
      <c r="H16" s="513">
        <f t="shared" si="1"/>
        <v>6013426</v>
      </c>
    </row>
    <row r="17" spans="1:8" ht="15.75">
      <c r="A17" s="30">
        <v>9</v>
      </c>
      <c r="B17" s="34" t="s">
        <v>163</v>
      </c>
      <c r="C17" s="509">
        <v>7793239</v>
      </c>
      <c r="D17" s="509">
        <v>0</v>
      </c>
      <c r="E17" s="510">
        <f t="shared" si="0"/>
        <v>7793239</v>
      </c>
      <c r="F17" s="511">
        <v>7793239</v>
      </c>
      <c r="G17" s="512">
        <v>0</v>
      </c>
      <c r="H17" s="513">
        <f t="shared" si="1"/>
        <v>7793239</v>
      </c>
    </row>
    <row r="18" spans="1:8" ht="15.75">
      <c r="A18" s="30">
        <v>10</v>
      </c>
      <c r="B18" s="34" t="s">
        <v>164</v>
      </c>
      <c r="C18" s="509">
        <v>20325454</v>
      </c>
      <c r="D18" s="509"/>
      <c r="E18" s="510">
        <f>C18</f>
        <v>20325454</v>
      </c>
      <c r="F18" s="511">
        <v>21313841</v>
      </c>
      <c r="G18" s="512"/>
      <c r="H18" s="513">
        <f t="shared" si="1"/>
        <v>21313841</v>
      </c>
    </row>
    <row r="19" spans="1:8" ht="15.75">
      <c r="A19" s="30">
        <v>11</v>
      </c>
      <c r="B19" s="34" t="s">
        <v>165</v>
      </c>
      <c r="C19" s="509">
        <v>23313144</v>
      </c>
      <c r="D19" s="509">
        <v>659859</v>
      </c>
      <c r="E19" s="510">
        <f t="shared" si="0"/>
        <v>23973003</v>
      </c>
      <c r="F19" s="511">
        <v>39934611</v>
      </c>
      <c r="G19" s="512">
        <v>4118091</v>
      </c>
      <c r="H19" s="513">
        <f t="shared" si="1"/>
        <v>44052702</v>
      </c>
    </row>
    <row r="20" spans="1:8" ht="15.75">
      <c r="A20" s="30">
        <v>12</v>
      </c>
      <c r="B20" s="36" t="s">
        <v>166</v>
      </c>
      <c r="C20" s="510">
        <f>SUM(C7:C11)+SUM(C14:C19)</f>
        <v>418527960</v>
      </c>
      <c r="D20" s="510">
        <f>SUM(D7:D11)+SUM(D14:D19)</f>
        <v>883887499</v>
      </c>
      <c r="E20" s="510">
        <f t="shared" si="0"/>
        <v>1302415459</v>
      </c>
      <c r="F20" s="510">
        <f>SUM(F7:F11)+SUM(F14:F19)</f>
        <v>443166420</v>
      </c>
      <c r="G20" s="510">
        <f>SUM(G7:G11)+SUM(G14:G19)</f>
        <v>964112183</v>
      </c>
      <c r="H20" s="513">
        <f t="shared" si="1"/>
        <v>1407278603</v>
      </c>
    </row>
    <row r="21" spans="1:8" ht="15.75">
      <c r="A21" s="30"/>
      <c r="B21" s="31" t="s">
        <v>183</v>
      </c>
      <c r="C21" s="514" t="s">
        <v>956</v>
      </c>
      <c r="D21" s="514"/>
      <c r="E21" s="514"/>
      <c r="F21" s="515" t="s">
        <v>956</v>
      </c>
      <c r="G21" s="516"/>
      <c r="H21" s="517"/>
    </row>
    <row r="22" spans="1:8" ht="15.75">
      <c r="A22" s="30">
        <v>13</v>
      </c>
      <c r="B22" s="34" t="s">
        <v>167</v>
      </c>
      <c r="C22" s="509">
        <v>52755</v>
      </c>
      <c r="D22" s="509">
        <v>111101</v>
      </c>
      <c r="E22" s="510">
        <f>C22+D22</f>
        <v>163856</v>
      </c>
      <c r="F22" s="511">
        <v>50507</v>
      </c>
      <c r="G22" s="512">
        <v>111563</v>
      </c>
      <c r="H22" s="513">
        <f t="shared" si="1"/>
        <v>162070</v>
      </c>
    </row>
    <row r="23" spans="1:8" ht="15.75">
      <c r="A23" s="30">
        <v>14</v>
      </c>
      <c r="B23" s="34" t="s">
        <v>168</v>
      </c>
      <c r="C23" s="509">
        <v>49210764</v>
      </c>
      <c r="D23" s="509">
        <v>318155685</v>
      </c>
      <c r="E23" s="510">
        <f t="shared" ref="E23:E30" si="2">C23+D23</f>
        <v>367366449</v>
      </c>
      <c r="F23" s="511">
        <v>48553858</v>
      </c>
      <c r="G23" s="512">
        <v>331732925</v>
      </c>
      <c r="H23" s="513">
        <f t="shared" si="1"/>
        <v>380286783</v>
      </c>
    </row>
    <row r="24" spans="1:8" ht="15.75">
      <c r="A24" s="30">
        <v>15</v>
      </c>
      <c r="B24" s="34" t="s">
        <v>169</v>
      </c>
      <c r="C24" s="509">
        <v>16914900</v>
      </c>
      <c r="D24" s="509">
        <v>73465759</v>
      </c>
      <c r="E24" s="510">
        <f t="shared" si="2"/>
        <v>90380659</v>
      </c>
      <c r="F24" s="511">
        <v>32177447</v>
      </c>
      <c r="G24" s="512">
        <v>46499604</v>
      </c>
      <c r="H24" s="513">
        <f t="shared" si="1"/>
        <v>78677051</v>
      </c>
    </row>
    <row r="25" spans="1:8" ht="15.75">
      <c r="A25" s="30">
        <v>16</v>
      </c>
      <c r="B25" s="34" t="s">
        <v>170</v>
      </c>
      <c r="C25" s="509">
        <v>83345296</v>
      </c>
      <c r="D25" s="509">
        <v>427718245</v>
      </c>
      <c r="E25" s="510">
        <f t="shared" si="2"/>
        <v>511063541</v>
      </c>
      <c r="F25" s="511">
        <v>72017047</v>
      </c>
      <c r="G25" s="512">
        <v>410743858</v>
      </c>
      <c r="H25" s="513">
        <f t="shared" si="1"/>
        <v>482760905</v>
      </c>
    </row>
    <row r="26" spans="1:8" ht="15.75">
      <c r="A26" s="30">
        <v>17</v>
      </c>
      <c r="B26" s="34" t="s">
        <v>171</v>
      </c>
      <c r="C26" s="514"/>
      <c r="D26" s="514"/>
      <c r="E26" s="510">
        <f t="shared" si="2"/>
        <v>0</v>
      </c>
      <c r="F26" s="515"/>
      <c r="G26" s="516"/>
      <c r="H26" s="513">
        <f t="shared" si="1"/>
        <v>0</v>
      </c>
    </row>
    <row r="27" spans="1:8" ht="15.75">
      <c r="A27" s="30">
        <v>18</v>
      </c>
      <c r="B27" s="34" t="s">
        <v>172</v>
      </c>
      <c r="C27" s="509">
        <v>0</v>
      </c>
      <c r="D27" s="509">
        <v>0</v>
      </c>
      <c r="E27" s="510">
        <f t="shared" si="2"/>
        <v>0</v>
      </c>
      <c r="F27" s="511">
        <v>0</v>
      </c>
      <c r="G27" s="512">
        <v>0</v>
      </c>
      <c r="H27" s="513">
        <f t="shared" si="1"/>
        <v>0</v>
      </c>
    </row>
    <row r="28" spans="1:8" ht="15.75">
      <c r="A28" s="30">
        <v>19</v>
      </c>
      <c r="B28" s="34" t="s">
        <v>173</v>
      </c>
      <c r="C28" s="509">
        <v>5240611</v>
      </c>
      <c r="D28" s="509">
        <v>9870025</v>
      </c>
      <c r="E28" s="510">
        <f t="shared" si="2"/>
        <v>15110636</v>
      </c>
      <c r="F28" s="511">
        <v>1972407</v>
      </c>
      <c r="G28" s="512">
        <v>9050724</v>
      </c>
      <c r="H28" s="513">
        <f t="shared" si="1"/>
        <v>11023131</v>
      </c>
    </row>
    <row r="29" spans="1:8" ht="15.75">
      <c r="A29" s="30">
        <v>20</v>
      </c>
      <c r="B29" s="34" t="s">
        <v>95</v>
      </c>
      <c r="C29" s="509">
        <v>12206687</v>
      </c>
      <c r="D29" s="509">
        <v>2346762</v>
      </c>
      <c r="E29" s="510">
        <f t="shared" si="2"/>
        <v>14553449</v>
      </c>
      <c r="F29" s="511">
        <v>22308908</v>
      </c>
      <c r="G29" s="512">
        <v>9430326</v>
      </c>
      <c r="H29" s="513">
        <f t="shared" si="1"/>
        <v>31739234</v>
      </c>
    </row>
    <row r="30" spans="1:8" ht="15.75">
      <c r="A30" s="30">
        <v>21</v>
      </c>
      <c r="B30" s="34" t="s">
        <v>174</v>
      </c>
      <c r="C30" s="509">
        <v>0</v>
      </c>
      <c r="D30" s="509">
        <v>121789200</v>
      </c>
      <c r="E30" s="510">
        <f t="shared" si="2"/>
        <v>121789200</v>
      </c>
      <c r="F30" s="511">
        <v>0</v>
      </c>
      <c r="G30" s="512">
        <v>248557680</v>
      </c>
      <c r="H30" s="513">
        <f t="shared" si="1"/>
        <v>248557680</v>
      </c>
    </row>
    <row r="31" spans="1:8" ht="15.75">
      <c r="A31" s="30">
        <v>22</v>
      </c>
      <c r="B31" s="36" t="s">
        <v>175</v>
      </c>
      <c r="C31" s="510">
        <f>SUM(C22:C30)</f>
        <v>166971013</v>
      </c>
      <c r="D31" s="510">
        <f>SUM(D22:D30)</f>
        <v>953456777</v>
      </c>
      <c r="E31" s="510">
        <f>C31+D31</f>
        <v>1120427790</v>
      </c>
      <c r="F31" s="510">
        <f>SUM(F22:F30)</f>
        <v>177080174</v>
      </c>
      <c r="G31" s="510">
        <f>SUM(G22:G30)</f>
        <v>1056126680</v>
      </c>
      <c r="H31" s="513">
        <f t="shared" si="1"/>
        <v>1233206854</v>
      </c>
    </row>
    <row r="32" spans="1:8" ht="15.75">
      <c r="A32" s="30"/>
      <c r="B32" s="31" t="s">
        <v>184</v>
      </c>
      <c r="C32" s="514"/>
      <c r="D32" s="514"/>
      <c r="E32" s="509"/>
      <c r="F32" s="515"/>
      <c r="G32" s="516"/>
      <c r="H32" s="517"/>
    </row>
    <row r="33" spans="1:8" ht="15.75">
      <c r="A33" s="30">
        <v>23</v>
      </c>
      <c r="B33" s="34" t="s">
        <v>176</v>
      </c>
      <c r="C33" s="509">
        <v>114430000</v>
      </c>
      <c r="D33" s="514"/>
      <c r="E33" s="510">
        <f>C33</f>
        <v>114430000</v>
      </c>
      <c r="F33" s="511">
        <v>114430000</v>
      </c>
      <c r="G33" s="516"/>
      <c r="H33" s="513">
        <f t="shared" si="1"/>
        <v>114430000</v>
      </c>
    </row>
    <row r="34" spans="1:8" ht="15.75">
      <c r="A34" s="30">
        <v>24</v>
      </c>
      <c r="B34" s="34" t="s">
        <v>177</v>
      </c>
      <c r="C34" s="509">
        <v>0</v>
      </c>
      <c r="D34" s="514"/>
      <c r="E34" s="510">
        <f t="shared" ref="E34:E40" si="3">C34</f>
        <v>0</v>
      </c>
      <c r="F34" s="511">
        <v>0</v>
      </c>
      <c r="G34" s="516"/>
      <c r="H34" s="513">
        <f t="shared" si="1"/>
        <v>0</v>
      </c>
    </row>
    <row r="35" spans="1:8" ht="15.75">
      <c r="A35" s="30">
        <v>25</v>
      </c>
      <c r="B35" s="35" t="s">
        <v>178</v>
      </c>
      <c r="C35" s="509">
        <v>0</v>
      </c>
      <c r="D35" s="514"/>
      <c r="E35" s="510">
        <f t="shared" si="3"/>
        <v>0</v>
      </c>
      <c r="F35" s="511">
        <v>0</v>
      </c>
      <c r="G35" s="516"/>
      <c r="H35" s="513">
        <f t="shared" si="1"/>
        <v>0</v>
      </c>
    </row>
    <row r="36" spans="1:8" ht="15.75">
      <c r="A36" s="30">
        <v>26</v>
      </c>
      <c r="B36" s="34" t="s">
        <v>179</v>
      </c>
      <c r="C36" s="509">
        <v>0</v>
      </c>
      <c r="D36" s="514"/>
      <c r="E36" s="510">
        <f t="shared" si="3"/>
        <v>0</v>
      </c>
      <c r="F36" s="511">
        <v>0</v>
      </c>
      <c r="G36" s="516"/>
      <c r="H36" s="513">
        <f t="shared" si="1"/>
        <v>0</v>
      </c>
    </row>
    <row r="37" spans="1:8" ht="15.75">
      <c r="A37" s="30">
        <v>27</v>
      </c>
      <c r="B37" s="34" t="s">
        <v>180</v>
      </c>
      <c r="C37" s="509">
        <v>7438034</v>
      </c>
      <c r="D37" s="514"/>
      <c r="E37" s="510">
        <f t="shared" si="3"/>
        <v>7438034</v>
      </c>
      <c r="F37" s="511">
        <v>7438034</v>
      </c>
      <c r="G37" s="516"/>
      <c r="H37" s="513">
        <f t="shared" si="1"/>
        <v>7438034</v>
      </c>
    </row>
    <row r="38" spans="1:8" ht="15.75">
      <c r="A38" s="30">
        <v>28</v>
      </c>
      <c r="B38" s="34" t="s">
        <v>181</v>
      </c>
      <c r="C38" s="509">
        <v>60371346</v>
      </c>
      <c r="D38" s="514"/>
      <c r="E38" s="510">
        <f t="shared" si="3"/>
        <v>60371346</v>
      </c>
      <c r="F38" s="511">
        <v>52203715</v>
      </c>
      <c r="G38" s="516"/>
      <c r="H38" s="513">
        <f t="shared" si="1"/>
        <v>52203715</v>
      </c>
    </row>
    <row r="39" spans="1:8" ht="15.75">
      <c r="A39" s="30">
        <v>29</v>
      </c>
      <c r="B39" s="34" t="s">
        <v>196</v>
      </c>
      <c r="C39" s="509">
        <v>-251711</v>
      </c>
      <c r="D39" s="514"/>
      <c r="E39" s="510">
        <f t="shared" si="3"/>
        <v>-251711</v>
      </c>
      <c r="F39" s="511">
        <v>0</v>
      </c>
      <c r="G39" s="516"/>
      <c r="H39" s="513">
        <f t="shared" si="1"/>
        <v>0</v>
      </c>
    </row>
    <row r="40" spans="1:8" ht="15.75">
      <c r="A40" s="30">
        <v>30</v>
      </c>
      <c r="B40" s="36" t="s">
        <v>182</v>
      </c>
      <c r="C40" s="509">
        <v>181987669</v>
      </c>
      <c r="D40" s="514"/>
      <c r="E40" s="510">
        <f t="shared" si="3"/>
        <v>181987669</v>
      </c>
      <c r="F40" s="511">
        <v>174071749</v>
      </c>
      <c r="G40" s="516"/>
      <c r="H40" s="513">
        <f t="shared" si="1"/>
        <v>174071749</v>
      </c>
    </row>
    <row r="41" spans="1:8" ht="16.5" thickBot="1">
      <c r="A41" s="37">
        <v>31</v>
      </c>
      <c r="B41" s="38" t="s">
        <v>197</v>
      </c>
      <c r="C41" s="216">
        <f>C31+C40</f>
        <v>348958682</v>
      </c>
      <c r="D41" s="216">
        <f>D31+D40</f>
        <v>953456777</v>
      </c>
      <c r="E41" s="216">
        <f>C41+D41</f>
        <v>1302415459</v>
      </c>
      <c r="F41" s="216">
        <f>F31+F40</f>
        <v>351151923</v>
      </c>
      <c r="G41" s="216">
        <f>G31+G40</f>
        <v>1056126680</v>
      </c>
      <c r="H41" s="217">
        <f>F41+G41</f>
        <v>1407278603</v>
      </c>
    </row>
    <row r="43" spans="1:8">
      <c r="B43" s="3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D236"/>
  <sheetViews>
    <sheetView topLeftCell="A163" zoomScale="85" zoomScaleNormal="85" workbookViewId="0"/>
  </sheetViews>
  <sheetFormatPr defaultColWidth="43.5703125" defaultRowHeight="11.25"/>
  <cols>
    <col min="1" max="1" width="8" style="664" customWidth="1"/>
    <col min="2" max="2" width="66.28515625" style="670" customWidth="1"/>
    <col min="3" max="3" width="131.42578125" style="671" customWidth="1"/>
    <col min="4" max="5" width="10.28515625" style="624" customWidth="1"/>
    <col min="6" max="16384" width="43.5703125" style="624"/>
  </cols>
  <sheetData>
    <row r="1" spans="1:3" ht="12.75" thickTop="1" thickBot="1">
      <c r="A1" s="839" t="s">
        <v>326</v>
      </c>
      <c r="B1" s="840"/>
      <c r="C1" s="841"/>
    </row>
    <row r="2" spans="1:3" ht="26.25" customHeight="1">
      <c r="A2" s="625"/>
      <c r="B2" s="791" t="s">
        <v>327</v>
      </c>
      <c r="C2" s="791"/>
    </row>
    <row r="3" spans="1:3" s="627" customFormat="1" ht="11.25" customHeight="1">
      <c r="A3" s="626"/>
      <c r="B3" s="791" t="s">
        <v>419</v>
      </c>
      <c r="C3" s="791"/>
    </row>
    <row r="4" spans="1:3" ht="12" customHeight="1" thickBot="1">
      <c r="A4" s="822" t="s">
        <v>423</v>
      </c>
      <c r="B4" s="823"/>
      <c r="C4" s="824"/>
    </row>
    <row r="5" spans="1:3" ht="12" thickTop="1">
      <c r="A5" s="628"/>
      <c r="B5" s="825" t="s">
        <v>328</v>
      </c>
      <c r="C5" s="826"/>
    </row>
    <row r="6" spans="1:3">
      <c r="A6" s="625"/>
      <c r="B6" s="795" t="s">
        <v>420</v>
      </c>
      <c r="C6" s="796"/>
    </row>
    <row r="7" spans="1:3">
      <c r="A7" s="625"/>
      <c r="B7" s="795" t="s">
        <v>329</v>
      </c>
      <c r="C7" s="796"/>
    </row>
    <row r="8" spans="1:3">
      <c r="A8" s="625"/>
      <c r="B8" s="795" t="s">
        <v>421</v>
      </c>
      <c r="C8" s="796"/>
    </row>
    <row r="9" spans="1:3">
      <c r="A9" s="625"/>
      <c r="B9" s="837" t="s">
        <v>422</v>
      </c>
      <c r="C9" s="838"/>
    </row>
    <row r="10" spans="1:3">
      <c r="A10" s="625"/>
      <c r="B10" s="827" t="s">
        <v>330</v>
      </c>
      <c r="C10" s="828" t="s">
        <v>330</v>
      </c>
    </row>
    <row r="11" spans="1:3">
      <c r="A11" s="625"/>
      <c r="B11" s="827" t="s">
        <v>331</v>
      </c>
      <c r="C11" s="828" t="s">
        <v>331</v>
      </c>
    </row>
    <row r="12" spans="1:3">
      <c r="A12" s="625"/>
      <c r="B12" s="827" t="s">
        <v>332</v>
      </c>
      <c r="C12" s="828" t="s">
        <v>332</v>
      </c>
    </row>
    <row r="13" spans="1:3">
      <c r="A13" s="625"/>
      <c r="B13" s="827" t="s">
        <v>333</v>
      </c>
      <c r="C13" s="828" t="s">
        <v>333</v>
      </c>
    </row>
    <row r="14" spans="1:3">
      <c r="A14" s="625"/>
      <c r="B14" s="827" t="s">
        <v>334</v>
      </c>
      <c r="C14" s="828" t="s">
        <v>334</v>
      </c>
    </row>
    <row r="15" spans="1:3" ht="21.75" customHeight="1">
      <c r="A15" s="625"/>
      <c r="B15" s="827" t="s">
        <v>335</v>
      </c>
      <c r="C15" s="828" t="s">
        <v>335</v>
      </c>
    </row>
    <row r="16" spans="1:3">
      <c r="A16" s="625"/>
      <c r="B16" s="827" t="s">
        <v>336</v>
      </c>
      <c r="C16" s="828" t="s">
        <v>337</v>
      </c>
    </row>
    <row r="17" spans="1:3">
      <c r="A17" s="625"/>
      <c r="B17" s="827" t="s">
        <v>338</v>
      </c>
      <c r="C17" s="828" t="s">
        <v>339</v>
      </c>
    </row>
    <row r="18" spans="1:3">
      <c r="A18" s="625"/>
      <c r="B18" s="827" t="s">
        <v>340</v>
      </c>
      <c r="C18" s="828" t="s">
        <v>341</v>
      </c>
    </row>
    <row r="19" spans="1:3">
      <c r="A19" s="625"/>
      <c r="B19" s="827" t="s">
        <v>342</v>
      </c>
      <c r="C19" s="828" t="s">
        <v>342</v>
      </c>
    </row>
    <row r="20" spans="1:3">
      <c r="A20" s="625"/>
      <c r="B20" s="827" t="s">
        <v>343</v>
      </c>
      <c r="C20" s="828" t="s">
        <v>343</v>
      </c>
    </row>
    <row r="21" spans="1:3">
      <c r="A21" s="625"/>
      <c r="B21" s="827" t="s">
        <v>344</v>
      </c>
      <c r="C21" s="828" t="s">
        <v>344</v>
      </c>
    </row>
    <row r="22" spans="1:3" ht="23.25" customHeight="1">
      <c r="A22" s="625"/>
      <c r="B22" s="827" t="s">
        <v>345</v>
      </c>
      <c r="C22" s="828" t="s">
        <v>346</v>
      </c>
    </row>
    <row r="23" spans="1:3">
      <c r="A23" s="625"/>
      <c r="B23" s="827" t="s">
        <v>347</v>
      </c>
      <c r="C23" s="828" t="s">
        <v>347</v>
      </c>
    </row>
    <row r="24" spans="1:3">
      <c r="A24" s="625"/>
      <c r="B24" s="827" t="s">
        <v>348</v>
      </c>
      <c r="C24" s="828" t="s">
        <v>349</v>
      </c>
    </row>
    <row r="25" spans="1:3" ht="12" thickBot="1">
      <c r="A25" s="629"/>
      <c r="B25" s="831" t="s">
        <v>350</v>
      </c>
      <c r="C25" s="832"/>
    </row>
    <row r="26" spans="1:3" ht="12.75" thickTop="1" thickBot="1">
      <c r="A26" s="822" t="s">
        <v>433</v>
      </c>
      <c r="B26" s="823"/>
      <c r="C26" s="824"/>
    </row>
    <row r="27" spans="1:3" ht="12.75" thickTop="1" thickBot="1">
      <c r="A27" s="630"/>
      <c r="B27" s="833" t="s">
        <v>351</v>
      </c>
      <c r="C27" s="834"/>
    </row>
    <row r="28" spans="1:3" ht="12.75" thickTop="1" thickBot="1">
      <c r="A28" s="822" t="s">
        <v>424</v>
      </c>
      <c r="B28" s="823"/>
      <c r="C28" s="824"/>
    </row>
    <row r="29" spans="1:3" ht="12" thickTop="1">
      <c r="A29" s="628"/>
      <c r="B29" s="835" t="s">
        <v>352</v>
      </c>
      <c r="C29" s="836" t="s">
        <v>353</v>
      </c>
    </row>
    <row r="30" spans="1:3">
      <c r="A30" s="625"/>
      <c r="B30" s="813" t="s">
        <v>354</v>
      </c>
      <c r="C30" s="814" t="s">
        <v>355</v>
      </c>
    </row>
    <row r="31" spans="1:3">
      <c r="A31" s="625"/>
      <c r="B31" s="813" t="s">
        <v>356</v>
      </c>
      <c r="C31" s="814" t="s">
        <v>357</v>
      </c>
    </row>
    <row r="32" spans="1:3">
      <c r="A32" s="625"/>
      <c r="B32" s="813" t="s">
        <v>358</v>
      </c>
      <c r="C32" s="814" t="s">
        <v>359</v>
      </c>
    </row>
    <row r="33" spans="1:3">
      <c r="A33" s="625"/>
      <c r="B33" s="813" t="s">
        <v>360</v>
      </c>
      <c r="C33" s="814" t="s">
        <v>361</v>
      </c>
    </row>
    <row r="34" spans="1:3">
      <c r="A34" s="625"/>
      <c r="B34" s="813" t="s">
        <v>362</v>
      </c>
      <c r="C34" s="814" t="s">
        <v>363</v>
      </c>
    </row>
    <row r="35" spans="1:3" ht="23.25" customHeight="1">
      <c r="A35" s="625"/>
      <c r="B35" s="813" t="s">
        <v>364</v>
      </c>
      <c r="C35" s="814" t="s">
        <v>365</v>
      </c>
    </row>
    <row r="36" spans="1:3" ht="24" customHeight="1">
      <c r="A36" s="625"/>
      <c r="B36" s="813" t="s">
        <v>366</v>
      </c>
      <c r="C36" s="814" t="s">
        <v>367</v>
      </c>
    </row>
    <row r="37" spans="1:3" ht="24.75" customHeight="1">
      <c r="A37" s="625"/>
      <c r="B37" s="813" t="s">
        <v>368</v>
      </c>
      <c r="C37" s="814" t="s">
        <v>369</v>
      </c>
    </row>
    <row r="38" spans="1:3" ht="23.25" customHeight="1">
      <c r="A38" s="625"/>
      <c r="B38" s="813" t="s">
        <v>425</v>
      </c>
      <c r="C38" s="814" t="s">
        <v>370</v>
      </c>
    </row>
    <row r="39" spans="1:3" ht="39.75" customHeight="1">
      <c r="A39" s="625"/>
      <c r="B39" s="827" t="s">
        <v>439</v>
      </c>
      <c r="C39" s="828" t="s">
        <v>371</v>
      </c>
    </row>
    <row r="40" spans="1:3" ht="12" customHeight="1">
      <c r="A40" s="625"/>
      <c r="B40" s="813" t="s">
        <v>372</v>
      </c>
      <c r="C40" s="814" t="s">
        <v>373</v>
      </c>
    </row>
    <row r="41" spans="1:3" ht="27" customHeight="1" thickBot="1">
      <c r="A41" s="629"/>
      <c r="B41" s="829" t="s">
        <v>374</v>
      </c>
      <c r="C41" s="830" t="s">
        <v>375</v>
      </c>
    </row>
    <row r="42" spans="1:3" ht="12.75" thickTop="1" thickBot="1">
      <c r="A42" s="822" t="s">
        <v>426</v>
      </c>
      <c r="B42" s="823"/>
      <c r="C42" s="824"/>
    </row>
    <row r="43" spans="1:3" ht="12" thickTop="1">
      <c r="A43" s="628"/>
      <c r="B43" s="825" t="s">
        <v>462</v>
      </c>
      <c r="C43" s="826" t="s">
        <v>376</v>
      </c>
    </row>
    <row r="44" spans="1:3">
      <c r="A44" s="625"/>
      <c r="B44" s="795" t="s">
        <v>461</v>
      </c>
      <c r="C44" s="796"/>
    </row>
    <row r="45" spans="1:3" ht="23.25" customHeight="1" thickBot="1">
      <c r="A45" s="629"/>
      <c r="B45" s="820" t="s">
        <v>377</v>
      </c>
      <c r="C45" s="821" t="s">
        <v>378</v>
      </c>
    </row>
    <row r="46" spans="1:3" ht="11.25" customHeight="1" thickTop="1" thickBot="1">
      <c r="A46" s="822" t="s">
        <v>427</v>
      </c>
      <c r="B46" s="823"/>
      <c r="C46" s="824"/>
    </row>
    <row r="47" spans="1:3" ht="26.25" customHeight="1" thickTop="1">
      <c r="A47" s="625"/>
      <c r="B47" s="795" t="s">
        <v>428</v>
      </c>
      <c r="C47" s="796"/>
    </row>
    <row r="48" spans="1:3" ht="12" thickBot="1">
      <c r="A48" s="822" t="s">
        <v>429</v>
      </c>
      <c r="B48" s="823"/>
      <c r="C48" s="824"/>
    </row>
    <row r="49" spans="1:3" ht="12" thickTop="1">
      <c r="A49" s="628"/>
      <c r="B49" s="825" t="s">
        <v>379</v>
      </c>
      <c r="C49" s="826" t="s">
        <v>379</v>
      </c>
    </row>
    <row r="50" spans="1:3" ht="11.25" customHeight="1">
      <c r="A50" s="625"/>
      <c r="B50" s="795" t="s">
        <v>380</v>
      </c>
      <c r="C50" s="796" t="s">
        <v>380</v>
      </c>
    </row>
    <row r="51" spans="1:3">
      <c r="A51" s="625"/>
      <c r="B51" s="795" t="s">
        <v>381</v>
      </c>
      <c r="C51" s="796" t="s">
        <v>381</v>
      </c>
    </row>
    <row r="52" spans="1:3" ht="11.25" customHeight="1">
      <c r="A52" s="625"/>
      <c r="B52" s="795" t="s">
        <v>489</v>
      </c>
      <c r="C52" s="796" t="s">
        <v>382</v>
      </c>
    </row>
    <row r="53" spans="1:3" ht="33.6" customHeight="1">
      <c r="A53" s="625"/>
      <c r="B53" s="795" t="s">
        <v>383</v>
      </c>
      <c r="C53" s="796" t="s">
        <v>383</v>
      </c>
    </row>
    <row r="54" spans="1:3" ht="11.25" customHeight="1">
      <c r="A54" s="625"/>
      <c r="B54" s="795" t="s">
        <v>482</v>
      </c>
      <c r="C54" s="796" t="s">
        <v>384</v>
      </c>
    </row>
    <row r="55" spans="1:3" ht="11.25" customHeight="1" thickBot="1">
      <c r="A55" s="822" t="s">
        <v>430</v>
      </c>
      <c r="B55" s="823"/>
      <c r="C55" s="824"/>
    </row>
    <row r="56" spans="1:3" ht="12" thickTop="1">
      <c r="A56" s="628"/>
      <c r="B56" s="825" t="s">
        <v>379</v>
      </c>
      <c r="C56" s="826" t="s">
        <v>379</v>
      </c>
    </row>
    <row r="57" spans="1:3">
      <c r="A57" s="625"/>
      <c r="B57" s="795" t="s">
        <v>385</v>
      </c>
      <c r="C57" s="796" t="s">
        <v>385</v>
      </c>
    </row>
    <row r="58" spans="1:3">
      <c r="A58" s="625"/>
      <c r="B58" s="795" t="s">
        <v>436</v>
      </c>
      <c r="C58" s="796" t="s">
        <v>386</v>
      </c>
    </row>
    <row r="59" spans="1:3">
      <c r="A59" s="625"/>
      <c r="B59" s="795" t="s">
        <v>387</v>
      </c>
      <c r="C59" s="796" t="s">
        <v>387</v>
      </c>
    </row>
    <row r="60" spans="1:3">
      <c r="A60" s="625"/>
      <c r="B60" s="795" t="s">
        <v>388</v>
      </c>
      <c r="C60" s="796" t="s">
        <v>388</v>
      </c>
    </row>
    <row r="61" spans="1:3">
      <c r="A61" s="625"/>
      <c r="B61" s="795" t="s">
        <v>389</v>
      </c>
      <c r="C61" s="796" t="s">
        <v>389</v>
      </c>
    </row>
    <row r="62" spans="1:3">
      <c r="A62" s="625"/>
      <c r="B62" s="795" t="s">
        <v>437</v>
      </c>
      <c r="C62" s="796" t="s">
        <v>390</v>
      </c>
    </row>
    <row r="63" spans="1:3">
      <c r="A63" s="625"/>
      <c r="B63" s="795" t="s">
        <v>391</v>
      </c>
      <c r="C63" s="796" t="s">
        <v>391</v>
      </c>
    </row>
    <row r="64" spans="1:3" ht="12" thickBot="1">
      <c r="A64" s="629"/>
      <c r="B64" s="820" t="s">
        <v>392</v>
      </c>
      <c r="C64" s="821" t="s">
        <v>392</v>
      </c>
    </row>
    <row r="65" spans="1:3" ht="11.25" customHeight="1" thickTop="1">
      <c r="A65" s="808" t="s">
        <v>431</v>
      </c>
      <c r="B65" s="809"/>
      <c r="C65" s="810"/>
    </row>
    <row r="66" spans="1:3" ht="12" thickBot="1">
      <c r="A66" s="629"/>
      <c r="B66" s="820" t="s">
        <v>393</v>
      </c>
      <c r="C66" s="821" t="s">
        <v>393</v>
      </c>
    </row>
    <row r="67" spans="1:3" ht="11.25" customHeight="1" thickTop="1" thickBot="1">
      <c r="A67" s="822" t="s">
        <v>432</v>
      </c>
      <c r="B67" s="823"/>
      <c r="C67" s="824"/>
    </row>
    <row r="68" spans="1:3" ht="12" thickTop="1">
      <c r="A68" s="628"/>
      <c r="B68" s="825" t="s">
        <v>394</v>
      </c>
      <c r="C68" s="826" t="s">
        <v>394</v>
      </c>
    </row>
    <row r="69" spans="1:3">
      <c r="A69" s="625"/>
      <c r="B69" s="795" t="s">
        <v>395</v>
      </c>
      <c r="C69" s="796" t="s">
        <v>395</v>
      </c>
    </row>
    <row r="70" spans="1:3">
      <c r="A70" s="625"/>
      <c r="B70" s="795" t="s">
        <v>396</v>
      </c>
      <c r="C70" s="796" t="s">
        <v>396</v>
      </c>
    </row>
    <row r="71" spans="1:3" ht="55.15" customHeight="1">
      <c r="A71" s="625"/>
      <c r="B71" s="818" t="s">
        <v>1020</v>
      </c>
      <c r="C71" s="819" t="s">
        <v>397</v>
      </c>
    </row>
    <row r="72" spans="1:3" ht="33.75" customHeight="1">
      <c r="A72" s="625"/>
      <c r="B72" s="818" t="s">
        <v>441</v>
      </c>
      <c r="C72" s="819" t="s">
        <v>398</v>
      </c>
    </row>
    <row r="73" spans="1:3" ht="15.75" customHeight="1">
      <c r="A73" s="625"/>
      <c r="B73" s="818" t="s">
        <v>438</v>
      </c>
      <c r="C73" s="819" t="s">
        <v>399</v>
      </c>
    </row>
    <row r="74" spans="1:3">
      <c r="A74" s="625"/>
      <c r="B74" s="795" t="s">
        <v>400</v>
      </c>
      <c r="C74" s="796" t="s">
        <v>400</v>
      </c>
    </row>
    <row r="75" spans="1:3" ht="12" thickBot="1">
      <c r="A75" s="629"/>
      <c r="B75" s="820" t="s">
        <v>401</v>
      </c>
      <c r="C75" s="821" t="s">
        <v>401</v>
      </c>
    </row>
    <row r="76" spans="1:3" ht="12" thickTop="1">
      <c r="A76" s="808" t="s">
        <v>465</v>
      </c>
      <c r="B76" s="809"/>
      <c r="C76" s="810"/>
    </row>
    <row r="77" spans="1:3">
      <c r="A77" s="625"/>
      <c r="B77" s="795" t="s">
        <v>393</v>
      </c>
      <c r="C77" s="796"/>
    </row>
    <row r="78" spans="1:3">
      <c r="A78" s="625"/>
      <c r="B78" s="795" t="s">
        <v>463</v>
      </c>
      <c r="C78" s="796"/>
    </row>
    <row r="79" spans="1:3">
      <c r="A79" s="625"/>
      <c r="B79" s="795" t="s">
        <v>464</v>
      </c>
      <c r="C79" s="796"/>
    </row>
    <row r="80" spans="1:3">
      <c r="A80" s="808" t="s">
        <v>466</v>
      </c>
      <c r="B80" s="809"/>
      <c r="C80" s="810"/>
    </row>
    <row r="81" spans="1:3">
      <c r="A81" s="625"/>
      <c r="B81" s="795" t="s">
        <v>393</v>
      </c>
      <c r="C81" s="796"/>
    </row>
    <row r="82" spans="1:3">
      <c r="A82" s="625"/>
      <c r="B82" s="795" t="s">
        <v>467</v>
      </c>
      <c r="C82" s="796"/>
    </row>
    <row r="83" spans="1:3" ht="76.5" customHeight="1">
      <c r="A83" s="625"/>
      <c r="B83" s="795" t="s">
        <v>481</v>
      </c>
      <c r="C83" s="796"/>
    </row>
    <row r="84" spans="1:3" ht="53.25" customHeight="1">
      <c r="A84" s="625"/>
      <c r="B84" s="795" t="s">
        <v>480</v>
      </c>
      <c r="C84" s="796"/>
    </row>
    <row r="85" spans="1:3">
      <c r="A85" s="625"/>
      <c r="B85" s="795" t="s">
        <v>468</v>
      </c>
      <c r="C85" s="796"/>
    </row>
    <row r="86" spans="1:3">
      <c r="A86" s="625"/>
      <c r="B86" s="795" t="s">
        <v>469</v>
      </c>
      <c r="C86" s="796"/>
    </row>
    <row r="87" spans="1:3">
      <c r="A87" s="625"/>
      <c r="B87" s="795" t="s">
        <v>470</v>
      </c>
      <c r="C87" s="796"/>
    </row>
    <row r="88" spans="1:3">
      <c r="A88" s="808" t="s">
        <v>471</v>
      </c>
      <c r="B88" s="809"/>
      <c r="C88" s="810"/>
    </row>
    <row r="89" spans="1:3">
      <c r="A89" s="625"/>
      <c r="B89" s="795" t="s">
        <v>393</v>
      </c>
      <c r="C89" s="796"/>
    </row>
    <row r="90" spans="1:3">
      <c r="A90" s="625"/>
      <c r="B90" s="795" t="s">
        <v>473</v>
      </c>
      <c r="C90" s="796"/>
    </row>
    <row r="91" spans="1:3" ht="12" customHeight="1">
      <c r="A91" s="625"/>
      <c r="B91" s="795" t="s">
        <v>474</v>
      </c>
      <c r="C91" s="796"/>
    </row>
    <row r="92" spans="1:3">
      <c r="A92" s="625"/>
      <c r="B92" s="795" t="s">
        <v>475</v>
      </c>
      <c r="C92" s="796"/>
    </row>
    <row r="93" spans="1:3" ht="24.75" customHeight="1">
      <c r="A93" s="625"/>
      <c r="B93" s="811" t="s">
        <v>517</v>
      </c>
      <c r="C93" s="812"/>
    </row>
    <row r="94" spans="1:3" ht="24" customHeight="1">
      <c r="A94" s="625"/>
      <c r="B94" s="811" t="s">
        <v>518</v>
      </c>
      <c r="C94" s="812"/>
    </row>
    <row r="95" spans="1:3" ht="13.5" customHeight="1">
      <c r="A95" s="625"/>
      <c r="B95" s="813" t="s">
        <v>476</v>
      </c>
      <c r="C95" s="814"/>
    </row>
    <row r="96" spans="1:3" ht="11.25" customHeight="1" thickBot="1">
      <c r="A96" s="815" t="s">
        <v>513</v>
      </c>
      <c r="B96" s="816"/>
      <c r="C96" s="817"/>
    </row>
    <row r="97" spans="1:3" ht="12.75" thickTop="1" thickBot="1">
      <c r="A97" s="807" t="s">
        <v>402</v>
      </c>
      <c r="B97" s="807"/>
      <c r="C97" s="807"/>
    </row>
    <row r="98" spans="1:3">
      <c r="A98" s="631">
        <v>2</v>
      </c>
      <c r="B98" s="632" t="s">
        <v>493</v>
      </c>
      <c r="C98" s="632" t="s">
        <v>514</v>
      </c>
    </row>
    <row r="99" spans="1:3">
      <c r="A99" s="633">
        <v>3</v>
      </c>
      <c r="B99" s="634" t="s">
        <v>494</v>
      </c>
      <c r="C99" s="635" t="s">
        <v>515</v>
      </c>
    </row>
    <row r="100" spans="1:3">
      <c r="A100" s="633">
        <v>4</v>
      </c>
      <c r="B100" s="634" t="s">
        <v>495</v>
      </c>
      <c r="C100" s="635" t="s">
        <v>519</v>
      </c>
    </row>
    <row r="101" spans="1:3" ht="11.25" customHeight="1">
      <c r="A101" s="633">
        <v>5</v>
      </c>
      <c r="B101" s="634" t="s">
        <v>496</v>
      </c>
      <c r="C101" s="635" t="s">
        <v>516</v>
      </c>
    </row>
    <row r="102" spans="1:3" ht="12" customHeight="1">
      <c r="A102" s="633">
        <v>6</v>
      </c>
      <c r="B102" s="634" t="s">
        <v>511</v>
      </c>
      <c r="C102" s="635" t="s">
        <v>497</v>
      </c>
    </row>
    <row r="103" spans="1:3" ht="12" customHeight="1">
      <c r="A103" s="633">
        <v>7</v>
      </c>
      <c r="B103" s="634" t="s">
        <v>498</v>
      </c>
      <c r="C103" s="635" t="s">
        <v>512</v>
      </c>
    </row>
    <row r="104" spans="1:3">
      <c r="A104" s="633">
        <v>8</v>
      </c>
      <c r="B104" s="634" t="s">
        <v>503</v>
      </c>
      <c r="C104" s="635" t="s">
        <v>523</v>
      </c>
    </row>
    <row r="105" spans="1:3" ht="11.25" customHeight="1">
      <c r="A105" s="808" t="s">
        <v>477</v>
      </c>
      <c r="B105" s="809"/>
      <c r="C105" s="810"/>
    </row>
    <row r="106" spans="1:3" ht="12" customHeight="1">
      <c r="A106" s="625"/>
      <c r="B106" s="795" t="s">
        <v>393</v>
      </c>
      <c r="C106" s="796"/>
    </row>
    <row r="107" spans="1:3">
      <c r="A107" s="808" t="s">
        <v>660</v>
      </c>
      <c r="B107" s="809"/>
      <c r="C107" s="810"/>
    </row>
    <row r="108" spans="1:3" ht="12" customHeight="1">
      <c r="A108" s="625"/>
      <c r="B108" s="795" t="s">
        <v>662</v>
      </c>
      <c r="C108" s="796"/>
    </row>
    <row r="109" spans="1:3">
      <c r="A109" s="625"/>
      <c r="B109" s="795" t="s">
        <v>663</v>
      </c>
      <c r="C109" s="796"/>
    </row>
    <row r="110" spans="1:3">
      <c r="A110" s="625"/>
      <c r="B110" s="795" t="s">
        <v>661</v>
      </c>
      <c r="C110" s="796"/>
    </row>
    <row r="111" spans="1:3">
      <c r="A111" s="787" t="s">
        <v>1021</v>
      </c>
      <c r="B111" s="787"/>
      <c r="C111" s="787"/>
    </row>
    <row r="112" spans="1:3">
      <c r="A112" s="804" t="s">
        <v>326</v>
      </c>
      <c r="B112" s="804"/>
      <c r="C112" s="804"/>
    </row>
    <row r="113" spans="1:3">
      <c r="A113" s="636">
        <v>1</v>
      </c>
      <c r="B113" s="799" t="s">
        <v>837</v>
      </c>
      <c r="C113" s="800"/>
    </row>
    <row r="114" spans="1:3">
      <c r="A114" s="636">
        <v>2</v>
      </c>
      <c r="B114" s="805" t="s">
        <v>838</v>
      </c>
      <c r="C114" s="806"/>
    </row>
    <row r="115" spans="1:3">
      <c r="A115" s="636">
        <v>3</v>
      </c>
      <c r="B115" s="799" t="s">
        <v>839</v>
      </c>
      <c r="C115" s="800"/>
    </row>
    <row r="116" spans="1:3">
      <c r="A116" s="636">
        <v>4</v>
      </c>
      <c r="B116" s="799" t="s">
        <v>840</v>
      </c>
      <c r="C116" s="800"/>
    </row>
    <row r="117" spans="1:3">
      <c r="A117" s="636">
        <v>5</v>
      </c>
      <c r="B117" s="799" t="s">
        <v>841</v>
      </c>
      <c r="C117" s="800"/>
    </row>
    <row r="118" spans="1:3" ht="55.5" customHeight="1">
      <c r="A118" s="636">
        <v>6</v>
      </c>
      <c r="B118" s="799" t="s">
        <v>949</v>
      </c>
      <c r="C118" s="800"/>
    </row>
    <row r="119" spans="1:3" ht="22.5">
      <c r="A119" s="636">
        <v>6.01</v>
      </c>
      <c r="B119" s="637" t="s">
        <v>696</v>
      </c>
      <c r="C119" s="638" t="s">
        <v>950</v>
      </c>
    </row>
    <row r="120" spans="1:3" ht="33.75">
      <c r="A120" s="636">
        <v>6.02</v>
      </c>
      <c r="B120" s="637" t="s">
        <v>697</v>
      </c>
      <c r="C120" s="638" t="s">
        <v>1022</v>
      </c>
    </row>
    <row r="121" spans="1:3">
      <c r="A121" s="636">
        <v>6.03</v>
      </c>
      <c r="B121" s="638" t="s">
        <v>698</v>
      </c>
      <c r="C121" s="638" t="s">
        <v>842</v>
      </c>
    </row>
    <row r="122" spans="1:3">
      <c r="A122" s="636">
        <v>6.04</v>
      </c>
      <c r="B122" s="637" t="s">
        <v>699</v>
      </c>
      <c r="C122" s="639" t="s">
        <v>843</v>
      </c>
    </row>
    <row r="123" spans="1:3">
      <c r="A123" s="636">
        <v>6.05</v>
      </c>
      <c r="B123" s="637" t="s">
        <v>700</v>
      </c>
      <c r="C123" s="639" t="s">
        <v>844</v>
      </c>
    </row>
    <row r="124" spans="1:3" ht="22.5">
      <c r="A124" s="636">
        <v>6.06</v>
      </c>
      <c r="B124" s="637" t="s">
        <v>701</v>
      </c>
      <c r="C124" s="639" t="s">
        <v>845</v>
      </c>
    </row>
    <row r="125" spans="1:3">
      <c r="A125" s="636">
        <v>6.07</v>
      </c>
      <c r="B125" s="640" t="s">
        <v>702</v>
      </c>
      <c r="C125" s="639" t="s">
        <v>846</v>
      </c>
    </row>
    <row r="126" spans="1:3" ht="22.5">
      <c r="A126" s="636">
        <v>6.08</v>
      </c>
      <c r="B126" s="637" t="s">
        <v>703</v>
      </c>
      <c r="C126" s="639" t="s">
        <v>847</v>
      </c>
    </row>
    <row r="127" spans="1:3" ht="22.5">
      <c r="A127" s="636">
        <v>6.09</v>
      </c>
      <c r="B127" s="641" t="s">
        <v>704</v>
      </c>
      <c r="C127" s="639" t="s">
        <v>848</v>
      </c>
    </row>
    <row r="128" spans="1:3">
      <c r="A128" s="480">
        <v>6.1</v>
      </c>
      <c r="B128" s="641" t="s">
        <v>705</v>
      </c>
      <c r="C128" s="639" t="s">
        <v>849</v>
      </c>
    </row>
    <row r="129" spans="1:3">
      <c r="A129" s="636">
        <v>6.11</v>
      </c>
      <c r="B129" s="641" t="s">
        <v>706</v>
      </c>
      <c r="C129" s="639" t="s">
        <v>850</v>
      </c>
    </row>
    <row r="130" spans="1:3">
      <c r="A130" s="636">
        <v>6.12</v>
      </c>
      <c r="B130" s="641" t="s">
        <v>707</v>
      </c>
      <c r="C130" s="639" t="s">
        <v>851</v>
      </c>
    </row>
    <row r="131" spans="1:3">
      <c r="A131" s="636">
        <v>6.13</v>
      </c>
      <c r="B131" s="641" t="s">
        <v>708</v>
      </c>
      <c r="C131" s="638" t="s">
        <v>852</v>
      </c>
    </row>
    <row r="132" spans="1:3">
      <c r="A132" s="636">
        <v>6.14</v>
      </c>
      <c r="B132" s="641" t="s">
        <v>709</v>
      </c>
      <c r="C132" s="638" t="s">
        <v>853</v>
      </c>
    </row>
    <row r="133" spans="1:3">
      <c r="A133" s="636">
        <v>6.15</v>
      </c>
      <c r="B133" s="641" t="s">
        <v>710</v>
      </c>
      <c r="C133" s="638" t="s">
        <v>854</v>
      </c>
    </row>
    <row r="134" spans="1:3" ht="22.5">
      <c r="A134" s="636">
        <v>6.16</v>
      </c>
      <c r="B134" s="641" t="s">
        <v>711</v>
      </c>
      <c r="C134" s="638" t="s">
        <v>855</v>
      </c>
    </row>
    <row r="135" spans="1:3">
      <c r="A135" s="636">
        <v>6.17</v>
      </c>
      <c r="B135" s="638" t="s">
        <v>712</v>
      </c>
      <c r="C135" s="638" t="s">
        <v>856</v>
      </c>
    </row>
    <row r="136" spans="1:3" ht="22.5">
      <c r="A136" s="636">
        <v>6.18</v>
      </c>
      <c r="B136" s="641" t="s">
        <v>713</v>
      </c>
      <c r="C136" s="638" t="s">
        <v>857</v>
      </c>
    </row>
    <row r="137" spans="1:3">
      <c r="A137" s="636">
        <v>6.19</v>
      </c>
      <c r="B137" s="641" t="s">
        <v>714</v>
      </c>
      <c r="C137" s="638" t="s">
        <v>858</v>
      </c>
    </row>
    <row r="138" spans="1:3">
      <c r="A138" s="480">
        <v>6.2</v>
      </c>
      <c r="B138" s="641" t="s">
        <v>715</v>
      </c>
      <c r="C138" s="638" t="s">
        <v>859</v>
      </c>
    </row>
    <row r="139" spans="1:3">
      <c r="A139" s="636">
        <v>6.21</v>
      </c>
      <c r="B139" s="641" t="s">
        <v>716</v>
      </c>
      <c r="C139" s="638" t="s">
        <v>860</v>
      </c>
    </row>
    <row r="140" spans="1:3">
      <c r="A140" s="636">
        <v>6.22</v>
      </c>
      <c r="B140" s="641" t="s">
        <v>717</v>
      </c>
      <c r="C140" s="638" t="s">
        <v>861</v>
      </c>
    </row>
    <row r="141" spans="1:3" ht="22.5">
      <c r="A141" s="636">
        <v>6.23</v>
      </c>
      <c r="B141" s="641" t="s">
        <v>718</v>
      </c>
      <c r="C141" s="638" t="s">
        <v>862</v>
      </c>
    </row>
    <row r="142" spans="1:3" ht="22.5">
      <c r="A142" s="636">
        <v>6.24</v>
      </c>
      <c r="B142" s="637" t="s">
        <v>719</v>
      </c>
      <c r="C142" s="638" t="s">
        <v>863</v>
      </c>
    </row>
    <row r="143" spans="1:3">
      <c r="A143" s="636">
        <v>6.2500000000000098</v>
      </c>
      <c r="B143" s="637" t="s">
        <v>720</v>
      </c>
      <c r="C143" s="638" t="s">
        <v>864</v>
      </c>
    </row>
    <row r="144" spans="1:3" ht="22.5">
      <c r="A144" s="636">
        <v>6.2600000000000202</v>
      </c>
      <c r="B144" s="637" t="s">
        <v>865</v>
      </c>
      <c r="C144" s="642" t="s">
        <v>866</v>
      </c>
    </row>
    <row r="145" spans="1:3" ht="22.5">
      <c r="A145" s="636">
        <v>6.2700000000000298</v>
      </c>
      <c r="B145" s="637" t="s">
        <v>165</v>
      </c>
      <c r="C145" s="642" t="s">
        <v>952</v>
      </c>
    </row>
    <row r="146" spans="1:3">
      <c r="A146" s="636"/>
      <c r="B146" s="793" t="s">
        <v>867</v>
      </c>
      <c r="C146" s="794"/>
    </row>
    <row r="147" spans="1:3" s="644" customFormat="1">
      <c r="A147" s="643">
        <v>7.1</v>
      </c>
      <c r="B147" s="637" t="s">
        <v>868</v>
      </c>
      <c r="C147" s="801" t="s">
        <v>869</v>
      </c>
    </row>
    <row r="148" spans="1:3" s="644" customFormat="1">
      <c r="A148" s="643">
        <v>7.2</v>
      </c>
      <c r="B148" s="637" t="s">
        <v>870</v>
      </c>
      <c r="C148" s="802"/>
    </row>
    <row r="149" spans="1:3" s="644" customFormat="1">
      <c r="A149" s="643">
        <v>7.3</v>
      </c>
      <c r="B149" s="637" t="s">
        <v>871</v>
      </c>
      <c r="C149" s="802"/>
    </row>
    <row r="150" spans="1:3" s="644" customFormat="1">
      <c r="A150" s="643">
        <v>7.4</v>
      </c>
      <c r="B150" s="637" t="s">
        <v>872</v>
      </c>
      <c r="C150" s="802"/>
    </row>
    <row r="151" spans="1:3" s="644" customFormat="1">
      <c r="A151" s="643">
        <v>7.5</v>
      </c>
      <c r="B151" s="637" t="s">
        <v>873</v>
      </c>
      <c r="C151" s="802"/>
    </row>
    <row r="152" spans="1:3" s="644" customFormat="1">
      <c r="A152" s="643">
        <v>7.6</v>
      </c>
      <c r="B152" s="637" t="s">
        <v>945</v>
      </c>
      <c r="C152" s="803"/>
    </row>
    <row r="153" spans="1:3" s="644" customFormat="1" ht="22.5">
      <c r="A153" s="643">
        <v>7.7</v>
      </c>
      <c r="B153" s="637" t="s">
        <v>874</v>
      </c>
      <c r="C153" s="645" t="s">
        <v>875</v>
      </c>
    </row>
    <row r="154" spans="1:3" s="644" customFormat="1" ht="22.5">
      <c r="A154" s="643">
        <v>7.8</v>
      </c>
      <c r="B154" s="637" t="s">
        <v>876</v>
      </c>
      <c r="C154" s="645" t="s">
        <v>877</v>
      </c>
    </row>
    <row r="155" spans="1:3">
      <c r="A155" s="625"/>
      <c r="B155" s="793" t="s">
        <v>878</v>
      </c>
      <c r="C155" s="794"/>
    </row>
    <row r="156" spans="1:3">
      <c r="A156" s="643">
        <v>1</v>
      </c>
      <c r="B156" s="795" t="s">
        <v>1023</v>
      </c>
      <c r="C156" s="796"/>
    </row>
    <row r="157" spans="1:3" ht="25.15" customHeight="1">
      <c r="A157" s="643">
        <v>2</v>
      </c>
      <c r="B157" s="795" t="s">
        <v>953</v>
      </c>
      <c r="C157" s="796"/>
    </row>
    <row r="158" spans="1:3">
      <c r="A158" s="643">
        <v>3</v>
      </c>
      <c r="B158" s="795" t="s">
        <v>944</v>
      </c>
      <c r="C158" s="796"/>
    </row>
    <row r="159" spans="1:3">
      <c r="A159" s="625"/>
      <c r="B159" s="793" t="s">
        <v>879</v>
      </c>
      <c r="C159" s="794"/>
    </row>
    <row r="160" spans="1:3" ht="39" customHeight="1">
      <c r="A160" s="643">
        <v>1</v>
      </c>
      <c r="B160" s="797" t="s">
        <v>1024</v>
      </c>
      <c r="C160" s="798"/>
    </row>
    <row r="161" spans="1:3" ht="22.5">
      <c r="A161" s="643">
        <v>3</v>
      </c>
      <c r="B161" s="637" t="s">
        <v>684</v>
      </c>
      <c r="C161" s="645" t="s">
        <v>880</v>
      </c>
    </row>
    <row r="162" spans="1:3" ht="22.5">
      <c r="A162" s="643">
        <v>4</v>
      </c>
      <c r="B162" s="637" t="s">
        <v>685</v>
      </c>
      <c r="C162" s="645" t="s">
        <v>881</v>
      </c>
    </row>
    <row r="163" spans="1:3" ht="33.75">
      <c r="A163" s="643">
        <v>5</v>
      </c>
      <c r="B163" s="637" t="s">
        <v>686</v>
      </c>
      <c r="C163" s="645" t="s">
        <v>882</v>
      </c>
    </row>
    <row r="164" spans="1:3">
      <c r="A164" s="643">
        <v>6</v>
      </c>
      <c r="B164" s="637" t="s">
        <v>687</v>
      </c>
      <c r="C164" s="637" t="s">
        <v>883</v>
      </c>
    </row>
    <row r="165" spans="1:3">
      <c r="A165" s="625"/>
      <c r="B165" s="793" t="s">
        <v>884</v>
      </c>
      <c r="C165" s="794"/>
    </row>
    <row r="166" spans="1:3" ht="45">
      <c r="A166" s="643"/>
      <c r="B166" s="637" t="s">
        <v>885</v>
      </c>
      <c r="C166" s="646" t="s">
        <v>1025</v>
      </c>
    </row>
    <row r="167" spans="1:3">
      <c r="A167" s="643"/>
      <c r="B167" s="637" t="s">
        <v>686</v>
      </c>
      <c r="C167" s="645" t="s">
        <v>886</v>
      </c>
    </row>
    <row r="168" spans="1:3">
      <c r="A168" s="625"/>
      <c r="B168" s="793" t="s">
        <v>887</v>
      </c>
      <c r="C168" s="794"/>
    </row>
    <row r="169" spans="1:3" ht="26.65" customHeight="1">
      <c r="A169" s="625"/>
      <c r="B169" s="795" t="s">
        <v>1026</v>
      </c>
      <c r="C169" s="796"/>
    </row>
    <row r="170" spans="1:3">
      <c r="A170" s="625" t="s">
        <v>888</v>
      </c>
      <c r="B170" s="481" t="s">
        <v>744</v>
      </c>
      <c r="C170" s="482" t="s">
        <v>889</v>
      </c>
    </row>
    <row r="171" spans="1:3">
      <c r="A171" s="625" t="s">
        <v>538</v>
      </c>
      <c r="B171" s="483" t="s">
        <v>745</v>
      </c>
      <c r="C171" s="645" t="s">
        <v>890</v>
      </c>
    </row>
    <row r="172" spans="1:3" ht="22.5">
      <c r="A172" s="625" t="s">
        <v>545</v>
      </c>
      <c r="B172" s="482" t="s">
        <v>746</v>
      </c>
      <c r="C172" s="645" t="s">
        <v>891</v>
      </c>
    </row>
    <row r="173" spans="1:3">
      <c r="A173" s="625" t="s">
        <v>892</v>
      </c>
      <c r="B173" s="483" t="s">
        <v>747</v>
      </c>
      <c r="C173" s="483" t="s">
        <v>893</v>
      </c>
    </row>
    <row r="174" spans="1:3" ht="22.5">
      <c r="A174" s="625" t="s">
        <v>894</v>
      </c>
      <c r="B174" s="484" t="s">
        <v>748</v>
      </c>
      <c r="C174" s="484" t="s">
        <v>895</v>
      </c>
    </row>
    <row r="175" spans="1:3" ht="22.5">
      <c r="A175" s="625" t="s">
        <v>546</v>
      </c>
      <c r="B175" s="484" t="s">
        <v>749</v>
      </c>
      <c r="C175" s="484" t="s">
        <v>896</v>
      </c>
    </row>
    <row r="176" spans="1:3" ht="22.5">
      <c r="A176" s="625" t="s">
        <v>897</v>
      </c>
      <c r="B176" s="484" t="s">
        <v>750</v>
      </c>
      <c r="C176" s="484" t="s">
        <v>898</v>
      </c>
    </row>
    <row r="177" spans="1:3" ht="22.5">
      <c r="A177" s="625" t="s">
        <v>899</v>
      </c>
      <c r="B177" s="484" t="s">
        <v>751</v>
      </c>
      <c r="C177" s="484" t="s">
        <v>901</v>
      </c>
    </row>
    <row r="178" spans="1:3" ht="22.5">
      <c r="A178" s="625" t="s">
        <v>900</v>
      </c>
      <c r="B178" s="484" t="s">
        <v>752</v>
      </c>
      <c r="C178" s="484" t="s">
        <v>903</v>
      </c>
    </row>
    <row r="179" spans="1:3" ht="22.5">
      <c r="A179" s="625" t="s">
        <v>902</v>
      </c>
      <c r="B179" s="484" t="s">
        <v>753</v>
      </c>
      <c r="C179" s="647" t="s">
        <v>905</v>
      </c>
    </row>
    <row r="180" spans="1:3" ht="22.5">
      <c r="A180" s="625" t="s">
        <v>904</v>
      </c>
      <c r="B180" s="491" t="s">
        <v>754</v>
      </c>
      <c r="C180" s="647" t="s">
        <v>907</v>
      </c>
    </row>
    <row r="181" spans="1:3" ht="22.5">
      <c r="A181" s="625" t="s">
        <v>906</v>
      </c>
      <c r="B181" s="484" t="s">
        <v>755</v>
      </c>
      <c r="C181" s="485" t="s">
        <v>909</v>
      </c>
    </row>
    <row r="182" spans="1:3">
      <c r="A182" s="648" t="s">
        <v>908</v>
      </c>
      <c r="B182" s="486" t="s">
        <v>756</v>
      </c>
      <c r="C182" s="482" t="s">
        <v>910</v>
      </c>
    </row>
    <row r="183" spans="1:3" ht="22.5">
      <c r="A183" s="625"/>
      <c r="B183" s="484" t="s">
        <v>911</v>
      </c>
      <c r="C183" s="639" t="s">
        <v>912</v>
      </c>
    </row>
    <row r="184" spans="1:3" ht="22.5">
      <c r="A184" s="625"/>
      <c r="B184" s="484" t="s">
        <v>913</v>
      </c>
      <c r="C184" s="639" t="s">
        <v>914</v>
      </c>
    </row>
    <row r="185" spans="1:3" ht="22.5">
      <c r="A185" s="625"/>
      <c r="B185" s="484" t="s">
        <v>915</v>
      </c>
      <c r="C185" s="639" t="s">
        <v>916</v>
      </c>
    </row>
    <row r="186" spans="1:3">
      <c r="A186" s="625"/>
      <c r="B186" s="793" t="s">
        <v>917</v>
      </c>
      <c r="C186" s="794"/>
    </row>
    <row r="187" spans="1:3" ht="49.9" customHeight="1">
      <c r="A187" s="625"/>
      <c r="B187" s="795" t="s">
        <v>1027</v>
      </c>
      <c r="C187" s="796"/>
    </row>
    <row r="188" spans="1:3">
      <c r="A188" s="643">
        <v>1</v>
      </c>
      <c r="B188" s="638" t="s">
        <v>776</v>
      </c>
      <c r="C188" s="638" t="s">
        <v>776</v>
      </c>
    </row>
    <row r="189" spans="1:3" ht="33.75">
      <c r="A189" s="643">
        <v>2</v>
      </c>
      <c r="B189" s="638" t="s">
        <v>918</v>
      </c>
      <c r="C189" s="638" t="s">
        <v>919</v>
      </c>
    </row>
    <row r="190" spans="1:3">
      <c r="A190" s="643">
        <v>3</v>
      </c>
      <c r="B190" s="638" t="s">
        <v>778</v>
      </c>
      <c r="C190" s="638" t="s">
        <v>920</v>
      </c>
    </row>
    <row r="191" spans="1:3" ht="22.5">
      <c r="A191" s="643">
        <v>4</v>
      </c>
      <c r="B191" s="638" t="s">
        <v>779</v>
      </c>
      <c r="C191" s="638" t="s">
        <v>921</v>
      </c>
    </row>
    <row r="192" spans="1:3" ht="22.5">
      <c r="A192" s="643">
        <v>5</v>
      </c>
      <c r="B192" s="638" t="s">
        <v>780</v>
      </c>
      <c r="C192" s="638" t="s">
        <v>1028</v>
      </c>
    </row>
    <row r="193" spans="1:4" ht="45">
      <c r="A193" s="643">
        <v>6</v>
      </c>
      <c r="B193" s="638" t="s">
        <v>781</v>
      </c>
      <c r="C193" s="638" t="s">
        <v>922</v>
      </c>
    </row>
    <row r="194" spans="1:4">
      <c r="A194" s="625"/>
      <c r="B194" s="793" t="s">
        <v>923</v>
      </c>
      <c r="C194" s="794"/>
    </row>
    <row r="195" spans="1:4" ht="25.9" customHeight="1">
      <c r="A195" s="625"/>
      <c r="B195" s="792" t="s">
        <v>946</v>
      </c>
      <c r="C195" s="797"/>
    </row>
    <row r="196" spans="1:4" ht="22.5">
      <c r="A196" s="625">
        <v>1.1000000000000001</v>
      </c>
      <c r="B196" s="487" t="s">
        <v>791</v>
      </c>
      <c r="C196" s="638" t="s">
        <v>924</v>
      </c>
      <c r="D196" s="649"/>
    </row>
    <row r="197" spans="1:4" ht="12.75">
      <c r="A197" s="625" t="s">
        <v>252</v>
      </c>
      <c r="B197" s="488" t="s">
        <v>792</v>
      </c>
      <c r="C197" s="638" t="s">
        <v>925</v>
      </c>
      <c r="D197" s="650"/>
    </row>
    <row r="198" spans="1:4" ht="12.75">
      <c r="A198" s="625" t="s">
        <v>793</v>
      </c>
      <c r="B198" s="651" t="s">
        <v>794</v>
      </c>
      <c r="C198" s="791" t="s">
        <v>947</v>
      </c>
      <c r="D198" s="652"/>
    </row>
    <row r="199" spans="1:4" ht="12.75">
      <c r="A199" s="625" t="s">
        <v>795</v>
      </c>
      <c r="B199" s="651" t="s">
        <v>796</v>
      </c>
      <c r="C199" s="791"/>
      <c r="D199" s="652"/>
    </row>
    <row r="200" spans="1:4" ht="12.75">
      <c r="A200" s="625" t="s">
        <v>797</v>
      </c>
      <c r="B200" s="651" t="s">
        <v>798</v>
      </c>
      <c r="C200" s="791"/>
      <c r="D200" s="652"/>
    </row>
    <row r="201" spans="1:4" ht="12.75">
      <c r="A201" s="625" t="s">
        <v>799</v>
      </c>
      <c r="B201" s="651" t="s">
        <v>800</v>
      </c>
      <c r="C201" s="791"/>
      <c r="D201" s="652"/>
    </row>
    <row r="202" spans="1:4" ht="22.5">
      <c r="A202" s="625">
        <v>1.2</v>
      </c>
      <c r="B202" s="653" t="s">
        <v>801</v>
      </c>
      <c r="C202" s="637" t="s">
        <v>926</v>
      </c>
      <c r="D202" s="654"/>
    </row>
    <row r="203" spans="1:4" ht="22.5">
      <c r="A203" s="625" t="s">
        <v>803</v>
      </c>
      <c r="B203" s="655" t="s">
        <v>804</v>
      </c>
      <c r="C203" s="656" t="s">
        <v>927</v>
      </c>
      <c r="D203" s="657"/>
    </row>
    <row r="204" spans="1:4" ht="23.25">
      <c r="A204" s="625" t="s">
        <v>805</v>
      </c>
      <c r="B204" s="658" t="s">
        <v>806</v>
      </c>
      <c r="C204" s="656" t="s">
        <v>928</v>
      </c>
      <c r="D204" s="659"/>
    </row>
    <row r="205" spans="1:4" ht="12.75">
      <c r="A205" s="625" t="s">
        <v>807</v>
      </c>
      <c r="B205" s="660" t="s">
        <v>808</v>
      </c>
      <c r="C205" s="637" t="s">
        <v>929</v>
      </c>
      <c r="D205" s="657"/>
    </row>
    <row r="206" spans="1:4" ht="18" customHeight="1">
      <c r="A206" s="625" t="s">
        <v>809</v>
      </c>
      <c r="B206" s="661" t="s">
        <v>810</v>
      </c>
      <c r="C206" s="637" t="s">
        <v>930</v>
      </c>
      <c r="D206" s="659"/>
    </row>
    <row r="207" spans="1:4" ht="22.5">
      <c r="A207" s="625">
        <v>1.4</v>
      </c>
      <c r="B207" s="655" t="s">
        <v>942</v>
      </c>
      <c r="C207" s="662" t="s">
        <v>931</v>
      </c>
      <c r="D207" s="663"/>
    </row>
    <row r="208" spans="1:4" ht="12.75">
      <c r="A208" s="625">
        <v>1.5</v>
      </c>
      <c r="B208" s="655" t="s">
        <v>943</v>
      </c>
      <c r="C208" s="662" t="s">
        <v>931</v>
      </c>
      <c r="D208" s="663"/>
    </row>
    <row r="209" spans="1:3">
      <c r="A209" s="625"/>
      <c r="B209" s="787" t="s">
        <v>932</v>
      </c>
      <c r="C209" s="787"/>
    </row>
    <row r="210" spans="1:3" ht="24.4" customHeight="1">
      <c r="A210" s="625"/>
      <c r="B210" s="792" t="s">
        <v>933</v>
      </c>
      <c r="C210" s="792"/>
    </row>
    <row r="211" spans="1:3" ht="22.5">
      <c r="A211" s="643"/>
      <c r="B211" s="637" t="s">
        <v>684</v>
      </c>
      <c r="C211" s="645" t="s">
        <v>880</v>
      </c>
    </row>
    <row r="212" spans="1:3" ht="22.5">
      <c r="A212" s="643"/>
      <c r="B212" s="637" t="s">
        <v>685</v>
      </c>
      <c r="C212" s="645" t="s">
        <v>881</v>
      </c>
    </row>
    <row r="213" spans="1:3" ht="22.5">
      <c r="A213" s="625"/>
      <c r="B213" s="637" t="s">
        <v>686</v>
      </c>
      <c r="C213" s="645" t="s">
        <v>934</v>
      </c>
    </row>
    <row r="214" spans="1:3">
      <c r="A214" s="625"/>
      <c r="B214" s="787" t="s">
        <v>935</v>
      </c>
      <c r="C214" s="787"/>
    </row>
    <row r="215" spans="1:3" ht="39.4" customHeight="1">
      <c r="A215" s="643"/>
      <c r="B215" s="792" t="s">
        <v>948</v>
      </c>
      <c r="C215" s="792"/>
    </row>
    <row r="216" spans="1:3">
      <c r="B216" s="787" t="s">
        <v>1029</v>
      </c>
      <c r="C216" s="787"/>
    </row>
    <row r="217" spans="1:3" ht="25.5">
      <c r="A217" s="615">
        <v>1</v>
      </c>
      <c r="B217" s="665" t="s">
        <v>1006</v>
      </c>
      <c r="C217" s="665" t="s">
        <v>1030</v>
      </c>
    </row>
    <row r="218" spans="1:3" ht="12.75">
      <c r="A218" s="615">
        <v>2</v>
      </c>
      <c r="B218" s="665" t="s">
        <v>1007</v>
      </c>
      <c r="C218" s="665" t="s">
        <v>1031</v>
      </c>
    </row>
    <row r="219" spans="1:3" ht="25.5">
      <c r="A219" s="615">
        <v>3</v>
      </c>
      <c r="B219" s="665" t="s">
        <v>1008</v>
      </c>
      <c r="C219" s="665" t="s">
        <v>1032</v>
      </c>
    </row>
    <row r="220" spans="1:3" ht="12.75">
      <c r="A220" s="615">
        <v>4</v>
      </c>
      <c r="B220" s="665" t="s">
        <v>1009</v>
      </c>
      <c r="C220" s="665" t="s">
        <v>1033</v>
      </c>
    </row>
    <row r="221" spans="1:3" ht="25.5">
      <c r="A221" s="615">
        <v>5</v>
      </c>
      <c r="B221" s="665" t="s">
        <v>1010</v>
      </c>
      <c r="C221" s="665" t="s">
        <v>1034</v>
      </c>
    </row>
    <row r="222" spans="1:3" ht="12.75">
      <c r="A222" s="615">
        <v>6</v>
      </c>
      <c r="B222" s="665" t="s">
        <v>1011</v>
      </c>
      <c r="C222" s="665" t="s">
        <v>1035</v>
      </c>
    </row>
    <row r="223" spans="1:3" ht="25.5">
      <c r="A223" s="615">
        <v>7</v>
      </c>
      <c r="B223" s="665" t="s">
        <v>1012</v>
      </c>
      <c r="C223" s="665" t="s">
        <v>1036</v>
      </c>
    </row>
    <row r="224" spans="1:3" ht="12.75">
      <c r="A224" s="615">
        <v>7.1</v>
      </c>
      <c r="B224" s="666" t="s">
        <v>1013</v>
      </c>
      <c r="C224" s="665" t="s">
        <v>1037</v>
      </c>
    </row>
    <row r="225" spans="1:3" ht="25.5">
      <c r="A225" s="615">
        <v>7.2</v>
      </c>
      <c r="B225" s="666" t="s">
        <v>1014</v>
      </c>
      <c r="C225" s="665" t="s">
        <v>1038</v>
      </c>
    </row>
    <row r="226" spans="1:3" ht="12.75">
      <c r="A226" s="615">
        <v>7.3</v>
      </c>
      <c r="B226" s="667" t="s">
        <v>1015</v>
      </c>
      <c r="C226" s="665" t="s">
        <v>1039</v>
      </c>
    </row>
    <row r="227" spans="1:3" ht="12.75">
      <c r="A227" s="615">
        <v>8</v>
      </c>
      <c r="B227" s="665" t="s">
        <v>1016</v>
      </c>
      <c r="C227" s="665" t="s">
        <v>1040</v>
      </c>
    </row>
    <row r="228" spans="1:3" ht="12.75">
      <c r="A228" s="615">
        <v>9</v>
      </c>
      <c r="B228" s="665" t="s">
        <v>1017</v>
      </c>
      <c r="C228" s="665" t="s">
        <v>1041</v>
      </c>
    </row>
    <row r="229" spans="1:3" ht="25.5">
      <c r="A229" s="615">
        <v>10.1</v>
      </c>
      <c r="B229" s="668" t="s">
        <v>1042</v>
      </c>
      <c r="C229" s="665" t="s">
        <v>1043</v>
      </c>
    </row>
    <row r="230" spans="1:3" ht="12.75">
      <c r="A230" s="788"/>
      <c r="B230" s="669" t="s">
        <v>786</v>
      </c>
      <c r="C230" s="665" t="s">
        <v>1044</v>
      </c>
    </row>
    <row r="231" spans="1:3" ht="25.5">
      <c r="A231" s="789"/>
      <c r="B231" s="669" t="s">
        <v>1000</v>
      </c>
      <c r="C231" s="665" t="s">
        <v>1045</v>
      </c>
    </row>
    <row r="232" spans="1:3" ht="12.75">
      <c r="A232" s="789"/>
      <c r="B232" s="669" t="s">
        <v>1001</v>
      </c>
      <c r="C232" s="665" t="s">
        <v>1046</v>
      </c>
    </row>
    <row r="233" spans="1:3" ht="24">
      <c r="A233" s="789"/>
      <c r="B233" s="669" t="s">
        <v>1002</v>
      </c>
      <c r="C233" s="450" t="s">
        <v>1047</v>
      </c>
    </row>
    <row r="234" spans="1:3" ht="40.5" customHeight="1">
      <c r="A234" s="789"/>
      <c r="B234" s="669" t="s">
        <v>1003</v>
      </c>
      <c r="C234" s="665" t="s">
        <v>1048</v>
      </c>
    </row>
    <row r="235" spans="1:3" ht="24" customHeight="1">
      <c r="A235" s="789"/>
      <c r="B235" s="669" t="s">
        <v>1004</v>
      </c>
      <c r="C235" s="665" t="s">
        <v>1049</v>
      </c>
    </row>
    <row r="236" spans="1:3" ht="25.5">
      <c r="A236" s="790"/>
      <c r="B236" s="669" t="s">
        <v>1005</v>
      </c>
      <c r="C236" s="665" t="s">
        <v>1050</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B216:C216"/>
    <mergeCell ref="A230:A23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48" activePane="bottomRight" state="frozen"/>
      <selection pane="topRight"/>
      <selection pane="bottomLeft"/>
      <selection pane="bottomRight"/>
    </sheetView>
  </sheetViews>
  <sheetFormatPr defaultColWidth="9.28515625" defaultRowHeight="15"/>
  <cols>
    <col min="1" max="1" width="9.5703125" style="1" bestFit="1" customWidth="1"/>
    <col min="2" max="2" width="89.28515625" style="1" customWidth="1"/>
    <col min="3" max="8" width="12.7109375" style="1" customWidth="1"/>
    <col min="9" max="9" width="8.7109375" customWidth="1"/>
    <col min="10" max="16384" width="9.28515625" style="9"/>
  </cols>
  <sheetData>
    <row r="1" spans="1:8" ht="15.75">
      <c r="A1" s="14" t="s">
        <v>188</v>
      </c>
      <c r="B1" s="13" t="str">
        <f>Info!C2</f>
        <v>სს "ბანკი ქართუ"</v>
      </c>
      <c r="C1" s="13"/>
    </row>
    <row r="2" spans="1:8" ht="15.75">
      <c r="A2" s="14" t="s">
        <v>189</v>
      </c>
      <c r="B2" s="390">
        <f>'1. key ratios'!B2</f>
        <v>44469</v>
      </c>
      <c r="C2" s="13"/>
    </row>
    <row r="3" spans="1:8" ht="15.75">
      <c r="A3" s="14"/>
      <c r="B3" s="13"/>
      <c r="C3" s="13"/>
    </row>
    <row r="4" spans="1:8" ht="16.5" thickBot="1">
      <c r="A4" s="15" t="s">
        <v>407</v>
      </c>
      <c r="B4" s="24" t="s">
        <v>222</v>
      </c>
      <c r="C4" s="26"/>
      <c r="D4" s="26"/>
      <c r="E4" s="26"/>
      <c r="F4" s="15"/>
      <c r="G4" s="15"/>
      <c r="H4" s="40" t="s">
        <v>93</v>
      </c>
    </row>
    <row r="5" spans="1:8" ht="15.75">
      <c r="A5" s="111"/>
      <c r="B5" s="112"/>
      <c r="C5" s="684" t="s">
        <v>194</v>
      </c>
      <c r="D5" s="685"/>
      <c r="E5" s="686"/>
      <c r="F5" s="684" t="s">
        <v>195</v>
      </c>
      <c r="G5" s="685"/>
      <c r="H5" s="687"/>
    </row>
    <row r="6" spans="1:8">
      <c r="A6" s="113" t="s">
        <v>26</v>
      </c>
      <c r="B6" s="41"/>
      <c r="C6" s="42" t="s">
        <v>27</v>
      </c>
      <c r="D6" s="42" t="s">
        <v>96</v>
      </c>
      <c r="E6" s="42" t="s">
        <v>68</v>
      </c>
      <c r="F6" s="42" t="s">
        <v>27</v>
      </c>
      <c r="G6" s="42" t="s">
        <v>96</v>
      </c>
      <c r="H6" s="114" t="s">
        <v>68</v>
      </c>
    </row>
    <row r="7" spans="1:8">
      <c r="A7" s="115"/>
      <c r="B7" s="44" t="s">
        <v>92</v>
      </c>
      <c r="C7" s="45"/>
      <c r="D7" s="45"/>
      <c r="E7" s="45"/>
      <c r="F7" s="45"/>
      <c r="G7" s="45"/>
      <c r="H7" s="116"/>
    </row>
    <row r="8" spans="1:8" ht="15.75">
      <c r="A8" s="115">
        <v>1</v>
      </c>
      <c r="B8" s="46" t="s">
        <v>97</v>
      </c>
      <c r="C8" s="520">
        <v>1693035</v>
      </c>
      <c r="D8" s="520">
        <v>-446268</v>
      </c>
      <c r="E8" s="510">
        <f>C8+D8</f>
        <v>1246767</v>
      </c>
      <c r="F8" s="520">
        <v>1074087</v>
      </c>
      <c r="G8" s="520">
        <v>258196</v>
      </c>
      <c r="H8" s="521">
        <f>F8+G8</f>
        <v>1332283</v>
      </c>
    </row>
    <row r="9" spans="1:8" ht="15.75">
      <c r="A9" s="115">
        <v>2</v>
      </c>
      <c r="B9" s="46" t="s">
        <v>98</v>
      </c>
      <c r="C9" s="522">
        <f>SUM(C10:C18)</f>
        <v>20557144</v>
      </c>
      <c r="D9" s="522">
        <f>SUM(D10:D18)</f>
        <v>34020921</v>
      </c>
      <c r="E9" s="510">
        <f t="shared" ref="E9:E67" si="0">C9+D9</f>
        <v>54578065</v>
      </c>
      <c r="F9" s="522">
        <f>SUM(F10:F18)</f>
        <v>20310035</v>
      </c>
      <c r="G9" s="522">
        <f>SUM(G10:G18)</f>
        <v>30620708</v>
      </c>
      <c r="H9" s="521">
        <f t="shared" ref="H9:H67" si="1">F9+G9</f>
        <v>50930743</v>
      </c>
    </row>
    <row r="10" spans="1:8" ht="15.75">
      <c r="A10" s="115">
        <v>2.1</v>
      </c>
      <c r="B10" s="47" t="s">
        <v>99</v>
      </c>
      <c r="C10" s="520">
        <v>0</v>
      </c>
      <c r="D10" s="520">
        <v>0</v>
      </c>
      <c r="E10" s="510">
        <f t="shared" si="0"/>
        <v>0</v>
      </c>
      <c r="F10" s="520">
        <v>0</v>
      </c>
      <c r="G10" s="520">
        <v>0</v>
      </c>
      <c r="H10" s="521">
        <f t="shared" si="1"/>
        <v>0</v>
      </c>
    </row>
    <row r="11" spans="1:8" ht="15.75">
      <c r="A11" s="115">
        <v>2.2000000000000002</v>
      </c>
      <c r="B11" s="47" t="s">
        <v>100</v>
      </c>
      <c r="C11" s="520">
        <v>9630796.4199999999</v>
      </c>
      <c r="D11" s="520">
        <v>11048778.420000002</v>
      </c>
      <c r="E11" s="510">
        <f t="shared" si="0"/>
        <v>20679574.840000004</v>
      </c>
      <c r="F11" s="520">
        <v>8729685.6400000025</v>
      </c>
      <c r="G11" s="520">
        <v>11884908.33</v>
      </c>
      <c r="H11" s="521">
        <f t="shared" si="1"/>
        <v>20614593.970000003</v>
      </c>
    </row>
    <row r="12" spans="1:8" ht="15.75">
      <c r="A12" s="115">
        <v>2.2999999999999998</v>
      </c>
      <c r="B12" s="47" t="s">
        <v>101</v>
      </c>
      <c r="C12" s="520">
        <v>0</v>
      </c>
      <c r="D12" s="520">
        <v>14026.2</v>
      </c>
      <c r="E12" s="510">
        <f t="shared" si="0"/>
        <v>14026.2</v>
      </c>
      <c r="F12" s="520">
        <v>111.56</v>
      </c>
      <c r="G12" s="520">
        <v>652409.41999999993</v>
      </c>
      <c r="H12" s="521">
        <f t="shared" si="1"/>
        <v>652520.98</v>
      </c>
    </row>
    <row r="13" spans="1:8" ht="15.75">
      <c r="A13" s="115">
        <v>2.4</v>
      </c>
      <c r="B13" s="47" t="s">
        <v>102</v>
      </c>
      <c r="C13" s="520">
        <v>1243811.01</v>
      </c>
      <c r="D13" s="520">
        <v>3014879.56</v>
      </c>
      <c r="E13" s="510">
        <f t="shared" si="0"/>
        <v>4258690.57</v>
      </c>
      <c r="F13" s="520">
        <v>1419686.2700000003</v>
      </c>
      <c r="G13" s="520">
        <v>1371362.08</v>
      </c>
      <c r="H13" s="521">
        <f t="shared" si="1"/>
        <v>2791048.3500000006</v>
      </c>
    </row>
    <row r="14" spans="1:8" ht="15.75">
      <c r="A14" s="115">
        <v>2.5</v>
      </c>
      <c r="B14" s="47" t="s">
        <v>103</v>
      </c>
      <c r="C14" s="520">
        <v>2462708.9900000002</v>
      </c>
      <c r="D14" s="520">
        <v>4200889.09</v>
      </c>
      <c r="E14" s="510">
        <f t="shared" si="0"/>
        <v>6663598.0800000001</v>
      </c>
      <c r="F14" s="520">
        <v>3304100.92</v>
      </c>
      <c r="G14" s="520">
        <v>4078110.8899999997</v>
      </c>
      <c r="H14" s="521">
        <f t="shared" si="1"/>
        <v>7382211.8099999996</v>
      </c>
    </row>
    <row r="15" spans="1:8" ht="15.75">
      <c r="A15" s="115">
        <v>2.6</v>
      </c>
      <c r="B15" s="47" t="s">
        <v>104</v>
      </c>
      <c r="C15" s="520">
        <v>4509216.88</v>
      </c>
      <c r="D15" s="520">
        <v>3078794.41</v>
      </c>
      <c r="E15" s="510">
        <f t="shared" si="0"/>
        <v>7588011.29</v>
      </c>
      <c r="F15" s="520">
        <v>3658325.2499999995</v>
      </c>
      <c r="G15" s="520">
        <v>3007758.36</v>
      </c>
      <c r="H15" s="521">
        <f t="shared" si="1"/>
        <v>6666083.6099999994</v>
      </c>
    </row>
    <row r="16" spans="1:8" ht="15.75">
      <c r="A16" s="115">
        <v>2.7</v>
      </c>
      <c r="B16" s="47" t="s">
        <v>105</v>
      </c>
      <c r="C16" s="520">
        <v>4338.76</v>
      </c>
      <c r="D16" s="520">
        <v>144857.53</v>
      </c>
      <c r="E16" s="510">
        <f t="shared" si="0"/>
        <v>149196.29</v>
      </c>
      <c r="F16" s="520">
        <v>6540.37</v>
      </c>
      <c r="G16" s="520">
        <v>9683.82</v>
      </c>
      <c r="H16" s="521">
        <f t="shared" si="1"/>
        <v>16224.189999999999</v>
      </c>
    </row>
    <row r="17" spans="1:8" ht="15.75">
      <c r="A17" s="115">
        <v>2.8</v>
      </c>
      <c r="B17" s="47" t="s">
        <v>106</v>
      </c>
      <c r="C17" s="520">
        <v>1144625</v>
      </c>
      <c r="D17" s="520">
        <v>2364327</v>
      </c>
      <c r="E17" s="510">
        <f t="shared" si="0"/>
        <v>3508952</v>
      </c>
      <c r="F17" s="520">
        <v>771367</v>
      </c>
      <c r="G17" s="520">
        <v>2360463</v>
      </c>
      <c r="H17" s="521">
        <f t="shared" si="1"/>
        <v>3131830</v>
      </c>
    </row>
    <row r="18" spans="1:8" ht="15.75">
      <c r="A18" s="115">
        <v>2.9</v>
      </c>
      <c r="B18" s="47" t="s">
        <v>107</v>
      </c>
      <c r="C18" s="520">
        <v>1561646.9399999976</v>
      </c>
      <c r="D18" s="520">
        <v>10154368.789999995</v>
      </c>
      <c r="E18" s="510">
        <f t="shared" si="0"/>
        <v>11716015.729999993</v>
      </c>
      <c r="F18" s="520">
        <v>2420217.9899999984</v>
      </c>
      <c r="G18" s="520">
        <v>7256012.1000000015</v>
      </c>
      <c r="H18" s="521">
        <f t="shared" si="1"/>
        <v>9676230.0899999999</v>
      </c>
    </row>
    <row r="19" spans="1:8" ht="15.75">
      <c r="A19" s="115">
        <v>3</v>
      </c>
      <c r="B19" s="46" t="s">
        <v>108</v>
      </c>
      <c r="C19" s="520">
        <v>661450</v>
      </c>
      <c r="D19" s="520">
        <v>2522233</v>
      </c>
      <c r="E19" s="510">
        <f t="shared" si="0"/>
        <v>3183683</v>
      </c>
      <c r="F19" s="520">
        <v>481431</v>
      </c>
      <c r="G19" s="520">
        <v>1298834</v>
      </c>
      <c r="H19" s="521">
        <f t="shared" si="1"/>
        <v>1780265</v>
      </c>
    </row>
    <row r="20" spans="1:8" ht="15.75">
      <c r="A20" s="115">
        <v>4</v>
      </c>
      <c r="B20" s="46" t="s">
        <v>109</v>
      </c>
      <c r="C20" s="520">
        <v>416759</v>
      </c>
      <c r="D20" s="520">
        <v>1346344</v>
      </c>
      <c r="E20" s="510">
        <f t="shared" si="0"/>
        <v>1763103</v>
      </c>
      <c r="F20" s="520">
        <v>1028152</v>
      </c>
      <c r="G20" s="520">
        <v>0</v>
      </c>
      <c r="H20" s="521">
        <f t="shared" si="1"/>
        <v>1028152</v>
      </c>
    </row>
    <row r="21" spans="1:8" ht="15.75">
      <c r="A21" s="115">
        <v>5</v>
      </c>
      <c r="B21" s="46" t="s">
        <v>110</v>
      </c>
      <c r="C21" s="520">
        <v>0</v>
      </c>
      <c r="D21" s="520">
        <v>1408</v>
      </c>
      <c r="E21" s="510">
        <f t="shared" si="0"/>
        <v>1408</v>
      </c>
      <c r="F21" s="520">
        <v>0</v>
      </c>
      <c r="G21" s="520">
        <v>17689</v>
      </c>
      <c r="H21" s="521">
        <f>F21+G21</f>
        <v>17689</v>
      </c>
    </row>
    <row r="22" spans="1:8" ht="15.75">
      <c r="A22" s="115">
        <v>6</v>
      </c>
      <c r="B22" s="48" t="s">
        <v>111</v>
      </c>
      <c r="C22" s="522">
        <f>C8+C9+C19+C20+C21</f>
        <v>23328388</v>
      </c>
      <c r="D22" s="522">
        <f>D8+D9+D19+D20+D21</f>
        <v>37444638</v>
      </c>
      <c r="E22" s="510">
        <f>C22+D22</f>
        <v>60773026</v>
      </c>
      <c r="F22" s="522">
        <f>F8+F9+F19+F20+F21</f>
        <v>22893705</v>
      </c>
      <c r="G22" s="522">
        <f>G8+G9+G19+G20+G21</f>
        <v>32195427</v>
      </c>
      <c r="H22" s="521">
        <f>F22+G22</f>
        <v>55089132</v>
      </c>
    </row>
    <row r="23" spans="1:8" ht="15.75">
      <c r="A23" s="115"/>
      <c r="B23" s="44" t="s">
        <v>90</v>
      </c>
      <c r="C23" s="520"/>
      <c r="D23" s="520"/>
      <c r="E23" s="509"/>
      <c r="F23" s="520"/>
      <c r="G23" s="520"/>
      <c r="H23" s="523"/>
    </row>
    <row r="24" spans="1:8" ht="15.75">
      <c r="A24" s="115">
        <v>7</v>
      </c>
      <c r="B24" s="46" t="s">
        <v>112</v>
      </c>
      <c r="C24" s="520">
        <v>834341</v>
      </c>
      <c r="D24" s="520">
        <v>-219057</v>
      </c>
      <c r="E24" s="510">
        <f t="shared" si="0"/>
        <v>615284</v>
      </c>
      <c r="F24" s="520">
        <v>694143</v>
      </c>
      <c r="G24" s="520">
        <v>529720</v>
      </c>
      <c r="H24" s="521">
        <f t="shared" si="1"/>
        <v>1223863</v>
      </c>
    </row>
    <row r="25" spans="1:8" ht="15.75">
      <c r="A25" s="115">
        <v>8</v>
      </c>
      <c r="B25" s="46" t="s">
        <v>113</v>
      </c>
      <c r="C25" s="520">
        <v>6017831</v>
      </c>
      <c r="D25" s="520">
        <v>13266600</v>
      </c>
      <c r="E25" s="510">
        <f t="shared" si="0"/>
        <v>19284431</v>
      </c>
      <c r="F25" s="520">
        <v>3824216</v>
      </c>
      <c r="G25" s="520">
        <v>11109258</v>
      </c>
      <c r="H25" s="521">
        <f t="shared" si="1"/>
        <v>14933474</v>
      </c>
    </row>
    <row r="26" spans="1:8" ht="15.75">
      <c r="A26" s="115">
        <v>9</v>
      </c>
      <c r="B26" s="46" t="s">
        <v>114</v>
      </c>
      <c r="C26" s="520">
        <v>1488</v>
      </c>
      <c r="D26" s="520">
        <v>389</v>
      </c>
      <c r="E26" s="510">
        <f t="shared" si="0"/>
        <v>1877</v>
      </c>
      <c r="F26" s="520">
        <v>50885</v>
      </c>
      <c r="G26" s="520">
        <v>361</v>
      </c>
      <c r="H26" s="521">
        <f t="shared" si="1"/>
        <v>51246</v>
      </c>
    </row>
    <row r="27" spans="1:8" ht="15.75">
      <c r="A27" s="115">
        <v>10</v>
      </c>
      <c r="B27" s="46" t="s">
        <v>115</v>
      </c>
      <c r="C27" s="520">
        <v>0</v>
      </c>
      <c r="D27" s="520">
        <v>0</v>
      </c>
      <c r="E27" s="510">
        <f t="shared" si="0"/>
        <v>0</v>
      </c>
      <c r="F27" s="520">
        <v>0</v>
      </c>
      <c r="G27" s="520">
        <v>0</v>
      </c>
      <c r="H27" s="521">
        <f t="shared" si="1"/>
        <v>0</v>
      </c>
    </row>
    <row r="28" spans="1:8" ht="15.75">
      <c r="A28" s="115">
        <v>11</v>
      </c>
      <c r="B28" s="46" t="s">
        <v>116</v>
      </c>
      <c r="C28" s="520">
        <v>0</v>
      </c>
      <c r="D28" s="520">
        <v>7601197</v>
      </c>
      <c r="E28" s="510">
        <f t="shared" si="0"/>
        <v>7601197</v>
      </c>
      <c r="F28" s="520">
        <v>0</v>
      </c>
      <c r="G28" s="520">
        <v>8864567</v>
      </c>
      <c r="H28" s="521">
        <f t="shared" si="1"/>
        <v>8864567</v>
      </c>
    </row>
    <row r="29" spans="1:8" ht="15.75">
      <c r="A29" s="115">
        <v>12</v>
      </c>
      <c r="B29" s="46" t="s">
        <v>117</v>
      </c>
      <c r="C29" s="520"/>
      <c r="D29" s="520"/>
      <c r="E29" s="510">
        <f t="shared" si="0"/>
        <v>0</v>
      </c>
      <c r="F29" s="520"/>
      <c r="G29" s="520"/>
      <c r="H29" s="521">
        <f t="shared" si="1"/>
        <v>0</v>
      </c>
    </row>
    <row r="30" spans="1:8" ht="15.75">
      <c r="A30" s="115">
        <v>13</v>
      </c>
      <c r="B30" s="49" t="s">
        <v>118</v>
      </c>
      <c r="C30" s="522">
        <f>SUM(C24:C29)</f>
        <v>6853660</v>
      </c>
      <c r="D30" s="522">
        <f>SUM(D24:D29)</f>
        <v>20649129</v>
      </c>
      <c r="E30" s="510">
        <f t="shared" si="0"/>
        <v>27502789</v>
      </c>
      <c r="F30" s="522">
        <f>SUM(F24:F29)</f>
        <v>4569244</v>
      </c>
      <c r="G30" s="522">
        <f>SUM(G24:G29)</f>
        <v>20503906</v>
      </c>
      <c r="H30" s="521">
        <f t="shared" si="1"/>
        <v>25073150</v>
      </c>
    </row>
    <row r="31" spans="1:8" ht="15.75">
      <c r="A31" s="115">
        <v>14</v>
      </c>
      <c r="B31" s="49" t="s">
        <v>119</v>
      </c>
      <c r="C31" s="522">
        <f>C22-C30</f>
        <v>16474728</v>
      </c>
      <c r="D31" s="522">
        <f>D22-D30</f>
        <v>16795509</v>
      </c>
      <c r="E31" s="510">
        <f t="shared" si="0"/>
        <v>33270237</v>
      </c>
      <c r="F31" s="522">
        <f>F22-F30</f>
        <v>18324461</v>
      </c>
      <c r="G31" s="522">
        <f>G22-G30</f>
        <v>11691521</v>
      </c>
      <c r="H31" s="521">
        <f t="shared" si="1"/>
        <v>30015982</v>
      </c>
    </row>
    <row r="32" spans="1:8">
      <c r="A32" s="115"/>
      <c r="B32" s="44"/>
      <c r="C32" s="524"/>
      <c r="D32" s="524"/>
      <c r="E32" s="524"/>
      <c r="F32" s="524"/>
      <c r="G32" s="524"/>
      <c r="H32" s="525"/>
    </row>
    <row r="33" spans="1:8" ht="15.75">
      <c r="A33" s="115"/>
      <c r="B33" s="44" t="s">
        <v>120</v>
      </c>
      <c r="C33" s="520"/>
      <c r="D33" s="520"/>
      <c r="E33" s="509"/>
      <c r="F33" s="520"/>
      <c r="G33" s="520"/>
      <c r="H33" s="523"/>
    </row>
    <row r="34" spans="1:8" ht="15.75">
      <c r="A34" s="115">
        <v>15</v>
      </c>
      <c r="B34" s="43" t="s">
        <v>91</v>
      </c>
      <c r="C34" s="522">
        <f>C35-C36</f>
        <v>-295335</v>
      </c>
      <c r="D34" s="522">
        <f>D35-D36</f>
        <v>-3327052</v>
      </c>
      <c r="E34" s="510">
        <f t="shared" si="0"/>
        <v>-3622387</v>
      </c>
      <c r="F34" s="522">
        <f>F35-F36</f>
        <v>-234377</v>
      </c>
      <c r="G34" s="522">
        <f>G35-G36</f>
        <v>-3172109</v>
      </c>
      <c r="H34" s="521">
        <f t="shared" si="1"/>
        <v>-3406486</v>
      </c>
    </row>
    <row r="35" spans="1:8" ht="15.75">
      <c r="A35" s="115">
        <v>15.1</v>
      </c>
      <c r="B35" s="47" t="s">
        <v>121</v>
      </c>
      <c r="C35" s="520">
        <v>2079557</v>
      </c>
      <c r="D35" s="520">
        <v>1445580</v>
      </c>
      <c r="E35" s="510">
        <f t="shared" si="0"/>
        <v>3525137</v>
      </c>
      <c r="F35" s="520">
        <v>1933866</v>
      </c>
      <c r="G35" s="520">
        <v>1395049</v>
      </c>
      <c r="H35" s="521">
        <f t="shared" si="1"/>
        <v>3328915</v>
      </c>
    </row>
    <row r="36" spans="1:8" ht="15.75">
      <c r="A36" s="115">
        <v>15.2</v>
      </c>
      <c r="B36" s="47" t="s">
        <v>122</v>
      </c>
      <c r="C36" s="520">
        <v>2374892</v>
      </c>
      <c r="D36" s="520">
        <v>4772632</v>
      </c>
      <c r="E36" s="510">
        <f t="shared" si="0"/>
        <v>7147524</v>
      </c>
      <c r="F36" s="520">
        <v>2168243</v>
      </c>
      <c r="G36" s="520">
        <v>4567158</v>
      </c>
      <c r="H36" s="521">
        <f t="shared" si="1"/>
        <v>6735401</v>
      </c>
    </row>
    <row r="37" spans="1:8" ht="15.75">
      <c r="A37" s="115">
        <v>16</v>
      </c>
      <c r="B37" s="46" t="s">
        <v>123</v>
      </c>
      <c r="C37" s="520">
        <v>138056</v>
      </c>
      <c r="D37" s="520">
        <v>0</v>
      </c>
      <c r="E37" s="510">
        <f t="shared" si="0"/>
        <v>138056</v>
      </c>
      <c r="F37" s="520">
        <v>0</v>
      </c>
      <c r="G37" s="520">
        <v>0</v>
      </c>
      <c r="H37" s="521">
        <f t="shared" si="1"/>
        <v>0</v>
      </c>
    </row>
    <row r="38" spans="1:8" ht="15.75">
      <c r="A38" s="115">
        <v>17</v>
      </c>
      <c r="B38" s="46" t="s">
        <v>124</v>
      </c>
      <c r="C38" s="520">
        <v>2480752</v>
      </c>
      <c r="D38" s="520">
        <v>0</v>
      </c>
      <c r="E38" s="510">
        <f t="shared" si="0"/>
        <v>2480752</v>
      </c>
      <c r="F38" s="520">
        <v>1602915</v>
      </c>
      <c r="G38" s="520">
        <v>0</v>
      </c>
      <c r="H38" s="521">
        <f t="shared" si="1"/>
        <v>1602915</v>
      </c>
    </row>
    <row r="39" spans="1:8" ht="15.75">
      <c r="A39" s="115">
        <v>18</v>
      </c>
      <c r="B39" s="46" t="s">
        <v>125</v>
      </c>
      <c r="C39" s="520">
        <v>-9238</v>
      </c>
      <c r="D39" s="520">
        <v>-4</v>
      </c>
      <c r="E39" s="510">
        <f t="shared" si="0"/>
        <v>-9242</v>
      </c>
      <c r="F39" s="520">
        <v>157476</v>
      </c>
      <c r="G39" s="520">
        <v>1264681</v>
      </c>
      <c r="H39" s="521">
        <f t="shared" si="1"/>
        <v>1422157</v>
      </c>
    </row>
    <row r="40" spans="1:8" ht="15.75">
      <c r="A40" s="115">
        <v>19</v>
      </c>
      <c r="B40" s="46" t="s">
        <v>126</v>
      </c>
      <c r="C40" s="520">
        <v>2517991</v>
      </c>
      <c r="D40" s="520"/>
      <c r="E40" s="510">
        <f t="shared" si="0"/>
        <v>2517991</v>
      </c>
      <c r="F40" s="520">
        <v>4849443</v>
      </c>
      <c r="G40" s="520"/>
      <c r="H40" s="521">
        <f t="shared" si="1"/>
        <v>4849443</v>
      </c>
    </row>
    <row r="41" spans="1:8" ht="15.75">
      <c r="A41" s="115">
        <v>20</v>
      </c>
      <c r="B41" s="46" t="s">
        <v>127</v>
      </c>
      <c r="C41" s="520">
        <v>-3436329</v>
      </c>
      <c r="D41" s="520"/>
      <c r="E41" s="510">
        <f t="shared" si="0"/>
        <v>-3436329</v>
      </c>
      <c r="F41" s="520">
        <v>650628</v>
      </c>
      <c r="G41" s="520"/>
      <c r="H41" s="521">
        <f t="shared" si="1"/>
        <v>650628</v>
      </c>
    </row>
    <row r="42" spans="1:8" ht="15.75">
      <c r="A42" s="115">
        <v>21</v>
      </c>
      <c r="B42" s="46" t="s">
        <v>128</v>
      </c>
      <c r="C42" s="520">
        <v>12190</v>
      </c>
      <c r="D42" s="520">
        <v>0</v>
      </c>
      <c r="E42" s="510">
        <f t="shared" si="0"/>
        <v>12190</v>
      </c>
      <c r="F42" s="520">
        <v>10973</v>
      </c>
      <c r="G42" s="520">
        <v>0</v>
      </c>
      <c r="H42" s="521">
        <f t="shared" si="1"/>
        <v>10973</v>
      </c>
    </row>
    <row r="43" spans="1:8" ht="15.75">
      <c r="A43" s="115">
        <v>22</v>
      </c>
      <c r="B43" s="46" t="s">
        <v>129</v>
      </c>
      <c r="C43" s="520">
        <v>1162594</v>
      </c>
      <c r="D43" s="520">
        <v>168653</v>
      </c>
      <c r="E43" s="510">
        <f t="shared" si="0"/>
        <v>1331247</v>
      </c>
      <c r="F43" s="520">
        <v>1016921</v>
      </c>
      <c r="G43" s="520">
        <v>232530</v>
      </c>
      <c r="H43" s="521">
        <f t="shared" si="1"/>
        <v>1249451</v>
      </c>
    </row>
    <row r="44" spans="1:8" ht="15.75">
      <c r="A44" s="115">
        <v>23</v>
      </c>
      <c r="B44" s="46" t="s">
        <v>130</v>
      </c>
      <c r="C44" s="520">
        <v>8493236</v>
      </c>
      <c r="D44" s="520">
        <v>239024</v>
      </c>
      <c r="E44" s="510">
        <f t="shared" si="0"/>
        <v>8732260</v>
      </c>
      <c r="F44" s="520">
        <v>1023984</v>
      </c>
      <c r="G44" s="520">
        <v>63351</v>
      </c>
      <c r="H44" s="521">
        <f t="shared" si="1"/>
        <v>1087335</v>
      </c>
    </row>
    <row r="45" spans="1:8" ht="15.75">
      <c r="A45" s="115">
        <v>24</v>
      </c>
      <c r="B45" s="49" t="s">
        <v>131</v>
      </c>
      <c r="C45" s="522">
        <f>C34+C37+C38+C39+C40+C41+C42+C43+C44</f>
        <v>11063917</v>
      </c>
      <c r="D45" s="522">
        <f>D34+D37+D38+D39+D40+D41+D42+D43+D44</f>
        <v>-2919379</v>
      </c>
      <c r="E45" s="510">
        <f t="shared" si="0"/>
        <v>8144538</v>
      </c>
      <c r="F45" s="522">
        <f>F34+F37+F38+F39+F40+F41+F42+F43+F44</f>
        <v>9077963</v>
      </c>
      <c r="G45" s="522">
        <f>G34+G37+G38+G39+G40+G41+G42+G43+G44</f>
        <v>-1611547</v>
      </c>
      <c r="H45" s="521">
        <f t="shared" si="1"/>
        <v>7466416</v>
      </c>
    </row>
    <row r="46" spans="1:8">
      <c r="A46" s="115"/>
      <c r="B46" s="44" t="s">
        <v>132</v>
      </c>
      <c r="C46" s="520"/>
      <c r="D46" s="520"/>
      <c r="E46" s="520"/>
      <c r="F46" s="520"/>
      <c r="G46" s="520"/>
      <c r="H46" s="526"/>
    </row>
    <row r="47" spans="1:8" ht="15.75">
      <c r="A47" s="115">
        <v>25</v>
      </c>
      <c r="B47" s="46" t="s">
        <v>133</v>
      </c>
      <c r="C47" s="520">
        <v>490370</v>
      </c>
      <c r="D47" s="520">
        <v>10550</v>
      </c>
      <c r="E47" s="510">
        <f t="shared" si="0"/>
        <v>500920</v>
      </c>
      <c r="F47" s="520">
        <v>576026</v>
      </c>
      <c r="G47" s="520">
        <v>23023</v>
      </c>
      <c r="H47" s="521">
        <f t="shared" si="1"/>
        <v>599049</v>
      </c>
    </row>
    <row r="48" spans="1:8" ht="15.75">
      <c r="A48" s="115">
        <v>26</v>
      </c>
      <c r="B48" s="46" t="s">
        <v>134</v>
      </c>
      <c r="C48" s="520">
        <v>164004</v>
      </c>
      <c r="D48" s="520">
        <v>1134</v>
      </c>
      <c r="E48" s="510">
        <f t="shared" si="0"/>
        <v>165138</v>
      </c>
      <c r="F48" s="520">
        <v>433322</v>
      </c>
      <c r="G48" s="520">
        <v>33813</v>
      </c>
      <c r="H48" s="521">
        <f t="shared" si="1"/>
        <v>467135</v>
      </c>
    </row>
    <row r="49" spans="1:9" ht="15.75">
      <c r="A49" s="115">
        <v>27</v>
      </c>
      <c r="B49" s="46" t="s">
        <v>135</v>
      </c>
      <c r="C49" s="520">
        <v>9797458</v>
      </c>
      <c r="D49" s="520"/>
      <c r="E49" s="510">
        <f t="shared" si="0"/>
        <v>9797458</v>
      </c>
      <c r="F49" s="520">
        <v>9562886</v>
      </c>
      <c r="G49" s="520"/>
      <c r="H49" s="521">
        <f t="shared" si="1"/>
        <v>9562886</v>
      </c>
    </row>
    <row r="50" spans="1:9" ht="15.75">
      <c r="A50" s="115">
        <v>28</v>
      </c>
      <c r="B50" s="46" t="s">
        <v>271</v>
      </c>
      <c r="C50" s="520">
        <v>33746</v>
      </c>
      <c r="D50" s="520"/>
      <c r="E50" s="510">
        <f t="shared" si="0"/>
        <v>33746</v>
      </c>
      <c r="F50" s="520">
        <v>55934</v>
      </c>
      <c r="G50" s="520"/>
      <c r="H50" s="521">
        <f t="shared" si="1"/>
        <v>55934</v>
      </c>
    </row>
    <row r="51" spans="1:9" ht="15.75">
      <c r="A51" s="115">
        <v>29</v>
      </c>
      <c r="B51" s="46" t="s">
        <v>136</v>
      </c>
      <c r="C51" s="520">
        <v>3299973</v>
      </c>
      <c r="D51" s="520"/>
      <c r="E51" s="510">
        <f t="shared" si="0"/>
        <v>3299973</v>
      </c>
      <c r="F51" s="520">
        <v>3237254</v>
      </c>
      <c r="G51" s="520"/>
      <c r="H51" s="521">
        <f t="shared" si="1"/>
        <v>3237254</v>
      </c>
    </row>
    <row r="52" spans="1:9" ht="15.75">
      <c r="A52" s="115">
        <v>30</v>
      </c>
      <c r="B52" s="46" t="s">
        <v>137</v>
      </c>
      <c r="C52" s="520">
        <v>3336084</v>
      </c>
      <c r="D52" s="520">
        <v>181462</v>
      </c>
      <c r="E52" s="510">
        <f t="shared" si="0"/>
        <v>3517546</v>
      </c>
      <c r="F52" s="520">
        <v>3004953</v>
      </c>
      <c r="G52" s="520">
        <v>136104</v>
      </c>
      <c r="H52" s="521">
        <f t="shared" si="1"/>
        <v>3141057</v>
      </c>
    </row>
    <row r="53" spans="1:9" ht="15.75">
      <c r="A53" s="115">
        <v>31</v>
      </c>
      <c r="B53" s="49" t="s">
        <v>138</v>
      </c>
      <c r="C53" s="522">
        <f>C47+C48+C49+C50+C51+C52</f>
        <v>17121635</v>
      </c>
      <c r="D53" s="522">
        <f>D47+D48+D49+D50+D51+D52</f>
        <v>193146</v>
      </c>
      <c r="E53" s="510">
        <f t="shared" si="0"/>
        <v>17314781</v>
      </c>
      <c r="F53" s="522">
        <f>F47+F48+F49+F50+F51+F52</f>
        <v>16870375</v>
      </c>
      <c r="G53" s="522">
        <f>G47+G48+G49+G50+G51+G52</f>
        <v>192940</v>
      </c>
      <c r="H53" s="521">
        <f t="shared" si="1"/>
        <v>17063315</v>
      </c>
    </row>
    <row r="54" spans="1:9" ht="15.75">
      <c r="A54" s="115">
        <v>32</v>
      </c>
      <c r="B54" s="49" t="s">
        <v>139</v>
      </c>
      <c r="C54" s="522">
        <f>C45-C53</f>
        <v>-6057718</v>
      </c>
      <c r="D54" s="522">
        <f>D45-D53</f>
        <v>-3112525</v>
      </c>
      <c r="E54" s="510">
        <f t="shared" si="0"/>
        <v>-9170243</v>
      </c>
      <c r="F54" s="522">
        <f>F45-F53</f>
        <v>-7792412</v>
      </c>
      <c r="G54" s="522">
        <f>G45-G53</f>
        <v>-1804487</v>
      </c>
      <c r="H54" s="521">
        <f t="shared" si="1"/>
        <v>-9596899</v>
      </c>
    </row>
    <row r="55" spans="1:9">
      <c r="A55" s="115"/>
      <c r="B55" s="44"/>
      <c r="C55" s="524"/>
      <c r="D55" s="524"/>
      <c r="E55" s="524"/>
      <c r="F55" s="524"/>
      <c r="G55" s="524"/>
      <c r="H55" s="525"/>
    </row>
    <row r="56" spans="1:9" ht="15.75">
      <c r="A56" s="115">
        <v>33</v>
      </c>
      <c r="B56" s="49" t="s">
        <v>140</v>
      </c>
      <c r="C56" s="522">
        <f>C31+C54</f>
        <v>10417010</v>
      </c>
      <c r="D56" s="522">
        <f>D31+D54</f>
        <v>13682984</v>
      </c>
      <c r="E56" s="510">
        <f t="shared" si="0"/>
        <v>24099994</v>
      </c>
      <c r="F56" s="522">
        <f>F31+F54</f>
        <v>10532049</v>
      </c>
      <c r="G56" s="522">
        <f>G31+G54</f>
        <v>9887034</v>
      </c>
      <c r="H56" s="521">
        <f t="shared" si="1"/>
        <v>20419083</v>
      </c>
    </row>
    <row r="57" spans="1:9">
      <c r="A57" s="115"/>
      <c r="B57" s="44"/>
      <c r="C57" s="524"/>
      <c r="D57" s="524"/>
      <c r="E57" s="524"/>
      <c r="F57" s="524"/>
      <c r="G57" s="524"/>
      <c r="H57" s="525"/>
    </row>
    <row r="58" spans="1:9" ht="15.75">
      <c r="A58" s="115">
        <v>34</v>
      </c>
      <c r="B58" s="46" t="s">
        <v>141</v>
      </c>
      <c r="C58" s="520">
        <v>-5742774</v>
      </c>
      <c r="D58" s="520"/>
      <c r="E58" s="510">
        <f>C58</f>
        <v>-5742774</v>
      </c>
      <c r="F58" s="520">
        <v>44100371</v>
      </c>
      <c r="G58" s="520"/>
      <c r="H58" s="521">
        <f t="shared" si="1"/>
        <v>44100371</v>
      </c>
    </row>
    <row r="59" spans="1:9" s="190" customFormat="1" ht="15.75">
      <c r="A59" s="115">
        <v>35</v>
      </c>
      <c r="B59" s="43" t="s">
        <v>142</v>
      </c>
      <c r="C59" s="520">
        <v>-15380</v>
      </c>
      <c r="D59" s="527"/>
      <c r="E59" s="528">
        <f>C59</f>
        <v>-15380</v>
      </c>
      <c r="F59" s="529">
        <v>-1309033</v>
      </c>
      <c r="G59" s="529"/>
      <c r="H59" s="530">
        <f t="shared" si="1"/>
        <v>-1309033</v>
      </c>
      <c r="I59" s="189"/>
    </row>
    <row r="60" spans="1:9" ht="15.75">
      <c r="A60" s="115">
        <v>36</v>
      </c>
      <c r="B60" s="46" t="s">
        <v>143</v>
      </c>
      <c r="C60" s="520">
        <v>2644057</v>
      </c>
      <c r="D60" s="520"/>
      <c r="E60" s="510">
        <f>C60</f>
        <v>2644057</v>
      </c>
      <c r="F60" s="520">
        <v>13183944</v>
      </c>
      <c r="G60" s="520"/>
      <c r="H60" s="521">
        <f t="shared" si="1"/>
        <v>13183944</v>
      </c>
    </row>
    <row r="61" spans="1:9" ht="15.75">
      <c r="A61" s="115">
        <v>37</v>
      </c>
      <c r="B61" s="49" t="s">
        <v>144</v>
      </c>
      <c r="C61" s="522">
        <f>C58+C59+C60</f>
        <v>-3114097</v>
      </c>
      <c r="D61" s="522">
        <f>D58+D59+D60</f>
        <v>0</v>
      </c>
      <c r="E61" s="510">
        <f t="shared" si="0"/>
        <v>-3114097</v>
      </c>
      <c r="F61" s="522">
        <f>F58+F59+F60</f>
        <v>55975282</v>
      </c>
      <c r="G61" s="522">
        <f>G58+G59+G60</f>
        <v>0</v>
      </c>
      <c r="H61" s="521">
        <f t="shared" si="1"/>
        <v>55975282</v>
      </c>
    </row>
    <row r="62" spans="1:9">
      <c r="A62" s="115"/>
      <c r="B62" s="50"/>
      <c r="C62" s="520"/>
      <c r="D62" s="520"/>
      <c r="E62" s="520"/>
      <c r="F62" s="520"/>
      <c r="G62" s="520"/>
      <c r="H62" s="526"/>
    </row>
    <row r="63" spans="1:9" ht="15.75">
      <c r="A63" s="115">
        <v>38</v>
      </c>
      <c r="B63" s="51" t="s">
        <v>272</v>
      </c>
      <c r="C63" s="522">
        <f>C56-C61</f>
        <v>13531107</v>
      </c>
      <c r="D63" s="522">
        <f>D56-D61</f>
        <v>13682984</v>
      </c>
      <c r="E63" s="510">
        <f t="shared" si="0"/>
        <v>27214091</v>
      </c>
      <c r="F63" s="522">
        <f>F56-F61</f>
        <v>-45443233</v>
      </c>
      <c r="G63" s="522">
        <f>G56-G61</f>
        <v>9887034</v>
      </c>
      <c r="H63" s="521">
        <f t="shared" si="1"/>
        <v>-35556199</v>
      </c>
    </row>
    <row r="64" spans="1:9" ht="15.75">
      <c r="A64" s="113">
        <v>39</v>
      </c>
      <c r="B64" s="46" t="s">
        <v>145</v>
      </c>
      <c r="C64" s="531">
        <v>4231910</v>
      </c>
      <c r="D64" s="531"/>
      <c r="E64" s="510">
        <f t="shared" si="0"/>
        <v>4231910</v>
      </c>
      <c r="F64" s="531">
        <v>-5619115</v>
      </c>
      <c r="G64" s="531"/>
      <c r="H64" s="521">
        <f t="shared" si="1"/>
        <v>-5619115</v>
      </c>
    </row>
    <row r="65" spans="1:8" ht="15.75">
      <c r="A65" s="115">
        <v>40</v>
      </c>
      <c r="B65" s="49" t="s">
        <v>146</v>
      </c>
      <c r="C65" s="522">
        <f>C63-C64</f>
        <v>9299197</v>
      </c>
      <c r="D65" s="522">
        <f>D63-D64</f>
        <v>13682984</v>
      </c>
      <c r="E65" s="510">
        <f t="shared" si="0"/>
        <v>22982181</v>
      </c>
      <c r="F65" s="522">
        <f>F63-F64</f>
        <v>-39824118</v>
      </c>
      <c r="G65" s="522">
        <f>G63-G64</f>
        <v>9887034</v>
      </c>
      <c r="H65" s="521">
        <f t="shared" si="1"/>
        <v>-29937084</v>
      </c>
    </row>
    <row r="66" spans="1:8" ht="15.75">
      <c r="A66" s="113">
        <v>41</v>
      </c>
      <c r="B66" s="46" t="s">
        <v>147</v>
      </c>
      <c r="C66" s="531">
        <v>0</v>
      </c>
      <c r="D66" s="531"/>
      <c r="E66" s="510">
        <f t="shared" si="0"/>
        <v>0</v>
      </c>
      <c r="F66" s="531">
        <v>0</v>
      </c>
      <c r="G66" s="531"/>
      <c r="H66" s="521">
        <f t="shared" si="1"/>
        <v>0</v>
      </c>
    </row>
    <row r="67" spans="1:8" ht="16.5" thickBot="1">
      <c r="A67" s="117">
        <v>42</v>
      </c>
      <c r="B67" s="118" t="s">
        <v>148</v>
      </c>
      <c r="C67" s="218">
        <f>C65+C66</f>
        <v>9299197</v>
      </c>
      <c r="D67" s="218">
        <f>D65+D66</f>
        <v>13682984</v>
      </c>
      <c r="E67" s="216">
        <f t="shared" si="0"/>
        <v>22982181</v>
      </c>
      <c r="F67" s="218">
        <f>F65+F66</f>
        <v>-39824118</v>
      </c>
      <c r="G67" s="218">
        <f>G65+G66</f>
        <v>9887034</v>
      </c>
      <c r="H67" s="219">
        <f t="shared" si="1"/>
        <v>-29937084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16" zoomScaleNormal="100" workbookViewId="0">
      <selection activeCell="E20" sqref="E20"/>
    </sheetView>
  </sheetViews>
  <sheetFormatPr defaultRowHeight="15"/>
  <cols>
    <col min="1" max="1" width="9.5703125" bestFit="1" customWidth="1"/>
    <col min="2" max="2" width="72.28515625" customWidth="1"/>
    <col min="3" max="8" width="12.7109375" customWidth="1"/>
  </cols>
  <sheetData>
    <row r="1" spans="1:8">
      <c r="A1" s="1" t="s">
        <v>188</v>
      </c>
      <c r="B1" t="str">
        <f>Info!C2</f>
        <v>სს "ბანკი ქართუ"</v>
      </c>
    </row>
    <row r="2" spans="1:8">
      <c r="A2" s="1" t="s">
        <v>189</v>
      </c>
      <c r="B2" s="390">
        <f>'1. key ratios'!B2</f>
        <v>44469</v>
      </c>
    </row>
    <row r="3" spans="1:8">
      <c r="A3" s="1"/>
    </row>
    <row r="4" spans="1:8" ht="16.5" thickBot="1">
      <c r="A4" s="1" t="s">
        <v>408</v>
      </c>
      <c r="B4" s="1"/>
      <c r="C4" s="199"/>
      <c r="D4" s="199"/>
      <c r="E4" s="199"/>
      <c r="F4" s="199"/>
      <c r="G4" s="199"/>
      <c r="H4" s="200" t="s">
        <v>93</v>
      </c>
    </row>
    <row r="5" spans="1:8" ht="15.75">
      <c r="A5" s="688" t="s">
        <v>26</v>
      </c>
      <c r="B5" s="690" t="s">
        <v>245</v>
      </c>
      <c r="C5" s="692" t="s">
        <v>194</v>
      </c>
      <c r="D5" s="692"/>
      <c r="E5" s="692"/>
      <c r="F5" s="692" t="s">
        <v>195</v>
      </c>
      <c r="G5" s="692"/>
      <c r="H5" s="693"/>
    </row>
    <row r="6" spans="1:8">
      <c r="A6" s="689"/>
      <c r="B6" s="691"/>
      <c r="C6" s="32" t="s">
        <v>27</v>
      </c>
      <c r="D6" s="32" t="s">
        <v>94</v>
      </c>
      <c r="E6" s="32" t="s">
        <v>68</v>
      </c>
      <c r="F6" s="32" t="s">
        <v>27</v>
      </c>
      <c r="G6" s="32" t="s">
        <v>94</v>
      </c>
      <c r="H6" s="33" t="s">
        <v>68</v>
      </c>
    </row>
    <row r="7" spans="1:8" ht="15.75">
      <c r="A7" s="107">
        <v>1</v>
      </c>
      <c r="B7" s="201" t="s">
        <v>483</v>
      </c>
      <c r="C7" s="214"/>
      <c r="D7" s="214"/>
      <c r="E7" s="220">
        <f>C7+D7</f>
        <v>0</v>
      </c>
      <c r="F7" s="214"/>
      <c r="G7" s="214"/>
      <c r="H7" s="215">
        <f t="shared" ref="H7:H53" si="0">F7+G7</f>
        <v>0</v>
      </c>
    </row>
    <row r="8" spans="1:8" ht="15.75">
      <c r="A8" s="107">
        <v>1.1000000000000001</v>
      </c>
      <c r="B8" s="202" t="s">
        <v>276</v>
      </c>
      <c r="C8" s="512">
        <v>41152177</v>
      </c>
      <c r="D8" s="512">
        <v>16126263</v>
      </c>
      <c r="E8" s="532">
        <f>C8+D8</f>
        <v>57278440</v>
      </c>
      <c r="F8" s="512">
        <v>18336605</v>
      </c>
      <c r="G8" s="512">
        <v>9994901</v>
      </c>
      <c r="H8" s="513">
        <f t="shared" si="0"/>
        <v>28331506</v>
      </c>
    </row>
    <row r="9" spans="1:8" ht="15.75">
      <c r="A9" s="107">
        <v>1.2</v>
      </c>
      <c r="B9" s="202" t="s">
        <v>277</v>
      </c>
      <c r="C9" s="512"/>
      <c r="D9" s="512">
        <v>0</v>
      </c>
      <c r="E9" s="532">
        <f t="shared" ref="E9:E52" si="1">C9+D9</f>
        <v>0</v>
      </c>
      <c r="F9" s="512"/>
      <c r="G9" s="512"/>
      <c r="H9" s="513">
        <f t="shared" si="0"/>
        <v>0</v>
      </c>
    </row>
    <row r="10" spans="1:8" ht="15.75">
      <c r="A10" s="107">
        <v>1.3</v>
      </c>
      <c r="B10" s="202" t="s">
        <v>278</v>
      </c>
      <c r="C10" s="512">
        <v>11971172</v>
      </c>
      <c r="D10" s="512">
        <v>11819369</v>
      </c>
      <c r="E10" s="532">
        <f t="shared" si="1"/>
        <v>23790541</v>
      </c>
      <c r="F10" s="512">
        <v>29275630</v>
      </c>
      <c r="G10" s="512">
        <v>17239287</v>
      </c>
      <c r="H10" s="513">
        <f t="shared" si="0"/>
        <v>46514917</v>
      </c>
    </row>
    <row r="11" spans="1:8" ht="15.75">
      <c r="A11" s="107">
        <v>1.4</v>
      </c>
      <c r="B11" s="202" t="s">
        <v>279</v>
      </c>
      <c r="C11" s="512">
        <v>11710</v>
      </c>
      <c r="D11" s="512">
        <v>0</v>
      </c>
      <c r="E11" s="532">
        <f t="shared" si="1"/>
        <v>11710</v>
      </c>
      <c r="F11" s="512">
        <v>20729</v>
      </c>
      <c r="G11" s="512">
        <v>0</v>
      </c>
      <c r="H11" s="513">
        <f t="shared" si="0"/>
        <v>20729</v>
      </c>
    </row>
    <row r="12" spans="1:8" ht="29.25" customHeight="1">
      <c r="A12" s="107">
        <v>2</v>
      </c>
      <c r="B12" s="201" t="s">
        <v>280</v>
      </c>
      <c r="C12" s="512"/>
      <c r="D12" s="512"/>
      <c r="E12" s="532">
        <f t="shared" si="1"/>
        <v>0</v>
      </c>
      <c r="F12" s="512"/>
      <c r="G12" s="512"/>
      <c r="H12" s="513">
        <f t="shared" si="0"/>
        <v>0</v>
      </c>
    </row>
    <row r="13" spans="1:8" ht="25.5">
      <c r="A13" s="107">
        <v>3</v>
      </c>
      <c r="B13" s="201" t="s">
        <v>281</v>
      </c>
      <c r="C13" s="512"/>
      <c r="D13" s="512"/>
      <c r="E13" s="532">
        <f t="shared" si="1"/>
        <v>0</v>
      </c>
      <c r="F13" s="512"/>
      <c r="G13" s="512"/>
      <c r="H13" s="513">
        <f t="shared" si="0"/>
        <v>0</v>
      </c>
    </row>
    <row r="14" spans="1:8" ht="15.75">
      <c r="A14" s="107">
        <v>3.1</v>
      </c>
      <c r="B14" s="202" t="s">
        <v>282</v>
      </c>
      <c r="C14" s="512"/>
      <c r="D14" s="512"/>
      <c r="E14" s="532">
        <f t="shared" si="1"/>
        <v>0</v>
      </c>
      <c r="F14" s="512"/>
      <c r="G14" s="512"/>
      <c r="H14" s="513">
        <f t="shared" si="0"/>
        <v>0</v>
      </c>
    </row>
    <row r="15" spans="1:8" ht="15.75">
      <c r="A15" s="107">
        <v>3.2</v>
      </c>
      <c r="B15" s="202" t="s">
        <v>283</v>
      </c>
      <c r="C15" s="512"/>
      <c r="D15" s="512"/>
      <c r="E15" s="532">
        <f t="shared" si="1"/>
        <v>0</v>
      </c>
      <c r="F15" s="512"/>
      <c r="G15" s="512"/>
      <c r="H15" s="513">
        <f t="shared" si="0"/>
        <v>0</v>
      </c>
    </row>
    <row r="16" spans="1:8" ht="15.75">
      <c r="A16" s="107">
        <v>4</v>
      </c>
      <c r="B16" s="201" t="s">
        <v>284</v>
      </c>
      <c r="C16" s="512"/>
      <c r="D16" s="512"/>
      <c r="E16" s="532">
        <f t="shared" si="1"/>
        <v>0</v>
      </c>
      <c r="F16" s="512"/>
      <c r="G16" s="512"/>
      <c r="H16" s="513">
        <f t="shared" si="0"/>
        <v>0</v>
      </c>
    </row>
    <row r="17" spans="1:8" ht="15.75">
      <c r="A17" s="107">
        <v>4.0999999999999996</v>
      </c>
      <c r="B17" s="202" t="s">
        <v>285</v>
      </c>
      <c r="C17" s="512">
        <v>10092886.250000002</v>
      </c>
      <c r="D17" s="512">
        <v>3286638.9546519998</v>
      </c>
      <c r="E17" s="532">
        <f t="shared" si="1"/>
        <v>13379525.204652002</v>
      </c>
      <c r="F17" s="512">
        <v>8661128.8327211104</v>
      </c>
      <c r="G17" s="512">
        <v>7089427.5919341538</v>
      </c>
      <c r="H17" s="513">
        <f t="shared" si="0"/>
        <v>15750556.424655264</v>
      </c>
    </row>
    <row r="18" spans="1:8" ht="15.75">
      <c r="A18" s="107">
        <v>4.2</v>
      </c>
      <c r="B18" s="202" t="s">
        <v>286</v>
      </c>
      <c r="C18" s="512">
        <v>132561316.3346967</v>
      </c>
      <c r="D18" s="512">
        <v>395237030.78288585</v>
      </c>
      <c r="E18" s="532">
        <f t="shared" si="1"/>
        <v>527798347.11758256</v>
      </c>
      <c r="F18" s="512">
        <v>136597797.56523067</v>
      </c>
      <c r="G18" s="512">
        <v>399109572.49631786</v>
      </c>
      <c r="H18" s="513">
        <f t="shared" si="0"/>
        <v>535707370.06154853</v>
      </c>
    </row>
    <row r="19" spans="1:8" ht="25.5">
      <c r="A19" s="107">
        <v>5</v>
      </c>
      <c r="B19" s="201" t="s">
        <v>287</v>
      </c>
      <c r="C19" s="512"/>
      <c r="D19" s="512"/>
      <c r="E19" s="532">
        <f t="shared" si="1"/>
        <v>0</v>
      </c>
      <c r="F19" s="512"/>
      <c r="G19" s="512"/>
      <c r="H19" s="513">
        <f t="shared" si="0"/>
        <v>0</v>
      </c>
    </row>
    <row r="20" spans="1:8" ht="15.75">
      <c r="A20" s="107">
        <v>5.0999999999999996</v>
      </c>
      <c r="B20" s="202" t="s">
        <v>288</v>
      </c>
      <c r="C20" s="512">
        <v>2690799.33</v>
      </c>
      <c r="D20" s="512">
        <v>35408506.412600003</v>
      </c>
      <c r="E20" s="532">
        <f t="shared" si="1"/>
        <v>38099305.742600001</v>
      </c>
      <c r="F20" s="512">
        <v>577450.01000000013</v>
      </c>
      <c r="G20" s="512">
        <v>37008346.155388005</v>
      </c>
      <c r="H20" s="513">
        <f t="shared" si="0"/>
        <v>37585796.165388003</v>
      </c>
    </row>
    <row r="21" spans="1:8" ht="15.75">
      <c r="A21" s="107">
        <v>5.2</v>
      </c>
      <c r="B21" s="202" t="s">
        <v>289</v>
      </c>
      <c r="C21" s="512">
        <v>0</v>
      </c>
      <c r="D21" s="512">
        <v>0</v>
      </c>
      <c r="E21" s="532">
        <f t="shared" si="1"/>
        <v>0</v>
      </c>
      <c r="F21" s="512">
        <v>0</v>
      </c>
      <c r="G21" s="512">
        <v>0</v>
      </c>
      <c r="H21" s="513">
        <f t="shared" si="0"/>
        <v>0</v>
      </c>
    </row>
    <row r="22" spans="1:8" ht="15.75">
      <c r="A22" s="107">
        <v>5.3</v>
      </c>
      <c r="B22" s="202" t="s">
        <v>290</v>
      </c>
      <c r="C22" s="512">
        <v>16744453.599999998</v>
      </c>
      <c r="D22" s="512">
        <v>1762158453.3560596</v>
      </c>
      <c r="E22" s="532">
        <f t="shared" si="1"/>
        <v>1778902906.9560595</v>
      </c>
      <c r="F22" s="512">
        <v>17688364</v>
      </c>
      <c r="G22" s="512">
        <v>2034564891.4408026</v>
      </c>
      <c r="H22" s="513">
        <f t="shared" si="0"/>
        <v>2052253255.4408026</v>
      </c>
    </row>
    <row r="23" spans="1:8" ht="15.75">
      <c r="A23" s="107" t="s">
        <v>291</v>
      </c>
      <c r="B23" s="203" t="s">
        <v>292</v>
      </c>
      <c r="C23" s="512">
        <v>312280</v>
      </c>
      <c r="D23" s="512">
        <v>208611860.10264289</v>
      </c>
      <c r="E23" s="532">
        <f t="shared" si="1"/>
        <v>208924140.10264289</v>
      </c>
      <c r="F23" s="512">
        <v>328780</v>
      </c>
      <c r="G23" s="512">
        <v>185009594.32806396</v>
      </c>
      <c r="H23" s="513">
        <f t="shared" si="0"/>
        <v>185338374.32806396</v>
      </c>
    </row>
    <row r="24" spans="1:8" ht="15.75">
      <c r="A24" s="107" t="s">
        <v>293</v>
      </c>
      <c r="B24" s="203" t="s">
        <v>294</v>
      </c>
      <c r="C24" s="512">
        <v>740103.6</v>
      </c>
      <c r="D24" s="512">
        <v>961420677.67804754</v>
      </c>
      <c r="E24" s="532">
        <f t="shared" si="1"/>
        <v>962160781.27804756</v>
      </c>
      <c r="F24" s="512">
        <v>838389</v>
      </c>
      <c r="G24" s="512">
        <v>1038000974.5723</v>
      </c>
      <c r="H24" s="513">
        <f t="shared" si="0"/>
        <v>1038839363.5723</v>
      </c>
    </row>
    <row r="25" spans="1:8" ht="15.75">
      <c r="A25" s="107" t="s">
        <v>295</v>
      </c>
      <c r="B25" s="204" t="s">
        <v>296</v>
      </c>
      <c r="C25" s="512">
        <v>0</v>
      </c>
      <c r="D25" s="512">
        <v>142093487.90909797</v>
      </c>
      <c r="E25" s="532">
        <f t="shared" si="1"/>
        <v>142093487.90909797</v>
      </c>
      <c r="F25" s="512">
        <v>0</v>
      </c>
      <c r="G25" s="512">
        <v>212485960.66663432</v>
      </c>
      <c r="H25" s="513">
        <f t="shared" si="0"/>
        <v>212485960.66663432</v>
      </c>
    </row>
    <row r="26" spans="1:8" ht="15.75">
      <c r="A26" s="107" t="s">
        <v>297</v>
      </c>
      <c r="B26" s="203" t="s">
        <v>298</v>
      </c>
      <c r="C26" s="512">
        <v>15692069.999999998</v>
      </c>
      <c r="D26" s="512">
        <v>396359168.47190034</v>
      </c>
      <c r="E26" s="532">
        <f t="shared" si="1"/>
        <v>412051238.47190034</v>
      </c>
      <c r="F26" s="512">
        <v>16521195</v>
      </c>
      <c r="G26" s="512">
        <v>495090416.72669321</v>
      </c>
      <c r="H26" s="513">
        <f t="shared" si="0"/>
        <v>511611611.72669321</v>
      </c>
    </row>
    <row r="27" spans="1:8" ht="15.75">
      <c r="A27" s="107" t="s">
        <v>299</v>
      </c>
      <c r="B27" s="203" t="s">
        <v>300</v>
      </c>
      <c r="C27" s="512">
        <v>0</v>
      </c>
      <c r="D27" s="512">
        <v>53673259.194370702</v>
      </c>
      <c r="E27" s="532">
        <f t="shared" si="1"/>
        <v>53673259.194370702</v>
      </c>
      <c r="F27" s="512">
        <v>0</v>
      </c>
      <c r="G27" s="512">
        <v>103977945.14711112</v>
      </c>
      <c r="H27" s="513">
        <f t="shared" si="0"/>
        <v>103977945.14711112</v>
      </c>
    </row>
    <row r="28" spans="1:8" ht="15.75">
      <c r="A28" s="107">
        <v>5.4</v>
      </c>
      <c r="B28" s="202" t="s">
        <v>301</v>
      </c>
      <c r="C28" s="512">
        <v>177479892.69858277</v>
      </c>
      <c r="D28" s="512">
        <v>368542063.29968226</v>
      </c>
      <c r="E28" s="532">
        <f t="shared" si="1"/>
        <v>546021955.99826503</v>
      </c>
      <c r="F28" s="512">
        <v>246311017.66981941</v>
      </c>
      <c r="G28" s="512">
        <v>431714243.98869896</v>
      </c>
      <c r="H28" s="513">
        <f t="shared" si="0"/>
        <v>678025261.65851831</v>
      </c>
    </row>
    <row r="29" spans="1:8" ht="15.75">
      <c r="A29" s="107">
        <v>5.5</v>
      </c>
      <c r="B29" s="202" t="s">
        <v>302</v>
      </c>
      <c r="C29" s="512">
        <v>10726543.02</v>
      </c>
      <c r="D29" s="512">
        <v>202544808.39050001</v>
      </c>
      <c r="E29" s="532">
        <f t="shared" si="1"/>
        <v>213271351.41050002</v>
      </c>
      <c r="F29" s="512">
        <v>12670043</v>
      </c>
      <c r="G29" s="512">
        <v>171475215.5756</v>
      </c>
      <c r="H29" s="513">
        <f t="shared" si="0"/>
        <v>184145258.5756</v>
      </c>
    </row>
    <row r="30" spans="1:8" ht="15.75">
      <c r="A30" s="107">
        <v>5.6</v>
      </c>
      <c r="B30" s="202" t="s">
        <v>303</v>
      </c>
      <c r="C30" s="512">
        <v>0</v>
      </c>
      <c r="D30" s="512">
        <v>4840340</v>
      </c>
      <c r="E30" s="532">
        <f t="shared" si="1"/>
        <v>4840340</v>
      </c>
      <c r="F30" s="512">
        <v>0</v>
      </c>
      <c r="G30" s="512">
        <v>5096090</v>
      </c>
      <c r="H30" s="513">
        <f t="shared" si="0"/>
        <v>5096090</v>
      </c>
    </row>
    <row r="31" spans="1:8" ht="15.75">
      <c r="A31" s="107">
        <v>5.7</v>
      </c>
      <c r="B31" s="202" t="s">
        <v>304</v>
      </c>
      <c r="C31" s="512">
        <v>13986587.449999999</v>
      </c>
      <c r="D31" s="512">
        <v>30578457.619999975</v>
      </c>
      <c r="E31" s="532">
        <f t="shared" si="1"/>
        <v>44565045.069999978</v>
      </c>
      <c r="F31" s="512">
        <v>23120083.710000001</v>
      </c>
      <c r="G31" s="512">
        <v>94241722.770399958</v>
      </c>
      <c r="H31" s="513">
        <f t="shared" si="0"/>
        <v>117361806.48039997</v>
      </c>
    </row>
    <row r="32" spans="1:8" ht="15.75">
      <c r="A32" s="107">
        <v>6</v>
      </c>
      <c r="B32" s="201" t="s">
        <v>305</v>
      </c>
      <c r="C32" s="512"/>
      <c r="D32" s="512"/>
      <c r="E32" s="532">
        <f t="shared" si="1"/>
        <v>0</v>
      </c>
      <c r="F32" s="512"/>
      <c r="G32" s="512"/>
      <c r="H32" s="513">
        <f t="shared" si="0"/>
        <v>0</v>
      </c>
    </row>
    <row r="33" spans="1:8" ht="25.5">
      <c r="A33" s="107">
        <v>6.1</v>
      </c>
      <c r="B33" s="202" t="s">
        <v>484</v>
      </c>
      <c r="C33" s="512"/>
      <c r="D33" s="512">
        <v>41921151.090000004</v>
      </c>
      <c r="E33" s="532">
        <f t="shared" si="1"/>
        <v>41921151.090000004</v>
      </c>
      <c r="F33" s="512"/>
      <c r="G33" s="512"/>
      <c r="H33" s="513">
        <f t="shared" si="0"/>
        <v>0</v>
      </c>
    </row>
    <row r="34" spans="1:8" ht="25.5">
      <c r="A34" s="107">
        <v>6.2</v>
      </c>
      <c r="B34" s="202" t="s">
        <v>306</v>
      </c>
      <c r="C34" s="512">
        <v>12562800</v>
      </c>
      <c r="D34" s="512">
        <v>29127200</v>
      </c>
      <c r="E34" s="532">
        <f t="shared" si="1"/>
        <v>41690000</v>
      </c>
      <c r="F34" s="512"/>
      <c r="G34" s="512"/>
      <c r="H34" s="513">
        <f t="shared" si="0"/>
        <v>0</v>
      </c>
    </row>
    <row r="35" spans="1:8" ht="25.5">
      <c r="A35" s="107">
        <v>6.3</v>
      </c>
      <c r="B35" s="202" t="s">
        <v>307</v>
      </c>
      <c r="C35" s="512"/>
      <c r="D35" s="512"/>
      <c r="E35" s="532">
        <f t="shared" si="1"/>
        <v>0</v>
      </c>
      <c r="F35" s="512"/>
      <c r="G35" s="512"/>
      <c r="H35" s="513">
        <f t="shared" si="0"/>
        <v>0</v>
      </c>
    </row>
    <row r="36" spans="1:8" ht="15.75">
      <c r="A36" s="107">
        <v>6.4</v>
      </c>
      <c r="B36" s="202" t="s">
        <v>308</v>
      </c>
      <c r="C36" s="512"/>
      <c r="D36" s="512"/>
      <c r="E36" s="532">
        <f t="shared" si="1"/>
        <v>0</v>
      </c>
      <c r="F36" s="512"/>
      <c r="G36" s="512"/>
      <c r="H36" s="513">
        <f t="shared" si="0"/>
        <v>0</v>
      </c>
    </row>
    <row r="37" spans="1:8" ht="15.75">
      <c r="A37" s="107">
        <v>6.5</v>
      </c>
      <c r="B37" s="202" t="s">
        <v>309</v>
      </c>
      <c r="C37" s="512"/>
      <c r="D37" s="512"/>
      <c r="E37" s="532">
        <f t="shared" si="1"/>
        <v>0</v>
      </c>
      <c r="F37" s="512"/>
      <c r="G37" s="512"/>
      <c r="H37" s="513">
        <f t="shared" si="0"/>
        <v>0</v>
      </c>
    </row>
    <row r="38" spans="1:8" ht="25.5">
      <c r="A38" s="107">
        <v>6.6</v>
      </c>
      <c r="B38" s="202" t="s">
        <v>310</v>
      </c>
      <c r="C38" s="512"/>
      <c r="D38" s="512"/>
      <c r="E38" s="532">
        <f t="shared" si="1"/>
        <v>0</v>
      </c>
      <c r="F38" s="512"/>
      <c r="G38" s="512"/>
      <c r="H38" s="513">
        <f t="shared" si="0"/>
        <v>0</v>
      </c>
    </row>
    <row r="39" spans="1:8" ht="25.5">
      <c r="A39" s="107">
        <v>6.7</v>
      </c>
      <c r="B39" s="202" t="s">
        <v>311</v>
      </c>
      <c r="C39" s="512"/>
      <c r="D39" s="512"/>
      <c r="E39" s="532">
        <f t="shared" si="1"/>
        <v>0</v>
      </c>
      <c r="F39" s="512"/>
      <c r="G39" s="512"/>
      <c r="H39" s="513">
        <f t="shared" si="0"/>
        <v>0</v>
      </c>
    </row>
    <row r="40" spans="1:8" ht="15.75">
      <c r="A40" s="107">
        <v>7</v>
      </c>
      <c r="B40" s="201" t="s">
        <v>312</v>
      </c>
      <c r="C40" s="512"/>
      <c r="D40" s="512"/>
      <c r="E40" s="532">
        <f t="shared" si="1"/>
        <v>0</v>
      </c>
      <c r="F40" s="512"/>
      <c r="G40" s="512"/>
      <c r="H40" s="513">
        <f t="shared" si="0"/>
        <v>0</v>
      </c>
    </row>
    <row r="41" spans="1:8" ht="25.5">
      <c r="A41" s="107">
        <v>7.1</v>
      </c>
      <c r="B41" s="202" t="s">
        <v>313</v>
      </c>
      <c r="C41" s="512">
        <v>25832.460000000021</v>
      </c>
      <c r="D41" s="512">
        <v>1637011.91</v>
      </c>
      <c r="E41" s="532">
        <f t="shared" si="1"/>
        <v>1662844.3699999999</v>
      </c>
      <c r="F41" s="512">
        <v>0</v>
      </c>
      <c r="G41" s="512">
        <v>143082.62</v>
      </c>
      <c r="H41" s="513">
        <f t="shared" si="0"/>
        <v>143082.62</v>
      </c>
    </row>
    <row r="42" spans="1:8" ht="25.5">
      <c r="A42" s="107">
        <v>7.2</v>
      </c>
      <c r="B42" s="202" t="s">
        <v>314</v>
      </c>
      <c r="C42" s="512">
        <v>2828089.8800000129</v>
      </c>
      <c r="D42" s="512">
        <v>4954332.5599999866</v>
      </c>
      <c r="E42" s="532">
        <f t="shared" si="1"/>
        <v>7782422.4399999995</v>
      </c>
      <c r="F42" s="512">
        <v>2472070.4300000197</v>
      </c>
      <c r="G42" s="512">
        <v>5654908.6000000201</v>
      </c>
      <c r="H42" s="513">
        <f t="shared" si="0"/>
        <v>8126979.0300000403</v>
      </c>
    </row>
    <row r="43" spans="1:8" ht="25.5">
      <c r="A43" s="107">
        <v>7.3</v>
      </c>
      <c r="B43" s="202" t="s">
        <v>315</v>
      </c>
      <c r="C43" s="512">
        <v>4913062.4899999993</v>
      </c>
      <c r="D43" s="512">
        <v>9394483.1100000013</v>
      </c>
      <c r="E43" s="532">
        <f t="shared" si="1"/>
        <v>14307545.600000001</v>
      </c>
      <c r="F43" s="512">
        <v>3303710.1599999992</v>
      </c>
      <c r="G43" s="512">
        <v>7302155.5600000005</v>
      </c>
      <c r="H43" s="513">
        <f t="shared" si="0"/>
        <v>10605865.719999999</v>
      </c>
    </row>
    <row r="44" spans="1:8" ht="25.5">
      <c r="A44" s="107">
        <v>7.4</v>
      </c>
      <c r="B44" s="202" t="s">
        <v>316</v>
      </c>
      <c r="C44" s="512">
        <v>60473206.619997665</v>
      </c>
      <c r="D44" s="512">
        <v>136563381.57000548</v>
      </c>
      <c r="E44" s="532">
        <f t="shared" si="1"/>
        <v>197036588.19000316</v>
      </c>
      <c r="F44" s="512">
        <v>60746690.059996404</v>
      </c>
      <c r="G44" s="512">
        <v>130626558.96000335</v>
      </c>
      <c r="H44" s="513">
        <f t="shared" si="0"/>
        <v>191373249.01999974</v>
      </c>
    </row>
    <row r="45" spans="1:8" ht="15.75">
      <c r="A45" s="107">
        <v>8</v>
      </c>
      <c r="B45" s="201" t="s">
        <v>317</v>
      </c>
      <c r="C45" s="512">
        <v>733993.55375199998</v>
      </c>
      <c r="D45" s="512">
        <v>0</v>
      </c>
      <c r="E45" s="532">
        <f>SUM(E46:E52)</f>
        <v>733993.55375199998</v>
      </c>
      <c r="F45" s="512">
        <v>866963.65735200013</v>
      </c>
      <c r="G45" s="512">
        <v>0</v>
      </c>
      <c r="H45" s="513">
        <f t="shared" si="0"/>
        <v>866963.65735200013</v>
      </c>
    </row>
    <row r="46" spans="1:8" ht="15.75">
      <c r="A46" s="107">
        <v>8.1</v>
      </c>
      <c r="B46" s="202" t="s">
        <v>318</v>
      </c>
      <c r="C46" s="512">
        <v>101278.97875200001</v>
      </c>
      <c r="D46" s="512">
        <v>0</v>
      </c>
      <c r="E46" s="532">
        <f t="shared" si="1"/>
        <v>101278.97875200001</v>
      </c>
      <c r="F46" s="512">
        <v>104788.47235199998</v>
      </c>
      <c r="G46" s="512">
        <v>0</v>
      </c>
      <c r="H46" s="513">
        <f t="shared" si="0"/>
        <v>104788.47235199998</v>
      </c>
    </row>
    <row r="47" spans="1:8" ht="15.75">
      <c r="A47" s="107">
        <v>8.1999999999999993</v>
      </c>
      <c r="B47" s="202" t="s">
        <v>319</v>
      </c>
      <c r="C47" s="512">
        <v>579707.61499999999</v>
      </c>
      <c r="D47" s="512">
        <v>0</v>
      </c>
      <c r="E47" s="532">
        <f t="shared" si="1"/>
        <v>579707.61499999999</v>
      </c>
      <c r="F47" s="512">
        <v>712836.29000000015</v>
      </c>
      <c r="G47" s="512">
        <v>0</v>
      </c>
      <c r="H47" s="513">
        <f t="shared" si="0"/>
        <v>712836.29000000015</v>
      </c>
    </row>
    <row r="48" spans="1:8" ht="15.75">
      <c r="A48" s="107">
        <v>8.3000000000000007</v>
      </c>
      <c r="B48" s="202" t="s">
        <v>320</v>
      </c>
      <c r="C48" s="512">
        <v>36559.599999999999</v>
      </c>
      <c r="D48" s="512">
        <v>0</v>
      </c>
      <c r="E48" s="532">
        <f t="shared" si="1"/>
        <v>36559.599999999999</v>
      </c>
      <c r="F48" s="512">
        <v>32505.735000000001</v>
      </c>
      <c r="G48" s="512">
        <v>0</v>
      </c>
      <c r="H48" s="513">
        <f t="shared" si="0"/>
        <v>32505.735000000001</v>
      </c>
    </row>
    <row r="49" spans="1:8" ht="15.75">
      <c r="A49" s="107">
        <v>8.4</v>
      </c>
      <c r="B49" s="202" t="s">
        <v>321</v>
      </c>
      <c r="C49" s="512">
        <v>14347.36</v>
      </c>
      <c r="D49" s="512">
        <v>0</v>
      </c>
      <c r="E49" s="532">
        <f t="shared" si="1"/>
        <v>14347.36</v>
      </c>
      <c r="F49" s="512">
        <v>11133.16</v>
      </c>
      <c r="G49" s="512">
        <v>0</v>
      </c>
      <c r="H49" s="513">
        <f t="shared" si="0"/>
        <v>11133.16</v>
      </c>
    </row>
    <row r="50" spans="1:8" ht="15.75">
      <c r="A50" s="107">
        <v>8.5</v>
      </c>
      <c r="B50" s="202" t="s">
        <v>322</v>
      </c>
      <c r="C50" s="512">
        <v>2100</v>
      </c>
      <c r="D50" s="512">
        <v>0</v>
      </c>
      <c r="E50" s="532">
        <f t="shared" si="1"/>
        <v>2100</v>
      </c>
      <c r="F50" s="512">
        <v>3600</v>
      </c>
      <c r="G50" s="512">
        <v>0</v>
      </c>
      <c r="H50" s="513">
        <f t="shared" si="0"/>
        <v>3600</v>
      </c>
    </row>
    <row r="51" spans="1:8" ht="15.75">
      <c r="A51" s="107">
        <v>8.6</v>
      </c>
      <c r="B51" s="202" t="s">
        <v>323</v>
      </c>
      <c r="C51" s="512">
        <v>0</v>
      </c>
      <c r="D51" s="512">
        <v>0</v>
      </c>
      <c r="E51" s="532">
        <f t="shared" si="1"/>
        <v>0</v>
      </c>
      <c r="F51" s="512">
        <v>2100</v>
      </c>
      <c r="G51" s="512">
        <v>0</v>
      </c>
      <c r="H51" s="513">
        <f t="shared" si="0"/>
        <v>2100</v>
      </c>
    </row>
    <row r="52" spans="1:8" ht="15.75">
      <c r="A52" s="107">
        <v>8.6999999999999993</v>
      </c>
      <c r="B52" s="202" t="s">
        <v>324</v>
      </c>
      <c r="C52" s="512">
        <v>0</v>
      </c>
      <c r="D52" s="512">
        <v>0</v>
      </c>
      <c r="E52" s="532">
        <f t="shared" si="1"/>
        <v>0</v>
      </c>
      <c r="F52" s="512">
        <v>0</v>
      </c>
      <c r="G52" s="512">
        <v>0</v>
      </c>
      <c r="H52" s="513">
        <f t="shared" si="0"/>
        <v>0</v>
      </c>
    </row>
    <row r="53" spans="1:8" ht="16.5" thickBot="1">
      <c r="A53" s="205">
        <v>9</v>
      </c>
      <c r="B53" s="206" t="s">
        <v>325</v>
      </c>
      <c r="C53" s="221"/>
      <c r="D53" s="221"/>
      <c r="E53" s="222">
        <f t="shared" ref="E53" si="2">C53+D53</f>
        <v>0</v>
      </c>
      <c r="F53" s="221"/>
      <c r="G53" s="221"/>
      <c r="H53" s="217">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pane="topRight"/>
      <selection pane="bottomLeft"/>
      <selection pane="bottomRight"/>
    </sheetView>
  </sheetViews>
  <sheetFormatPr defaultColWidth="9.28515625" defaultRowHeight="12.75"/>
  <cols>
    <col min="1" max="1" width="9.5703125" style="1" bestFit="1" customWidth="1"/>
    <col min="2" max="2" width="93.5703125" style="1" customWidth="1"/>
    <col min="3" max="4" width="14" style="1" customWidth="1"/>
    <col min="5" max="7" width="14" style="9" customWidth="1"/>
    <col min="8" max="11" width="9.7109375" style="9" customWidth="1"/>
    <col min="12" max="16384" width="9.28515625" style="9"/>
  </cols>
  <sheetData>
    <row r="1" spans="1:7" ht="15">
      <c r="A1" s="14" t="s">
        <v>188</v>
      </c>
      <c r="B1" s="13" t="str">
        <f>Info!C2</f>
        <v>სს "ბანკი ქართუ"</v>
      </c>
      <c r="C1" s="13"/>
    </row>
    <row r="2" spans="1:7" ht="15">
      <c r="A2" s="14" t="s">
        <v>189</v>
      </c>
      <c r="B2" s="378">
        <f>'1. key ratios'!B2</f>
        <v>44469</v>
      </c>
      <c r="C2" s="13"/>
    </row>
    <row r="3" spans="1:7" ht="15">
      <c r="A3" s="14"/>
      <c r="B3" s="13"/>
      <c r="C3" s="13"/>
    </row>
    <row r="4" spans="1:7" ht="15" customHeight="1" thickBot="1">
      <c r="A4" s="196" t="s">
        <v>409</v>
      </c>
      <c r="B4" s="197" t="s">
        <v>187</v>
      </c>
      <c r="C4" s="198" t="s">
        <v>93</v>
      </c>
    </row>
    <row r="5" spans="1:7" ht="15" customHeight="1">
      <c r="A5" s="194" t="s">
        <v>26</v>
      </c>
      <c r="B5" s="195"/>
      <c r="C5" s="379" t="str">
        <f>INT((MONTH($B$2))/3)&amp;"Q"&amp;"-"&amp;YEAR($B$2)</f>
        <v>3Q-2021</v>
      </c>
      <c r="D5" s="379" t="str">
        <f>IF(INT(MONTH($B$2))=3, "4"&amp;"Q"&amp;"-"&amp;YEAR($B$2)-1, IF(INT(MONTH($B$2))=6, "1"&amp;"Q"&amp;"-"&amp;YEAR($B$2), IF(INT(MONTH($B$2))=9, "2"&amp;"Q"&amp;"-"&amp;YEAR($B$2),IF(INT(MONTH($B$2))=12, "3"&amp;"Q"&amp;"-"&amp;YEAR($B$2), 0))))</f>
        <v>2Q-2021</v>
      </c>
      <c r="E5" s="379" t="str">
        <f>IF(INT(MONTH($B$2))=3, "3"&amp;"Q"&amp;"-"&amp;YEAR($B$2)-1, IF(INT(MONTH($B$2))=6, "4"&amp;"Q"&amp;"-"&amp;YEAR($B$2)-1, IF(INT(MONTH($B$2))=9, "1"&amp;"Q"&amp;"-"&amp;YEAR($B$2),IF(INT(MONTH($B$2))=12, "2"&amp;"Q"&amp;"-"&amp;YEAR($B$2), 0))))</f>
        <v>1Q-2021</v>
      </c>
      <c r="F5" s="379" t="str">
        <f>IF(INT(MONTH($B$2))=3, "2"&amp;"Q"&amp;"-"&amp;YEAR($B$2)-1, IF(INT(MONTH($B$2))=6, "3"&amp;"Q"&amp;"-"&amp;YEAR($B$2)-1, IF(INT(MONTH($B$2))=9, "4"&amp;"Q"&amp;"-"&amp;YEAR($B$2)-1,IF(INT(MONTH($B$2))=12, "1"&amp;"Q"&amp;"-"&amp;YEAR($B$2), 0))))</f>
        <v>4Q-2020</v>
      </c>
      <c r="G5" s="379" t="str">
        <f>IF(INT(MONTH($B$2))=3, "1"&amp;"Q"&amp;"-"&amp;YEAR($B$2)-1, IF(INT(MONTH($B$2))=6, "2"&amp;"Q"&amp;"-"&amp;YEAR($B$2)-1, IF(INT(MONTH($B$2))=9, "3"&amp;"Q"&amp;"-"&amp;YEAR($B$2)-1,IF(INT(MONTH($B$2))=12, "4"&amp;"Q"&amp;"-"&amp;YEAR($B$2)-1, 0))))</f>
        <v>3Q-2020</v>
      </c>
    </row>
    <row r="6" spans="1:7" ht="15" customHeight="1">
      <c r="A6" s="317">
        <v>1</v>
      </c>
      <c r="B6" s="363" t="s">
        <v>192</v>
      </c>
      <c r="C6" s="318">
        <f>C7+C9+C10</f>
        <v>1174630332.3047283</v>
      </c>
      <c r="D6" s="365">
        <f>D7+D9+D10</f>
        <v>1233193198.9992094</v>
      </c>
      <c r="E6" s="365">
        <f t="shared" ref="E6:G6" si="0">E7+E9+E10</f>
        <v>1341919280.7882493</v>
      </c>
      <c r="F6" s="318">
        <f t="shared" si="0"/>
        <v>1334090037.0837593</v>
      </c>
      <c r="G6" s="366">
        <f t="shared" si="0"/>
        <v>1272725474.2449703</v>
      </c>
    </row>
    <row r="7" spans="1:7" ht="15" customHeight="1">
      <c r="A7" s="317">
        <v>1.1000000000000001</v>
      </c>
      <c r="B7" s="319" t="s">
        <v>605</v>
      </c>
      <c r="C7" s="320">
        <v>1131607065.0510361</v>
      </c>
      <c r="D7" s="367">
        <v>1203787592.3812177</v>
      </c>
      <c r="E7" s="367">
        <v>1310108647.8626573</v>
      </c>
      <c r="F7" s="320">
        <v>1295330298.2654977</v>
      </c>
      <c r="G7" s="368">
        <v>1235182818.0716774</v>
      </c>
    </row>
    <row r="8" spans="1:7" ht="25.5">
      <c r="A8" s="317" t="s">
        <v>252</v>
      </c>
      <c r="B8" s="321" t="s">
        <v>403</v>
      </c>
      <c r="C8" s="320">
        <v>40152727.5</v>
      </c>
      <c r="D8" s="367">
        <v>39042007.5</v>
      </c>
      <c r="E8" s="367">
        <v>39752650</v>
      </c>
      <c r="F8" s="320">
        <v>40165010</v>
      </c>
      <c r="G8" s="368">
        <v>40463667.5</v>
      </c>
    </row>
    <row r="9" spans="1:7" ht="15" customHeight="1">
      <c r="A9" s="317">
        <v>1.2</v>
      </c>
      <c r="B9" s="319" t="s">
        <v>22</v>
      </c>
      <c r="C9" s="320">
        <v>42189467.253692165</v>
      </c>
      <c r="D9" s="367">
        <v>28803878.617991645</v>
      </c>
      <c r="E9" s="367">
        <v>31410192.925591871</v>
      </c>
      <c r="F9" s="320">
        <v>37155668.818261586</v>
      </c>
      <c r="G9" s="368">
        <v>36460936.17329295</v>
      </c>
    </row>
    <row r="10" spans="1:7" ht="15" customHeight="1">
      <c r="A10" s="317">
        <v>1.3</v>
      </c>
      <c r="B10" s="364" t="s">
        <v>77</v>
      </c>
      <c r="C10" s="320">
        <v>833800</v>
      </c>
      <c r="D10" s="367">
        <v>601728</v>
      </c>
      <c r="E10" s="367">
        <v>400440</v>
      </c>
      <c r="F10" s="320">
        <v>1604070</v>
      </c>
      <c r="G10" s="368">
        <v>1081720</v>
      </c>
    </row>
    <row r="11" spans="1:7" ht="15" customHeight="1">
      <c r="A11" s="317">
        <v>2</v>
      </c>
      <c r="B11" s="363" t="s">
        <v>193</v>
      </c>
      <c r="C11" s="320">
        <v>43545013.770006515</v>
      </c>
      <c r="D11" s="367">
        <v>30807802.803780936</v>
      </c>
      <c r="E11" s="367">
        <v>15959405.689869506</v>
      </c>
      <c r="F11" s="320">
        <v>14246901.453070909</v>
      </c>
      <c r="G11" s="368">
        <v>50231085.158497348</v>
      </c>
    </row>
    <row r="12" spans="1:7" ht="15" customHeight="1">
      <c r="A12" s="317">
        <v>3</v>
      </c>
      <c r="B12" s="363" t="s">
        <v>191</v>
      </c>
      <c r="C12" s="320">
        <v>100202502.49999999</v>
      </c>
      <c r="D12" s="367">
        <v>100202502.49999999</v>
      </c>
      <c r="E12" s="367">
        <v>100202502.49999999</v>
      </c>
      <c r="F12" s="320">
        <v>100202502.49999999</v>
      </c>
      <c r="G12" s="368">
        <v>129231002.49999999</v>
      </c>
    </row>
    <row r="13" spans="1:7" ht="15" customHeight="1" thickBot="1">
      <c r="A13" s="120">
        <v>4</v>
      </c>
      <c r="B13" s="371" t="s">
        <v>253</v>
      </c>
      <c r="C13" s="223">
        <f>C6+C11+C12</f>
        <v>1318377848.5747347</v>
      </c>
      <c r="D13" s="369">
        <f>D6+D11+D12</f>
        <v>1364203504.3029904</v>
      </c>
      <c r="E13" s="369">
        <f t="shared" ref="E13:G13" si="1">E6+E11+E12</f>
        <v>1458081188.9781187</v>
      </c>
      <c r="F13" s="223">
        <f t="shared" si="1"/>
        <v>1448539441.0368302</v>
      </c>
      <c r="G13" s="370">
        <f t="shared" si="1"/>
        <v>1452187561.9034677</v>
      </c>
    </row>
    <row r="14" spans="1:7">
      <c r="B14" s="18"/>
    </row>
    <row r="15" spans="1:7" ht="25.5">
      <c r="B15" s="18" t="s">
        <v>606</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4"/>
  <sheetViews>
    <sheetView showGridLines="0" zoomScaleNormal="100" workbookViewId="0">
      <pane xSplit="1" ySplit="4" topLeftCell="B5" activePane="bottomRight" state="frozen"/>
      <selection pane="topRight"/>
      <selection pane="bottomLeft"/>
      <selection pane="bottomRight"/>
    </sheetView>
  </sheetViews>
  <sheetFormatPr defaultRowHeight="15"/>
  <cols>
    <col min="1" max="1" width="9.5703125" style="1" bestFit="1" customWidth="1"/>
    <col min="2" max="2" width="58.7109375" style="1" customWidth="1"/>
    <col min="3" max="3" width="34.28515625" style="1" customWidth="1"/>
  </cols>
  <sheetData>
    <row r="1" spans="1:8">
      <c r="A1" s="1" t="s">
        <v>188</v>
      </c>
      <c r="B1" s="1" t="str">
        <f>Info!C2</f>
        <v>სს "ბანკი ქართუ"</v>
      </c>
    </row>
    <row r="2" spans="1:8">
      <c r="A2" s="1" t="s">
        <v>189</v>
      </c>
      <c r="B2" s="390">
        <f>'1. key ratios'!B2</f>
        <v>44469</v>
      </c>
    </row>
    <row r="4" spans="1:8" ht="25.5" customHeight="1" thickBot="1">
      <c r="A4" s="207" t="s">
        <v>410</v>
      </c>
      <c r="B4" s="53" t="s">
        <v>149</v>
      </c>
      <c r="C4" s="10"/>
    </row>
    <row r="5" spans="1:8" ht="15.75">
      <c r="A5" s="8"/>
      <c r="B5" s="359" t="s">
        <v>150</v>
      </c>
      <c r="C5" s="376" t="s">
        <v>620</v>
      </c>
    </row>
    <row r="6" spans="1:8">
      <c r="A6" s="11">
        <v>1</v>
      </c>
      <c r="B6" s="533" t="s">
        <v>961</v>
      </c>
      <c r="C6" s="372" t="s">
        <v>962</v>
      </c>
    </row>
    <row r="7" spans="1:8">
      <c r="A7" s="11">
        <v>2</v>
      </c>
      <c r="B7" s="533" t="s">
        <v>963</v>
      </c>
      <c r="C7" s="372" t="s">
        <v>964</v>
      </c>
    </row>
    <row r="8" spans="1:8">
      <c r="A8" s="11">
        <v>3</v>
      </c>
      <c r="B8" s="533" t="s">
        <v>965</v>
      </c>
      <c r="C8" s="372" t="s">
        <v>966</v>
      </c>
    </row>
    <row r="9" spans="1:8">
      <c r="A9" s="11">
        <v>4</v>
      </c>
      <c r="B9" s="533" t="s">
        <v>967</v>
      </c>
      <c r="C9" s="372" t="s">
        <v>966</v>
      </c>
    </row>
    <row r="10" spans="1:8">
      <c r="A10" s="11">
        <v>5</v>
      </c>
      <c r="B10" s="533" t="s">
        <v>968</v>
      </c>
      <c r="C10" s="372" t="s">
        <v>969</v>
      </c>
    </row>
    <row r="11" spans="1:8">
      <c r="A11" s="11">
        <v>6</v>
      </c>
      <c r="B11" s="54"/>
      <c r="C11" s="372"/>
    </row>
    <row r="12" spans="1:8">
      <c r="A12" s="11">
        <v>7</v>
      </c>
      <c r="B12" s="54"/>
      <c r="C12" s="372"/>
      <c r="H12" s="2"/>
    </row>
    <row r="13" spans="1:8">
      <c r="A13" s="11">
        <v>8</v>
      </c>
      <c r="B13" s="54"/>
      <c r="C13" s="372"/>
    </row>
    <row r="14" spans="1:8">
      <c r="A14" s="11">
        <v>9</v>
      </c>
      <c r="B14" s="54"/>
      <c r="C14" s="372"/>
    </row>
    <row r="15" spans="1:8">
      <c r="A15" s="11">
        <v>10</v>
      </c>
      <c r="B15" s="54"/>
      <c r="C15" s="372"/>
    </row>
    <row r="16" spans="1:8">
      <c r="A16" s="11"/>
      <c r="B16" s="694"/>
      <c r="C16" s="695"/>
    </row>
    <row r="17" spans="1:3" ht="60">
      <c r="A17" s="11"/>
      <c r="B17" s="360" t="s">
        <v>151</v>
      </c>
      <c r="C17" s="377" t="s">
        <v>621</v>
      </c>
    </row>
    <row r="18" spans="1:3" ht="15.75">
      <c r="A18" s="11">
        <v>1</v>
      </c>
      <c r="B18" s="534" t="s">
        <v>970</v>
      </c>
      <c r="C18" s="374" t="s">
        <v>971</v>
      </c>
    </row>
    <row r="19" spans="1:3" ht="15.75">
      <c r="A19" s="11">
        <v>2</v>
      </c>
      <c r="B19" s="534" t="s">
        <v>972</v>
      </c>
      <c r="C19" s="374" t="s">
        <v>973</v>
      </c>
    </row>
    <row r="20" spans="1:3" ht="15.75">
      <c r="A20" s="11">
        <v>3</v>
      </c>
      <c r="B20" s="534" t="s">
        <v>974</v>
      </c>
      <c r="C20" s="374" t="s">
        <v>975</v>
      </c>
    </row>
    <row r="21" spans="1:3" ht="15.75">
      <c r="A21" s="11">
        <v>4</v>
      </c>
      <c r="B21" s="534" t="s">
        <v>976</v>
      </c>
      <c r="C21" s="374" t="s">
        <v>977</v>
      </c>
    </row>
    <row r="22" spans="1:3" ht="15.75">
      <c r="A22" s="11">
        <v>5</v>
      </c>
      <c r="B22" s="534" t="s">
        <v>978</v>
      </c>
      <c r="C22" s="374" t="s">
        <v>979</v>
      </c>
    </row>
    <row r="23" spans="1:3" ht="15.75">
      <c r="A23" s="11">
        <v>6</v>
      </c>
      <c r="B23" s="22"/>
      <c r="C23" s="374"/>
    </row>
    <row r="24" spans="1:3" ht="15.75">
      <c r="A24" s="11">
        <v>7</v>
      </c>
      <c r="B24" s="22"/>
      <c r="C24" s="374"/>
    </row>
    <row r="25" spans="1:3" ht="15.75">
      <c r="A25" s="11">
        <v>8</v>
      </c>
      <c r="B25" s="22"/>
      <c r="C25" s="374"/>
    </row>
    <row r="26" spans="1:3" ht="15.75">
      <c r="A26" s="11">
        <v>9</v>
      </c>
      <c r="B26" s="22"/>
      <c r="C26" s="374"/>
    </row>
    <row r="27" spans="1:3" ht="15.75" customHeight="1">
      <c r="A27" s="11">
        <v>10</v>
      </c>
      <c r="B27" s="22"/>
      <c r="C27" s="375"/>
    </row>
    <row r="28" spans="1:3" ht="15.75" customHeight="1">
      <c r="A28" s="11"/>
      <c r="B28" s="22"/>
      <c r="C28" s="23"/>
    </row>
    <row r="29" spans="1:3" ht="30" customHeight="1">
      <c r="A29" s="11"/>
      <c r="B29" s="696" t="s">
        <v>152</v>
      </c>
      <c r="C29" s="697"/>
    </row>
    <row r="30" spans="1:3">
      <c r="A30" s="11">
        <v>1</v>
      </c>
      <c r="B30" s="535" t="s">
        <v>980</v>
      </c>
      <c r="C30" s="536">
        <v>1</v>
      </c>
    </row>
    <row r="31" spans="1:3" ht="15.75" customHeight="1">
      <c r="A31" s="11"/>
      <c r="B31" s="54"/>
      <c r="C31" s="55"/>
    </row>
    <row r="32" spans="1:3" ht="29.25" customHeight="1">
      <c r="A32" s="11"/>
      <c r="B32" s="696" t="s">
        <v>273</v>
      </c>
      <c r="C32" s="697"/>
    </row>
    <row r="33" spans="1:3">
      <c r="A33" s="11">
        <v>1</v>
      </c>
      <c r="B33" s="533" t="s">
        <v>981</v>
      </c>
      <c r="C33" s="537">
        <v>1</v>
      </c>
    </row>
    <row r="34" spans="1:3" ht="16.5" thickBot="1">
      <c r="A34" s="12"/>
      <c r="B34" s="56"/>
      <c r="C34" s="373"/>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6" activePane="bottomRight" state="frozen"/>
      <selection pane="topRight"/>
      <selection pane="bottomLeft"/>
      <selection pane="bottomRight"/>
    </sheetView>
  </sheetViews>
  <sheetFormatPr defaultRowHeight="15"/>
  <cols>
    <col min="1" max="1" width="9.5703125" style="1" bestFit="1" customWidth="1"/>
    <col min="2" max="2" width="47.5703125" style="1" customWidth="1"/>
    <col min="3" max="3" width="28" style="1" customWidth="1"/>
    <col min="4" max="4" width="22.42578125" style="1" customWidth="1"/>
    <col min="5" max="5" width="18.7109375" style="1" customWidth="1"/>
    <col min="6" max="6" width="12" bestFit="1" customWidth="1"/>
    <col min="7" max="7" width="12.5703125" bestFit="1" customWidth="1"/>
  </cols>
  <sheetData>
    <row r="1" spans="1:5" ht="15.75">
      <c r="A1" s="14" t="s">
        <v>188</v>
      </c>
      <c r="B1" s="13" t="str">
        <f>Info!C2</f>
        <v>სს "ბანკი ქართუ"</v>
      </c>
    </row>
    <row r="2" spans="1:5" s="14" customFormat="1" ht="15.75" customHeight="1">
      <c r="A2" s="14" t="s">
        <v>189</v>
      </c>
      <c r="B2" s="390">
        <f>'1. key ratios'!B2</f>
        <v>44469</v>
      </c>
    </row>
    <row r="3" spans="1:5" s="14" customFormat="1" ht="15.75" customHeight="1"/>
    <row r="4" spans="1:5" s="14" customFormat="1" ht="15.75" customHeight="1" thickBot="1">
      <c r="A4" s="208" t="s">
        <v>411</v>
      </c>
      <c r="B4" s="209" t="s">
        <v>263</v>
      </c>
      <c r="C4" s="173"/>
      <c r="D4" s="173"/>
      <c r="E4" s="174" t="s">
        <v>93</v>
      </c>
    </row>
    <row r="5" spans="1:5" s="108" customFormat="1" ht="17.649999999999999" customHeight="1">
      <c r="A5" s="288"/>
      <c r="B5" s="289"/>
      <c r="C5" s="172" t="s">
        <v>0</v>
      </c>
      <c r="D5" s="172" t="s">
        <v>1</v>
      </c>
      <c r="E5" s="290" t="s">
        <v>2</v>
      </c>
    </row>
    <row r="6" spans="1:5" ht="14.65" customHeight="1">
      <c r="A6" s="291"/>
      <c r="B6" s="698" t="s">
        <v>231</v>
      </c>
      <c r="C6" s="698" t="s">
        <v>230</v>
      </c>
      <c r="D6" s="699" t="s">
        <v>229</v>
      </c>
      <c r="E6" s="700"/>
    </row>
    <row r="7" spans="1:5" ht="99.6" customHeight="1">
      <c r="A7" s="291"/>
      <c r="B7" s="698"/>
      <c r="C7" s="698"/>
      <c r="D7" s="286" t="s">
        <v>228</v>
      </c>
      <c r="E7" s="287" t="s">
        <v>522</v>
      </c>
    </row>
    <row r="8" spans="1:5">
      <c r="A8" s="292">
        <v>1</v>
      </c>
      <c r="B8" s="293" t="s">
        <v>154</v>
      </c>
      <c r="C8" s="294">
        <f>'2. RC'!E7</f>
        <v>32557084</v>
      </c>
      <c r="D8" s="294"/>
      <c r="E8" s="295">
        <f>C8-D8</f>
        <v>32557084</v>
      </c>
    </row>
    <row r="9" spans="1:5">
      <c r="A9" s="292">
        <v>2</v>
      </c>
      <c r="B9" s="293" t="s">
        <v>155</v>
      </c>
      <c r="C9" s="294">
        <f>'2. RC'!E8</f>
        <v>211633516</v>
      </c>
      <c r="D9" s="294"/>
      <c r="E9" s="295">
        <f t="shared" ref="E9:E20" si="0">C9-D9</f>
        <v>211633516</v>
      </c>
    </row>
    <row r="10" spans="1:5">
      <c r="A10" s="292">
        <v>3</v>
      </c>
      <c r="B10" s="293" t="s">
        <v>227</v>
      </c>
      <c r="C10" s="294">
        <f>'2. RC'!E9</f>
        <v>112051665</v>
      </c>
      <c r="D10" s="294"/>
      <c r="E10" s="295">
        <f t="shared" si="0"/>
        <v>112051665</v>
      </c>
    </row>
    <row r="11" spans="1:5">
      <c r="A11" s="292">
        <v>4</v>
      </c>
      <c r="B11" s="293" t="s">
        <v>185</v>
      </c>
      <c r="C11" s="294">
        <f>'2. RC'!E10</f>
        <v>0</v>
      </c>
      <c r="D11" s="294"/>
      <c r="E11" s="295">
        <f t="shared" si="0"/>
        <v>0</v>
      </c>
    </row>
    <row r="12" spans="1:5">
      <c r="A12" s="292">
        <v>5</v>
      </c>
      <c r="B12" s="293" t="s">
        <v>157</v>
      </c>
      <c r="C12" s="294">
        <f>'2. RC'!E11</f>
        <v>54711009</v>
      </c>
      <c r="D12" s="294">
        <f>'2. RC'!E39</f>
        <v>-251711</v>
      </c>
      <c r="E12" s="295">
        <f t="shared" si="0"/>
        <v>54962720</v>
      </c>
    </row>
    <row r="13" spans="1:5">
      <c r="A13" s="292">
        <v>6.1</v>
      </c>
      <c r="B13" s="293" t="s">
        <v>158</v>
      </c>
      <c r="C13" s="296">
        <f>'2. RC'!E12</f>
        <v>981831435</v>
      </c>
      <c r="D13" s="294"/>
      <c r="E13" s="295">
        <f>C13-D13</f>
        <v>981831435</v>
      </c>
    </row>
    <row r="14" spans="1:5">
      <c r="A14" s="292">
        <v>6.2</v>
      </c>
      <c r="B14" s="297" t="s">
        <v>159</v>
      </c>
      <c r="C14" s="538">
        <f>'2. RC'!E13</f>
        <v>-166614566</v>
      </c>
      <c r="D14" s="539"/>
      <c r="E14" s="540">
        <f>C14</f>
        <v>-166614566</v>
      </c>
    </row>
    <row r="15" spans="1:5">
      <c r="A15" s="292">
        <v>6</v>
      </c>
      <c r="B15" s="293" t="s">
        <v>226</v>
      </c>
      <c r="C15" s="294">
        <f>'2. RC'!E14</f>
        <v>815216869</v>
      </c>
      <c r="D15" s="294"/>
      <c r="E15" s="295">
        <f>SUM(E13:E14)</f>
        <v>815216869</v>
      </c>
    </row>
    <row r="16" spans="1:5">
      <c r="A16" s="292">
        <v>7</v>
      </c>
      <c r="B16" s="293" t="s">
        <v>161</v>
      </c>
      <c r="C16" s="294">
        <f>'2. RC'!E15</f>
        <v>17297994</v>
      </c>
      <c r="D16" s="294"/>
      <c r="E16" s="295">
        <f t="shared" si="0"/>
        <v>17297994</v>
      </c>
    </row>
    <row r="17" spans="1:7">
      <c r="A17" s="292">
        <v>8</v>
      </c>
      <c r="B17" s="293" t="s">
        <v>162</v>
      </c>
      <c r="C17" s="294">
        <f>'2. RC'!E16</f>
        <v>6855626</v>
      </c>
      <c r="D17" s="294"/>
      <c r="E17" s="295">
        <f t="shared" si="0"/>
        <v>6855626</v>
      </c>
      <c r="F17" s="3"/>
      <c r="G17" s="3"/>
    </row>
    <row r="18" spans="1:7">
      <c r="A18" s="292">
        <v>9</v>
      </c>
      <c r="B18" s="293" t="s">
        <v>163</v>
      </c>
      <c r="C18" s="294">
        <f>'2. RC'!E17</f>
        <v>7793239</v>
      </c>
      <c r="D18" s="294"/>
      <c r="E18" s="295">
        <f t="shared" si="0"/>
        <v>7793239</v>
      </c>
      <c r="G18" s="3"/>
    </row>
    <row r="19" spans="1:7" ht="25.5">
      <c r="A19" s="292">
        <v>10</v>
      </c>
      <c r="B19" s="293" t="s">
        <v>164</v>
      </c>
      <c r="C19" s="294">
        <f>'2. RC'!E18</f>
        <v>20325454</v>
      </c>
      <c r="D19" s="294">
        <f>'9. Capital'!C15</f>
        <v>4066835</v>
      </c>
      <c r="E19" s="295">
        <f t="shared" si="0"/>
        <v>16258619</v>
      </c>
      <c r="G19" s="3"/>
    </row>
    <row r="20" spans="1:7">
      <c r="A20" s="292">
        <v>11</v>
      </c>
      <c r="B20" s="293" t="s">
        <v>165</v>
      </c>
      <c r="C20" s="294">
        <f>'2. RC'!E19</f>
        <v>23973003</v>
      </c>
      <c r="D20" s="294">
        <f>'9. Capital'!C20</f>
        <v>2558927.35</v>
      </c>
      <c r="E20" s="295">
        <f t="shared" si="0"/>
        <v>21414075.649999999</v>
      </c>
    </row>
    <row r="21" spans="1:7" ht="39" thickBot="1">
      <c r="A21" s="298"/>
      <c r="B21" s="299" t="s">
        <v>485</v>
      </c>
      <c r="C21" s="257">
        <f>SUM(C8:C12, C15:C20)</f>
        <v>1302415459</v>
      </c>
      <c r="D21" s="257">
        <f>SUM(D8:D12, D15:D20)</f>
        <v>6374051.3499999996</v>
      </c>
      <c r="E21" s="300">
        <f>SUM(E8:E12, E15:E20)</f>
        <v>1296041407.6500001</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pane="topRight"/>
      <selection pane="bottomLeft"/>
      <selection pane="bottomRight"/>
    </sheetView>
  </sheetViews>
  <sheetFormatPr defaultRowHeight="15" outlineLevelRow="1"/>
  <cols>
    <col min="1" max="1" width="9.5703125" style="1" bestFit="1" customWidth="1"/>
    <col min="2" max="2" width="114.28515625" style="1"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"ბანკი ქართუ"</v>
      </c>
    </row>
    <row r="2" spans="1:6" s="14" customFormat="1" ht="15.75" customHeight="1">
      <c r="A2" s="14" t="s">
        <v>189</v>
      </c>
      <c r="B2" s="390">
        <f>'1. key ratios'!B2</f>
        <v>44469</v>
      </c>
      <c r="C2"/>
      <c r="D2"/>
      <c r="E2"/>
      <c r="F2"/>
    </row>
    <row r="3" spans="1:6" s="14" customFormat="1" ht="15.75" customHeight="1">
      <c r="C3"/>
      <c r="D3"/>
      <c r="E3"/>
      <c r="F3"/>
    </row>
    <row r="4" spans="1:6" s="14" customFormat="1" ht="26.25" thickBot="1">
      <c r="A4" s="14" t="s">
        <v>412</v>
      </c>
      <c r="B4" s="180" t="s">
        <v>266</v>
      </c>
      <c r="C4" s="174" t="s">
        <v>93</v>
      </c>
      <c r="D4"/>
      <c r="E4"/>
      <c r="F4"/>
    </row>
    <row r="5" spans="1:6" ht="26.25">
      <c r="A5" s="175">
        <v>1</v>
      </c>
      <c r="B5" s="176" t="s">
        <v>434</v>
      </c>
      <c r="C5" s="224">
        <f>'7. LI1'!E21</f>
        <v>1296041407.6500001</v>
      </c>
    </row>
    <row r="6" spans="1:6">
      <c r="A6" s="107">
        <v>2.1</v>
      </c>
      <c r="B6" s="182" t="s">
        <v>267</v>
      </c>
      <c r="C6" s="541">
        <f>'13. CRME'!D22</f>
        <v>79459930.101515815</v>
      </c>
    </row>
    <row r="7" spans="1:6" s="2" customFormat="1" ht="25.5" outlineLevel="1">
      <c r="A7" s="181">
        <v>2.2000000000000002</v>
      </c>
      <c r="B7" s="177" t="s">
        <v>268</v>
      </c>
      <c r="C7" s="542">
        <f>'15. CCR'!C21</f>
        <v>41690000</v>
      </c>
    </row>
    <row r="8" spans="1:6" s="2" customFormat="1" ht="26.25">
      <c r="A8" s="181">
        <v>3</v>
      </c>
      <c r="B8" s="178" t="s">
        <v>435</v>
      </c>
      <c r="C8" s="227">
        <f>SUM(C5:C7)</f>
        <v>1417191337.7515159</v>
      </c>
    </row>
    <row r="9" spans="1:6">
      <c r="A9" s="107">
        <v>4</v>
      </c>
      <c r="B9" s="185" t="s">
        <v>264</v>
      </c>
      <c r="C9" s="225">
        <v>11603090</v>
      </c>
    </row>
    <row r="10" spans="1:6" s="2" customFormat="1" ht="25.5" outlineLevel="1">
      <c r="A10" s="181">
        <v>5.0999999999999996</v>
      </c>
      <c r="B10" s="177" t="s">
        <v>274</v>
      </c>
      <c r="C10" s="226">
        <v>-36642387.278539911</v>
      </c>
    </row>
    <row r="11" spans="1:6" s="2" customFormat="1" ht="25.5" outlineLevel="1">
      <c r="A11" s="181">
        <v>5.2</v>
      </c>
      <c r="B11" s="177" t="s">
        <v>275</v>
      </c>
      <c r="C11" s="226">
        <v>-40856200</v>
      </c>
    </row>
    <row r="12" spans="1:6" s="2" customFormat="1">
      <c r="A12" s="181">
        <v>6</v>
      </c>
      <c r="B12" s="183" t="s">
        <v>607</v>
      </c>
      <c r="C12" s="226">
        <v>0</v>
      </c>
    </row>
    <row r="13" spans="1:6" s="2" customFormat="1" ht="15.75" thickBot="1">
      <c r="A13" s="184">
        <v>7</v>
      </c>
      <c r="B13" s="179" t="s">
        <v>265</v>
      </c>
      <c r="C13" s="228">
        <f>SUM(C8:C12)</f>
        <v>1351295840.472976</v>
      </c>
    </row>
    <row r="15" spans="1:6" ht="26.25">
      <c r="B15" s="18" t="s">
        <v>608</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CN3kzo8pXq1dj0/zpCQaoKAZTOEXbTHbEZpTyvMsPg4=</DigestValue>
    </Reference>
    <Reference Type="http://www.w3.org/2000/09/xmldsig#Object" URI="#idOfficeObject">
      <DigestMethod Algorithm="http://www.w3.org/2001/04/xmlenc#sha256"/>
      <DigestValue>o9yDaXQaLSilubR9W2SZxYyLSZYzwQjYFBoKGf6YuFk=</DigestValue>
    </Reference>
    <Reference Type="http://uri.etsi.org/01903#SignedProperties" URI="#idSignedProperties">
      <Transforms>
        <Transform Algorithm="http://www.w3.org/TR/2001/REC-xml-c14n-20010315"/>
      </Transforms>
      <DigestMethod Algorithm="http://www.w3.org/2001/04/xmlenc#sha256"/>
      <DigestValue>40st+AVBKg/VX/Pgnim7lFuGb6iYtvYgAF6rUtPZzeU=</DigestValue>
    </Reference>
  </SignedInfo>
  <SignatureValue>iEiyxWvqB/q58c8G3ks6sk17kjC8+RjfOuCflRmvmuLbcITNaLYbkjbHXpRytS7RBKJMN4Nk8KlV
JOs+vzaq204JZJMjPSxHhktONpoiBHCRDDQ0dGk89bg0C2VxcdtfIsMXiO009EhmBTY2aSzHKjkv
LRXItqy1c4GICc22xLRmt/wGCp7E4fqsmnC0Kz4o534bdnbn7Pkg6AKdA2c/QtXzzi6hwDOuB3zf
NQdOjq/5RSLdbJyL84/ZmzjiF0c29633Xnnc2nDMs1ghBbw8Ditdj8UXt7K1adA8s+/EDlgccH0/
lAR9WRK4XIQNunDDplDSHDjLFn3whI3K3KDsuQ==</SignatureValue>
  <KeyInfo>
    <X509Data>
      <X509Certificate>MIIGPTCCBSWgAwIBAgIKaCmghgADAAH9FjANBgkqhkiG9w0BAQsFADBKMRIwEAYKCZImiZPyLGQBGRYCZ2UxEzARBgoJkiaJk/IsZAEZFgNuYmcxHzAdBgNVBAMTFk5CRyBDbGFzcyAyIElOVCBTdWIgQ0EwHhcNMjExMjA2MTEzMjU3WhcNMjMxMjA2MTEzMjU3WjA7MRcwFQYDVQQKEw5KU0MgQ0FSVFUgQkFOSzEgMB4GA1UEAxMXQkNSIC0gRGF2aWQgR2FsdWFzaHZpbGkwggEiMA0GCSqGSIb3DQEBAQUAA4IBDwAwggEKAoIBAQCaHLIbBsMRD0XQ2H4Cljphv43bFBGQRcIolOmAMJJVHBLQajGmXbigf4JaRzo9PCOpVZ6MpBTi7VvGF24bweXkBRjxDn9EywMyz837aRsPyJRy8nIj3lckwzY4MvDc7GDTvVcXQOLEGdQ5xbw7jm4huehlclHfTaLo/VvgywWRNLXo04/STgwg27dgTlJmpcOTxZIBYkT7vjwK36I/Mb0j8JDSc4hwa0OKGlp/NB5C8TiXMaW6lnd5z7cyCB201EDLnZs9Df3NWPbnF4eI6jpJE8AqBdC8aY/5FFI80mX9MfR4uM8PT91lhAmjYzScZvsrklz2rNv6v/Z/+IIIpqrlAgMBAAGjggMyMIIDLjA8BgkrBgEEAYI3FQcELzAtBiUrBgEEAYI3FQjmsmCDjfVEhoGZCYO4oUqDvoRxBIPEkTOEg4hdAgFkAgEjMB0GA1UdJQQWMBQGCCsGAQUFBwMCBggrBgEFBQcDBDALBgNVHQ8EBAMCB4AwJwYJKwYBBAGCNxUKBBowGDAKBggrBgEFBQcDAjAKBggrBgEFBQcDBDAdBgNVHQ4EFgQU0JO/WXyJDE7XNtpTiXftYb7pvy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xNwIXC44DESbbP2usl9qwD+HD2mZyAILICWO+3iJagjUx075F4aRS69Kz0d+9ex+2vX4zhmz+yrCJm1pDABOY3IKRKm0pyLQkll3+9a1Drge2wgNQp8AHBmv3ZOWVRYT6lJ6Tx2ZFvtf5FB0S4zETQpY8eZr5GUYgyyXKtki4flT/1WMqzHeO4adyoGnadhq/KVzj+WSsGz8lYdeUtvUyRvDDX1zzT65MUnbzO+BsNnTpW8g+MLnpRxFGMYHzn21jXJneMEm0FgDMTR4RRchnXJMEnltihx9vywmZ+b2QLWGCFBSiP7r9sExDTj6SEgQ+bEsa1pJnNyl7uo+atXA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r2K2Zwkr+BEoB34vMBYH6VDzx/JPsYvSIdf6qGxKF9I=</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DA/XYoLfjFF0WaVrJvMLKV7L+k9SERNu5hAJnojzLVo=</DigestValue>
      </Reference>
      <Reference URI="/xl/styles.xml?ContentType=application/vnd.openxmlformats-officedocument.spreadsheetml.styles+xml">
        <DigestMethod Algorithm="http://www.w3.org/2001/04/xmlenc#sha256"/>
        <DigestValue>W17Z+Z7ilD/GhRydxJQIRvMKs7d77+ZDVNDCEUOjlSk=</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wxtmvAl+ZIrrXw6q3LFt/r0O05R2d3fZJZnLns8/KPQ=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f2fQ/6gsesQDvfIeY9MW+o2DieVZcj7vVwz5fpfx2jM=</DigestValue>
      </Reference>
      <Reference URI="/xl/worksheets/sheet10.xml?ContentType=application/vnd.openxmlformats-officedocument.spreadsheetml.worksheet+xml">
        <DigestMethod Algorithm="http://www.w3.org/2001/04/xmlenc#sha256"/>
        <DigestValue>8g6obV5ilRN02VALozXBljHCghJGrDW6IrBySGMaa0Y=</DigestValue>
      </Reference>
      <Reference URI="/xl/worksheets/sheet11.xml?ContentType=application/vnd.openxmlformats-officedocument.spreadsheetml.worksheet+xml">
        <DigestMethod Algorithm="http://www.w3.org/2001/04/xmlenc#sha256"/>
        <DigestValue>yei5h7ZMxkGM+sMWuyCd0EPRwbiYsx0IcJo1ijrUmf0=</DigestValue>
      </Reference>
      <Reference URI="/xl/worksheets/sheet12.xml?ContentType=application/vnd.openxmlformats-officedocument.spreadsheetml.worksheet+xml">
        <DigestMethod Algorithm="http://www.w3.org/2001/04/xmlenc#sha256"/>
        <DigestValue>JgusiYCiFWNNNZmYZxdUAAbx95kd2hqbtOI16F8pOB0=</DigestValue>
      </Reference>
      <Reference URI="/xl/worksheets/sheet13.xml?ContentType=application/vnd.openxmlformats-officedocument.spreadsheetml.worksheet+xml">
        <DigestMethod Algorithm="http://www.w3.org/2001/04/xmlenc#sha256"/>
        <DigestValue>XTg8an8IfO5Jh0xztORoDKHkIZt1c7XlwUFBwBSkDSc=</DigestValue>
      </Reference>
      <Reference URI="/xl/worksheets/sheet14.xml?ContentType=application/vnd.openxmlformats-officedocument.spreadsheetml.worksheet+xml">
        <DigestMethod Algorithm="http://www.w3.org/2001/04/xmlenc#sha256"/>
        <DigestValue>PPFNddttrsi/GPe2ErNSlJEGyBxU/An+Y7HyH8g6luc=</DigestValue>
      </Reference>
      <Reference URI="/xl/worksheets/sheet15.xml?ContentType=application/vnd.openxmlformats-officedocument.spreadsheetml.worksheet+xml">
        <DigestMethod Algorithm="http://www.w3.org/2001/04/xmlenc#sha256"/>
        <DigestValue>4XhiZuMTYO7r89op/5PceHKO70QTgEQI1tMly4DxNGQ=</DigestValue>
      </Reference>
      <Reference URI="/xl/worksheets/sheet16.xml?ContentType=application/vnd.openxmlformats-officedocument.spreadsheetml.worksheet+xml">
        <DigestMethod Algorithm="http://www.w3.org/2001/04/xmlenc#sha256"/>
        <DigestValue>s6ZfQuneRfkRokCx5d+fLal6wFJWGN5XsB2/mgeO+qs=</DigestValue>
      </Reference>
      <Reference URI="/xl/worksheets/sheet17.xml?ContentType=application/vnd.openxmlformats-officedocument.spreadsheetml.worksheet+xml">
        <DigestMethod Algorithm="http://www.w3.org/2001/04/xmlenc#sha256"/>
        <DigestValue>Ga98EVIBPPZS6WNmMmqY/xT3RY0FCcZMWHPJxnv38fw=</DigestValue>
      </Reference>
      <Reference URI="/xl/worksheets/sheet18.xml?ContentType=application/vnd.openxmlformats-officedocument.spreadsheetml.worksheet+xml">
        <DigestMethod Algorithm="http://www.w3.org/2001/04/xmlenc#sha256"/>
        <DigestValue>qivEwpBuHEgQoy/ZHw3BqPRoqd3RGAsNiP+BPLeQeDU=</DigestValue>
      </Reference>
      <Reference URI="/xl/worksheets/sheet19.xml?ContentType=application/vnd.openxmlformats-officedocument.spreadsheetml.worksheet+xml">
        <DigestMethod Algorithm="http://www.w3.org/2001/04/xmlenc#sha256"/>
        <DigestValue>oW7US2PAdPZTnEi3iP4I3NeMguzteDPzT/Eyy8wKpEc=</DigestValue>
      </Reference>
      <Reference URI="/xl/worksheets/sheet2.xml?ContentType=application/vnd.openxmlformats-officedocument.spreadsheetml.worksheet+xml">
        <DigestMethod Algorithm="http://www.w3.org/2001/04/xmlenc#sha256"/>
        <DigestValue>O0FWqb64m2NspDwaCFIEesRiAv1k9Z74n97MaJ99jto=</DigestValue>
      </Reference>
      <Reference URI="/xl/worksheets/sheet20.xml?ContentType=application/vnd.openxmlformats-officedocument.spreadsheetml.worksheet+xml">
        <DigestMethod Algorithm="http://www.w3.org/2001/04/xmlenc#sha256"/>
        <DigestValue>M3/IIDtGZzSrXLZMbVsgxa3b9/w1C3/lbFOBqzEdsi0=</DigestValue>
      </Reference>
      <Reference URI="/xl/worksheets/sheet21.xml?ContentType=application/vnd.openxmlformats-officedocument.spreadsheetml.worksheet+xml">
        <DigestMethod Algorithm="http://www.w3.org/2001/04/xmlenc#sha256"/>
        <DigestValue>GfvMtDx8cUi1zhLKfoPscBvcr6VhjwVc2YqY6x43WKA=</DigestValue>
      </Reference>
      <Reference URI="/xl/worksheets/sheet22.xml?ContentType=application/vnd.openxmlformats-officedocument.spreadsheetml.worksheet+xml">
        <DigestMethod Algorithm="http://www.w3.org/2001/04/xmlenc#sha256"/>
        <DigestValue>N/xCiGlstwn6MoR7zvzo63ctHLg6YSUa8AukR8So1gY=</DigestValue>
      </Reference>
      <Reference URI="/xl/worksheets/sheet23.xml?ContentType=application/vnd.openxmlformats-officedocument.spreadsheetml.worksheet+xml">
        <DigestMethod Algorithm="http://www.w3.org/2001/04/xmlenc#sha256"/>
        <DigestValue>zmLX47kzS+Vzt35RtAcZXPK0wPlxUjEJysmeqPdELGo=</DigestValue>
      </Reference>
      <Reference URI="/xl/worksheets/sheet24.xml?ContentType=application/vnd.openxmlformats-officedocument.spreadsheetml.worksheet+xml">
        <DigestMethod Algorithm="http://www.w3.org/2001/04/xmlenc#sha256"/>
        <DigestValue>HDRXPtf9ozot55TA7h/eU2SA+Uqbki4hH7JKqVh+h7o=</DigestValue>
      </Reference>
      <Reference URI="/xl/worksheets/sheet25.xml?ContentType=application/vnd.openxmlformats-officedocument.spreadsheetml.worksheet+xml">
        <DigestMethod Algorithm="http://www.w3.org/2001/04/xmlenc#sha256"/>
        <DigestValue>s6PGkMLYZLwAeo9OPn6IMKZmWwV8A69DdrCG6UclXIc=</DigestValue>
      </Reference>
      <Reference URI="/xl/worksheets/sheet26.xml?ContentType=application/vnd.openxmlformats-officedocument.spreadsheetml.worksheet+xml">
        <DigestMethod Algorithm="http://www.w3.org/2001/04/xmlenc#sha256"/>
        <DigestValue>U1B0p76ei0eY5ymGSzPAkOyQHKNqVhMxuxhk0cqLmXk=</DigestValue>
      </Reference>
      <Reference URI="/xl/worksheets/sheet27.xml?ContentType=application/vnd.openxmlformats-officedocument.spreadsheetml.worksheet+xml">
        <DigestMethod Algorithm="http://www.w3.org/2001/04/xmlenc#sha256"/>
        <DigestValue>CiowK+a7NkDzpq6SXQAWwQgy6ie2H1TbNMhCpJade1A=</DigestValue>
      </Reference>
      <Reference URI="/xl/worksheets/sheet28.xml?ContentType=application/vnd.openxmlformats-officedocument.spreadsheetml.worksheet+xml">
        <DigestMethod Algorithm="http://www.w3.org/2001/04/xmlenc#sha256"/>
        <DigestValue>DA1R6Mr1jkIniR1FCuIE3gmJ9CwZSCvgd9wPCs9TF6o=</DigestValue>
      </Reference>
      <Reference URI="/xl/worksheets/sheet29.xml?ContentType=application/vnd.openxmlformats-officedocument.spreadsheetml.worksheet+xml">
        <DigestMethod Algorithm="http://www.w3.org/2001/04/xmlenc#sha256"/>
        <DigestValue>uOkcsxVPnntL/zSXNSMQxcPm1H3v9Pp3xog3HpGrqKY=</DigestValue>
      </Reference>
      <Reference URI="/xl/worksheets/sheet3.xml?ContentType=application/vnd.openxmlformats-officedocument.spreadsheetml.worksheet+xml">
        <DigestMethod Algorithm="http://www.w3.org/2001/04/xmlenc#sha256"/>
        <DigestValue>xrUz0K1zlq6cPX3maZeuPn3mZbGrTDWhE0JdVq7C8FE=</DigestValue>
      </Reference>
      <Reference URI="/xl/worksheets/sheet30.xml?ContentType=application/vnd.openxmlformats-officedocument.spreadsheetml.worksheet+xml">
        <DigestMethod Algorithm="http://www.w3.org/2001/04/xmlenc#sha256"/>
        <DigestValue>B1ddbMjl9qZrt+g5IyGSdgSb3o/rqR57pPMogj1P9zc=</DigestValue>
      </Reference>
      <Reference URI="/xl/worksheets/sheet4.xml?ContentType=application/vnd.openxmlformats-officedocument.spreadsheetml.worksheet+xml">
        <DigestMethod Algorithm="http://www.w3.org/2001/04/xmlenc#sha256"/>
        <DigestValue>fCzaRy3dEUuVsGDtfCgCOW0Vdn2XlY4UYHTes685aCg=</DigestValue>
      </Reference>
      <Reference URI="/xl/worksheets/sheet5.xml?ContentType=application/vnd.openxmlformats-officedocument.spreadsheetml.worksheet+xml">
        <DigestMethod Algorithm="http://www.w3.org/2001/04/xmlenc#sha256"/>
        <DigestValue>0t5O2gLZlqSjGxfAsJ0c83P5L8QvflwBh9SaQB4pz3o=</DigestValue>
      </Reference>
      <Reference URI="/xl/worksheets/sheet6.xml?ContentType=application/vnd.openxmlformats-officedocument.spreadsheetml.worksheet+xml">
        <DigestMethod Algorithm="http://www.w3.org/2001/04/xmlenc#sha256"/>
        <DigestValue>f9o6eKs8r+U4g4UV6wN7ENiZ/zfA5msV9TmzKjW/1is=</DigestValue>
      </Reference>
      <Reference URI="/xl/worksheets/sheet7.xml?ContentType=application/vnd.openxmlformats-officedocument.spreadsheetml.worksheet+xml">
        <DigestMethod Algorithm="http://www.w3.org/2001/04/xmlenc#sha256"/>
        <DigestValue>PNxH2Q1dVaMgCvkkVXeX+j3Yhz9SncvYvhJ9/iLj7l4=</DigestValue>
      </Reference>
      <Reference URI="/xl/worksheets/sheet8.xml?ContentType=application/vnd.openxmlformats-officedocument.spreadsheetml.worksheet+xml">
        <DigestMethod Algorithm="http://www.w3.org/2001/04/xmlenc#sha256"/>
        <DigestValue>oBAzdQs2wA/zoX6wX8kMDZGOswqFnzTfIe3FRo0hojQ=</DigestValue>
      </Reference>
      <Reference URI="/xl/worksheets/sheet9.xml?ContentType=application/vnd.openxmlformats-officedocument.spreadsheetml.worksheet+xml">
        <DigestMethod Algorithm="http://www.w3.org/2001/04/xmlenc#sha256"/>
        <DigestValue>dbbA5kIRQUsG9q4uvig0LN5n0RYRua9GjswA6FoYWls=</DigestValue>
      </Reference>
    </Manifest>
    <SignatureProperties>
      <SignatureProperty Id="idSignatureTime" Target="#idPackageSignature">
        <mdssi:SignatureTime xmlns:mdssi="http://schemas.openxmlformats.org/package/2006/digital-signature">
          <mdssi:Format>YYYY-MM-DDThh:mm:ssTZD</mdssi:Format>
          <mdssi:Value>2023-02-27T07:54:36Z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9</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2023-02-27T07:54:36Z</xd:SigningTime>
          <xd:SigningCertificate>
            <xd:Cert>
              <xd:CertDigest>
                <DigestMethod Algorithm="http://www.w3.org/2001/04/xmlenc#sha256"/>
                <DigestValue>VH/JYsD5bnPzffHLABRw0/ITbUZe3iuletVUI+JTYcs=</DigestValue>
              </xd:CertDigest>
              <xd:IssuerSerial>
                <X509IssuerName>CN=NBG Class 2 INT Sub CA, DC=nbg, DC=ge</X509IssuerName>
                <X509SerialNumber>491893997658171026570518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9</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rbc5bclZcKe5RxRvbATECsfNy+i5ablkYvmhD4qqrmE=</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Gq3LpbG5u5rvPhsDTXvs1SEdqO9GmFvJ+6slhpKaFew=</DigestValue>
    </Reference>
  </SignedInfo>
  <SignatureValue>bDQQaKbZmdGLsNCWUwg1+RlJjJDhdngapWwMEmGoX0EBpppQugdaA3V8+mafHHiH86X+NxXX4FE8
/iwiwcKWrAwGF6dZkpJBI/cPCjjmMUnPbhWxbe1xLAm6kVUEIFXb8mL+6GBM9OaNT0TpZQ31cxdX
44jvUQ/mDhhcUiyx/bpmI/qqCy7OLL2tdTJ1VCMGb1RxgI6L7YtqQlBIYVotjHiq0E3Y+dv2HFj+
4ItrJc5k6zFBHhdj5a0jABcH5hCfbjbm7pF3UJvzVZRM3mRJ9Ocg0VdKl/fWqp59oIBqsQIKpkxM
vYQZvc/9ZKO0ciCjdi21M6EksGLNyxROqSe05w==</SignatureValue>
  <KeyInfo>
    <X509Data>
      <X509Certificate>MIIGPTCCBSWgAwIBAgIKL370dgADAAIAdDANBgkqhkiG9w0BAQsFADBKMRIwEAYKCZImiZPyLGQBGRYCZ2UxEzARBgoJkiaJk/IsZAEZFgNuYmcxHzAdBgNVBAMTFk5CRyBDbGFzcyAyIElOVCBTdWIgQ0EwHhcNMjExMjIwMDgwMDAyWhcNMjMxMjIwMDgwMDAyWjA7MRcwFQYDVQQKEw5KU0MgQ0FSVFUgQkFOSzEgMB4GA1UEAxMXQkNSIC0gVmxhZGltZXIgQXNhdGlhbmkwggEiMA0GCSqGSIb3DQEBAQUAA4IBDwAwggEKAoIBAQDJhCTropithQ4KHM4wovH7qjCZ6E9jfZloOV8EysFqAmUoepknEqTp9U4jjJZar47rIaYlyQXFSi92Kgjpcur5UYZFWaTp6wuFqBE628VATBkwtPOXpOYxGkUd5uO/zEfdpd7PqJ9CzD3JA46ok+mUva0Q8+ySvkR7J93KSwNf1nLB/ReNf2BHR0WwbE7IuWG4/kH1r5k1/XMXB3Br7dXGUNGNwNvGcKc5hV+xr2XALP4/0yrFC3Q0nj8Bl5bEPO6EXlXaxRZIZ0C126cW2qsurGO1dvPwYk9j+TcIwl6FUwLPq8itq5b89Rs3UHCIoownoSgiUcf76vI1qlyeSGlRAgMBAAGjggMyMIIDLjA8BgkrBgEEAYI3FQcELzAtBiUrBgEEAYI3FQjmsmCDjfVEhoGZCYO4oUqDvoRxBIPEkTOEg4hdAgFkAgEjMB0GA1UdJQQWMBQGCCsGAQUFBwMCBggrBgEFBQcDBDALBgNVHQ8EBAMCB4AwJwYJKwYBBAGCNxUKBBowGDAKBggrBgEFBQcDAjAKBggrBgEFBQcDBDAdBgNVHQ4EFgQUGJnV0Dnx43jQNMCJsQmoegmtE48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SHLrch23KXRoYPt47TLpVnp7UOxEcObFH1PGNKVXs8Fzfz3Z83XzLGvRF8pfAR1FCHtPyCONa3RqnIsgLSuu9aXf2tVmUyvgBXtb5FsJHiYgKGK1eINeFtixEcBhTGarcEdyJ9sS7NiTdq76FX4S+bwXyMwGPs57e0KSm6hI2l2lnaF3l2wYTiyFZQj711sSpoC5PDF/nhqKZNbGngIuu7fGldyORinKDtTfZBWTP8o3fU6TNHkKziapeCmrrHXNb6DuOZVo5upT8+cRDH+r+FlnNIR5UD0g88uEwkV6Tay7T+u0kKi52uIzCnG0+unEWHHewuNbHQhcpxxOINo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r2K2Zwkr+BEoB34vMBYH6VDzx/JPsYvSIdf6qGxKF9I=</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DA/XYoLfjFF0WaVrJvMLKV7L+k9SERNu5hAJnojzLVo=</DigestValue>
      </Reference>
      <Reference URI="/xl/styles.xml?ContentType=application/vnd.openxmlformats-officedocument.spreadsheetml.styles+xml">
        <DigestMethod Algorithm="http://www.w3.org/2001/04/xmlenc#sha256"/>
        <DigestValue>W17Z+Z7ilD/GhRydxJQIRvMKs7d77+ZDVNDCEUOjlSk=</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wxtmvAl+ZIrrXw6q3LFt/r0O05R2d3fZJZnLns8/KPQ=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f2fQ/6gsesQDvfIeY9MW+o2DieVZcj7vVwz5fpfx2jM=</DigestValue>
      </Reference>
      <Reference URI="/xl/worksheets/sheet10.xml?ContentType=application/vnd.openxmlformats-officedocument.spreadsheetml.worksheet+xml">
        <DigestMethod Algorithm="http://www.w3.org/2001/04/xmlenc#sha256"/>
        <DigestValue>8g6obV5ilRN02VALozXBljHCghJGrDW6IrBySGMaa0Y=</DigestValue>
      </Reference>
      <Reference URI="/xl/worksheets/sheet11.xml?ContentType=application/vnd.openxmlformats-officedocument.spreadsheetml.worksheet+xml">
        <DigestMethod Algorithm="http://www.w3.org/2001/04/xmlenc#sha256"/>
        <DigestValue>yei5h7ZMxkGM+sMWuyCd0EPRwbiYsx0IcJo1ijrUmf0=</DigestValue>
      </Reference>
      <Reference URI="/xl/worksheets/sheet12.xml?ContentType=application/vnd.openxmlformats-officedocument.spreadsheetml.worksheet+xml">
        <DigestMethod Algorithm="http://www.w3.org/2001/04/xmlenc#sha256"/>
        <DigestValue>JgusiYCiFWNNNZmYZxdUAAbx95kd2hqbtOI16F8pOB0=</DigestValue>
      </Reference>
      <Reference URI="/xl/worksheets/sheet13.xml?ContentType=application/vnd.openxmlformats-officedocument.spreadsheetml.worksheet+xml">
        <DigestMethod Algorithm="http://www.w3.org/2001/04/xmlenc#sha256"/>
        <DigestValue>XTg8an8IfO5Jh0xztORoDKHkIZt1c7XlwUFBwBSkDSc=</DigestValue>
      </Reference>
      <Reference URI="/xl/worksheets/sheet14.xml?ContentType=application/vnd.openxmlformats-officedocument.spreadsheetml.worksheet+xml">
        <DigestMethod Algorithm="http://www.w3.org/2001/04/xmlenc#sha256"/>
        <DigestValue>PPFNddttrsi/GPe2ErNSlJEGyBxU/An+Y7HyH8g6luc=</DigestValue>
      </Reference>
      <Reference URI="/xl/worksheets/sheet15.xml?ContentType=application/vnd.openxmlformats-officedocument.spreadsheetml.worksheet+xml">
        <DigestMethod Algorithm="http://www.w3.org/2001/04/xmlenc#sha256"/>
        <DigestValue>4XhiZuMTYO7r89op/5PceHKO70QTgEQI1tMly4DxNGQ=</DigestValue>
      </Reference>
      <Reference URI="/xl/worksheets/sheet16.xml?ContentType=application/vnd.openxmlformats-officedocument.spreadsheetml.worksheet+xml">
        <DigestMethod Algorithm="http://www.w3.org/2001/04/xmlenc#sha256"/>
        <DigestValue>s6ZfQuneRfkRokCx5d+fLal6wFJWGN5XsB2/mgeO+qs=</DigestValue>
      </Reference>
      <Reference URI="/xl/worksheets/sheet17.xml?ContentType=application/vnd.openxmlformats-officedocument.spreadsheetml.worksheet+xml">
        <DigestMethod Algorithm="http://www.w3.org/2001/04/xmlenc#sha256"/>
        <DigestValue>Ga98EVIBPPZS6WNmMmqY/xT3RY0FCcZMWHPJxnv38fw=</DigestValue>
      </Reference>
      <Reference URI="/xl/worksheets/sheet18.xml?ContentType=application/vnd.openxmlformats-officedocument.spreadsheetml.worksheet+xml">
        <DigestMethod Algorithm="http://www.w3.org/2001/04/xmlenc#sha256"/>
        <DigestValue>qivEwpBuHEgQoy/ZHw3BqPRoqd3RGAsNiP+BPLeQeDU=</DigestValue>
      </Reference>
      <Reference URI="/xl/worksheets/sheet19.xml?ContentType=application/vnd.openxmlformats-officedocument.spreadsheetml.worksheet+xml">
        <DigestMethod Algorithm="http://www.w3.org/2001/04/xmlenc#sha256"/>
        <DigestValue>oW7US2PAdPZTnEi3iP4I3NeMguzteDPzT/Eyy8wKpEc=</DigestValue>
      </Reference>
      <Reference URI="/xl/worksheets/sheet2.xml?ContentType=application/vnd.openxmlformats-officedocument.spreadsheetml.worksheet+xml">
        <DigestMethod Algorithm="http://www.w3.org/2001/04/xmlenc#sha256"/>
        <DigestValue>O0FWqb64m2NspDwaCFIEesRiAv1k9Z74n97MaJ99jto=</DigestValue>
      </Reference>
      <Reference URI="/xl/worksheets/sheet20.xml?ContentType=application/vnd.openxmlformats-officedocument.spreadsheetml.worksheet+xml">
        <DigestMethod Algorithm="http://www.w3.org/2001/04/xmlenc#sha256"/>
        <DigestValue>M3/IIDtGZzSrXLZMbVsgxa3b9/w1C3/lbFOBqzEdsi0=</DigestValue>
      </Reference>
      <Reference URI="/xl/worksheets/sheet21.xml?ContentType=application/vnd.openxmlformats-officedocument.spreadsheetml.worksheet+xml">
        <DigestMethod Algorithm="http://www.w3.org/2001/04/xmlenc#sha256"/>
        <DigestValue>GfvMtDx8cUi1zhLKfoPscBvcr6VhjwVc2YqY6x43WKA=</DigestValue>
      </Reference>
      <Reference URI="/xl/worksheets/sheet22.xml?ContentType=application/vnd.openxmlformats-officedocument.spreadsheetml.worksheet+xml">
        <DigestMethod Algorithm="http://www.w3.org/2001/04/xmlenc#sha256"/>
        <DigestValue>N/xCiGlstwn6MoR7zvzo63ctHLg6YSUa8AukR8So1gY=</DigestValue>
      </Reference>
      <Reference URI="/xl/worksheets/sheet23.xml?ContentType=application/vnd.openxmlformats-officedocument.spreadsheetml.worksheet+xml">
        <DigestMethod Algorithm="http://www.w3.org/2001/04/xmlenc#sha256"/>
        <DigestValue>zmLX47kzS+Vzt35RtAcZXPK0wPlxUjEJysmeqPdELGo=</DigestValue>
      </Reference>
      <Reference URI="/xl/worksheets/sheet24.xml?ContentType=application/vnd.openxmlformats-officedocument.spreadsheetml.worksheet+xml">
        <DigestMethod Algorithm="http://www.w3.org/2001/04/xmlenc#sha256"/>
        <DigestValue>HDRXPtf9ozot55TA7h/eU2SA+Uqbki4hH7JKqVh+h7o=</DigestValue>
      </Reference>
      <Reference URI="/xl/worksheets/sheet25.xml?ContentType=application/vnd.openxmlformats-officedocument.spreadsheetml.worksheet+xml">
        <DigestMethod Algorithm="http://www.w3.org/2001/04/xmlenc#sha256"/>
        <DigestValue>s6PGkMLYZLwAeo9OPn6IMKZmWwV8A69DdrCG6UclXIc=</DigestValue>
      </Reference>
      <Reference URI="/xl/worksheets/sheet26.xml?ContentType=application/vnd.openxmlformats-officedocument.spreadsheetml.worksheet+xml">
        <DigestMethod Algorithm="http://www.w3.org/2001/04/xmlenc#sha256"/>
        <DigestValue>U1B0p76ei0eY5ymGSzPAkOyQHKNqVhMxuxhk0cqLmXk=</DigestValue>
      </Reference>
      <Reference URI="/xl/worksheets/sheet27.xml?ContentType=application/vnd.openxmlformats-officedocument.spreadsheetml.worksheet+xml">
        <DigestMethod Algorithm="http://www.w3.org/2001/04/xmlenc#sha256"/>
        <DigestValue>CiowK+a7NkDzpq6SXQAWwQgy6ie2H1TbNMhCpJade1A=</DigestValue>
      </Reference>
      <Reference URI="/xl/worksheets/sheet28.xml?ContentType=application/vnd.openxmlformats-officedocument.spreadsheetml.worksheet+xml">
        <DigestMethod Algorithm="http://www.w3.org/2001/04/xmlenc#sha256"/>
        <DigestValue>DA1R6Mr1jkIniR1FCuIE3gmJ9CwZSCvgd9wPCs9TF6o=</DigestValue>
      </Reference>
      <Reference URI="/xl/worksheets/sheet29.xml?ContentType=application/vnd.openxmlformats-officedocument.spreadsheetml.worksheet+xml">
        <DigestMethod Algorithm="http://www.w3.org/2001/04/xmlenc#sha256"/>
        <DigestValue>uOkcsxVPnntL/zSXNSMQxcPm1H3v9Pp3xog3HpGrqKY=</DigestValue>
      </Reference>
      <Reference URI="/xl/worksheets/sheet3.xml?ContentType=application/vnd.openxmlformats-officedocument.spreadsheetml.worksheet+xml">
        <DigestMethod Algorithm="http://www.w3.org/2001/04/xmlenc#sha256"/>
        <DigestValue>xrUz0K1zlq6cPX3maZeuPn3mZbGrTDWhE0JdVq7C8FE=</DigestValue>
      </Reference>
      <Reference URI="/xl/worksheets/sheet30.xml?ContentType=application/vnd.openxmlformats-officedocument.spreadsheetml.worksheet+xml">
        <DigestMethod Algorithm="http://www.w3.org/2001/04/xmlenc#sha256"/>
        <DigestValue>B1ddbMjl9qZrt+g5IyGSdgSb3o/rqR57pPMogj1P9zc=</DigestValue>
      </Reference>
      <Reference URI="/xl/worksheets/sheet4.xml?ContentType=application/vnd.openxmlformats-officedocument.spreadsheetml.worksheet+xml">
        <DigestMethod Algorithm="http://www.w3.org/2001/04/xmlenc#sha256"/>
        <DigestValue>fCzaRy3dEUuVsGDtfCgCOW0Vdn2XlY4UYHTes685aCg=</DigestValue>
      </Reference>
      <Reference URI="/xl/worksheets/sheet5.xml?ContentType=application/vnd.openxmlformats-officedocument.spreadsheetml.worksheet+xml">
        <DigestMethod Algorithm="http://www.w3.org/2001/04/xmlenc#sha256"/>
        <DigestValue>0t5O2gLZlqSjGxfAsJ0c83P5L8QvflwBh9SaQB4pz3o=</DigestValue>
      </Reference>
      <Reference URI="/xl/worksheets/sheet6.xml?ContentType=application/vnd.openxmlformats-officedocument.spreadsheetml.worksheet+xml">
        <DigestMethod Algorithm="http://www.w3.org/2001/04/xmlenc#sha256"/>
        <DigestValue>f9o6eKs8r+U4g4UV6wN7ENiZ/zfA5msV9TmzKjW/1is=</DigestValue>
      </Reference>
      <Reference URI="/xl/worksheets/sheet7.xml?ContentType=application/vnd.openxmlformats-officedocument.spreadsheetml.worksheet+xml">
        <DigestMethod Algorithm="http://www.w3.org/2001/04/xmlenc#sha256"/>
        <DigestValue>PNxH2Q1dVaMgCvkkVXeX+j3Yhz9SncvYvhJ9/iLj7l4=</DigestValue>
      </Reference>
      <Reference URI="/xl/worksheets/sheet8.xml?ContentType=application/vnd.openxmlformats-officedocument.spreadsheetml.worksheet+xml">
        <DigestMethod Algorithm="http://www.w3.org/2001/04/xmlenc#sha256"/>
        <DigestValue>oBAzdQs2wA/zoX6wX8kMDZGOswqFnzTfIe3FRo0hojQ=</DigestValue>
      </Reference>
      <Reference URI="/xl/worksheets/sheet9.xml?ContentType=application/vnd.openxmlformats-officedocument.spreadsheetml.worksheet+xml">
        <DigestMethod Algorithm="http://www.w3.org/2001/04/xmlenc#sha256"/>
        <DigestValue>dbbA5kIRQUsG9q4uvig0LN5n0RYRua9GjswA6FoYWls=</DigestValue>
      </Reference>
    </Manifest>
    <SignatureProperties>
      <SignatureProperty Id="idSignatureTime" Target="#idPackageSignature">
        <mdssi:SignatureTime xmlns:mdssi="http://schemas.openxmlformats.org/package/2006/digital-signature">
          <mdssi:Format>YYYY-MM-DDThh:mm:ssTZD</mdssi:Format>
          <mdssi:Value>2023-02-27T08:07:59Z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2023-02-27T08:07:59Z</xd:SigningTime>
          <xd:SigningCertificate>
            <xd:Cert>
              <xd:CertDigest>
                <DigestMethod Algorithm="http://www.w3.org/2001/04/xmlenc#sha256"/>
                <DigestValue>PHkyuqe+ZihdROanfUIIK1Z83EufQCxWqchaXuObQBQ=</DigestValue>
              </xd:CertDigest>
              <xd:IssuerSerial>
                <X509IssuerName>CN=NBG Class 2 INT Sub CA, DC=nbg, DC=ge</X509IssuerName>
                <X509SerialNumber>224293129715166119854196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2023-02-24T12:29:38Z</dcterms:modified>
</cp:coreProperties>
</file>