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xl/worksheets/sheet19.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7620"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90"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Instruction!#REF!</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K23" i="36" l="1"/>
  <c r="J23" i="36"/>
  <c r="I23" i="36"/>
  <c r="H23" i="36"/>
  <c r="G23" i="36"/>
  <c r="F23" i="36"/>
  <c r="K21" i="36"/>
  <c r="J21" i="36"/>
  <c r="I21" i="36"/>
  <c r="H21" i="36"/>
  <c r="G21" i="36"/>
  <c r="F21" i="36"/>
  <c r="E21" i="36"/>
  <c r="D21" i="36"/>
  <c r="C21" i="36"/>
  <c r="K16" i="36"/>
  <c r="K24" i="36" s="1"/>
  <c r="J16" i="36"/>
  <c r="J24" i="36" s="1"/>
  <c r="I16" i="36"/>
  <c r="H16" i="36"/>
  <c r="G16" i="36"/>
  <c r="F16" i="36"/>
  <c r="F24" i="36" s="1"/>
  <c r="E16" i="36"/>
  <c r="D16" i="36"/>
  <c r="C16" i="36"/>
  <c r="C22" i="74"/>
  <c r="H21" i="74"/>
  <c r="H20" i="74"/>
  <c r="H19" i="74"/>
  <c r="H18" i="74"/>
  <c r="H17" i="74"/>
  <c r="H16" i="74"/>
  <c r="H15" i="74"/>
  <c r="H14" i="74"/>
  <c r="H13" i="74"/>
  <c r="H12" i="74"/>
  <c r="H11" i="74"/>
  <c r="H10" i="74"/>
  <c r="H9" i="74"/>
  <c r="H8" i="74"/>
  <c r="C55" i="69"/>
  <c r="C54" i="69"/>
  <c r="C53" i="69"/>
  <c r="C50" i="69"/>
  <c r="C49" i="69"/>
  <c r="C48" i="69"/>
  <c r="C47" i="69"/>
  <c r="C46" i="69"/>
  <c r="C43" i="69"/>
  <c r="C44" i="69" s="1"/>
  <c r="C41" i="69"/>
  <c r="C40" i="69"/>
  <c r="C39" i="69"/>
  <c r="C38" i="69"/>
  <c r="C37" i="69"/>
  <c r="C36" i="69"/>
  <c r="C35" i="69"/>
  <c r="C34" i="69"/>
  <c r="C45" i="69" s="1"/>
  <c r="C29" i="69"/>
  <c r="C28" i="69"/>
  <c r="C27" i="69"/>
  <c r="C26" i="69"/>
  <c r="C19" i="69"/>
  <c r="C18" i="69"/>
  <c r="C14" i="69"/>
  <c r="C13" i="69"/>
  <c r="C17" i="69" s="1"/>
  <c r="C10" i="69"/>
  <c r="C9" i="69"/>
  <c r="C8" i="69"/>
  <c r="C7" i="69"/>
  <c r="C6" i="69"/>
  <c r="C32" i="69"/>
  <c r="C20" i="69"/>
  <c r="C12" i="69"/>
  <c r="C47" i="28"/>
  <c r="C43" i="28"/>
  <c r="C41" i="28"/>
  <c r="C35" i="28"/>
  <c r="C31" i="28"/>
  <c r="C30" i="28"/>
  <c r="C12" i="28"/>
  <c r="D20" i="72"/>
  <c r="E20" i="72" s="1"/>
  <c r="C20" i="72"/>
  <c r="D19" i="72"/>
  <c r="E19" i="72" s="1"/>
  <c r="C19" i="72"/>
  <c r="C18" i="72"/>
  <c r="C17" i="72"/>
  <c r="E17" i="72" s="1"/>
  <c r="C16" i="72"/>
  <c r="E16" i="72" s="1"/>
  <c r="C15" i="72"/>
  <c r="C14" i="72"/>
  <c r="C13" i="72"/>
  <c r="D12" i="72"/>
  <c r="C12" i="72"/>
  <c r="E12" i="72" s="1"/>
  <c r="C11" i="72"/>
  <c r="C10" i="72"/>
  <c r="C9" i="72"/>
  <c r="C8" i="72"/>
  <c r="E8" i="72" s="1"/>
  <c r="E18" i="72"/>
  <c r="E14" i="72"/>
  <c r="E13" i="72"/>
  <c r="E15" i="72" s="1"/>
  <c r="E11" i="72"/>
  <c r="E10" i="72"/>
  <c r="E9" i="72"/>
  <c r="E52" i="75"/>
  <c r="E51" i="75"/>
  <c r="E50" i="75"/>
  <c r="E49" i="75"/>
  <c r="E48" i="75"/>
  <c r="E45" i="75" s="1"/>
  <c r="E47" i="75"/>
  <c r="E46" i="75"/>
  <c r="G45" i="75"/>
  <c r="F45" i="75"/>
  <c r="D45" i="75"/>
  <c r="C45" i="75"/>
  <c r="E44" i="75"/>
  <c r="E43" i="75"/>
  <c r="E42" i="75"/>
  <c r="E41" i="75"/>
  <c r="E40" i="75"/>
  <c r="E39" i="75"/>
  <c r="E38" i="75"/>
  <c r="E37" i="75"/>
  <c r="E36" i="75"/>
  <c r="E35" i="75"/>
  <c r="E34" i="75"/>
  <c r="E33" i="75"/>
  <c r="E32" i="75"/>
  <c r="E31" i="75"/>
  <c r="E30" i="75"/>
  <c r="E29" i="75"/>
  <c r="E28" i="75"/>
  <c r="E27" i="75"/>
  <c r="E26" i="75"/>
  <c r="E25" i="75"/>
  <c r="E24" i="75"/>
  <c r="E23" i="75"/>
  <c r="E22" i="75"/>
  <c r="E21" i="75"/>
  <c r="E20" i="75"/>
  <c r="E19" i="75"/>
  <c r="E18" i="75"/>
  <c r="E17" i="75"/>
  <c r="E16" i="75"/>
  <c r="E15" i="75"/>
  <c r="E14" i="75"/>
  <c r="E13" i="75"/>
  <c r="E12" i="75"/>
  <c r="E11" i="75"/>
  <c r="E10" i="75"/>
  <c r="E9" i="75"/>
  <c r="E8" i="75"/>
  <c r="E66" i="53"/>
  <c r="E64" i="53"/>
  <c r="G61" i="53"/>
  <c r="F61" i="53"/>
  <c r="D61" i="53"/>
  <c r="C61" i="53"/>
  <c r="E61" i="53" s="1"/>
  <c r="E60" i="53"/>
  <c r="E59" i="53"/>
  <c r="E58" i="53"/>
  <c r="F54" i="53"/>
  <c r="G53" i="53"/>
  <c r="F53" i="53"/>
  <c r="D53" i="53"/>
  <c r="C53" i="53"/>
  <c r="E53" i="53" s="1"/>
  <c r="E52" i="53"/>
  <c r="E51" i="53"/>
  <c r="E50" i="53"/>
  <c r="E49" i="53"/>
  <c r="E48" i="53"/>
  <c r="E47" i="53"/>
  <c r="G45" i="53"/>
  <c r="G54" i="53" s="1"/>
  <c r="F45" i="53"/>
  <c r="C45" i="53"/>
  <c r="E45" i="53" s="1"/>
  <c r="E44" i="53"/>
  <c r="E43" i="53"/>
  <c r="E42" i="53"/>
  <c r="E41" i="53"/>
  <c r="E40" i="53"/>
  <c r="E39" i="53"/>
  <c r="E38" i="53"/>
  <c r="E37" i="53"/>
  <c r="E36" i="53"/>
  <c r="E35" i="53"/>
  <c r="G34" i="53"/>
  <c r="F34" i="53"/>
  <c r="E34" i="53"/>
  <c r="D34" i="53"/>
  <c r="D45" i="53" s="1"/>
  <c r="D54" i="53" s="1"/>
  <c r="C34" i="53"/>
  <c r="G30" i="53"/>
  <c r="F30" i="53"/>
  <c r="D30" i="53"/>
  <c r="C30" i="53"/>
  <c r="E30" i="53" s="1"/>
  <c r="E29" i="53"/>
  <c r="E28" i="53"/>
  <c r="E27" i="53"/>
  <c r="E26" i="53"/>
  <c r="E25" i="53"/>
  <c r="E24" i="53"/>
  <c r="G22" i="53"/>
  <c r="G31" i="53" s="1"/>
  <c r="G56" i="53" s="1"/>
  <c r="G63" i="53" s="1"/>
  <c r="G65" i="53" s="1"/>
  <c r="E21" i="53"/>
  <c r="E20" i="53"/>
  <c r="E19" i="53"/>
  <c r="E18" i="53"/>
  <c r="E17" i="53"/>
  <c r="E16" i="53"/>
  <c r="E15" i="53"/>
  <c r="E14" i="53"/>
  <c r="E13" i="53"/>
  <c r="E12" i="53"/>
  <c r="E11" i="53"/>
  <c r="E10" i="53"/>
  <c r="G9" i="53"/>
  <c r="F9" i="53"/>
  <c r="F22" i="53" s="1"/>
  <c r="F31" i="53" s="1"/>
  <c r="F56" i="53" s="1"/>
  <c r="F63" i="53" s="1"/>
  <c r="F65" i="53" s="1"/>
  <c r="D9" i="53"/>
  <c r="D22" i="53" s="1"/>
  <c r="D31" i="53" s="1"/>
  <c r="D56" i="53" s="1"/>
  <c r="D63" i="53" s="1"/>
  <c r="D65" i="53" s="1"/>
  <c r="C9" i="53"/>
  <c r="E9" i="53" s="1"/>
  <c r="E8" i="53"/>
  <c r="F40" i="62"/>
  <c r="C40" i="62"/>
  <c r="E40" i="62" s="1"/>
  <c r="E39" i="62"/>
  <c r="E38" i="62"/>
  <c r="E37" i="62"/>
  <c r="E36" i="62"/>
  <c r="E35" i="62"/>
  <c r="E34" i="62"/>
  <c r="E33" i="62"/>
  <c r="G31" i="62"/>
  <c r="F31" i="62"/>
  <c r="D31" i="62"/>
  <c r="C31" i="62"/>
  <c r="E31" i="62" s="1"/>
  <c r="E30" i="62"/>
  <c r="E29" i="62"/>
  <c r="E28" i="62"/>
  <c r="E27" i="62"/>
  <c r="E26" i="62"/>
  <c r="E25" i="62"/>
  <c r="E24" i="62"/>
  <c r="E23" i="62"/>
  <c r="E22" i="62"/>
  <c r="G20" i="62"/>
  <c r="D20" i="62"/>
  <c r="E19" i="62"/>
  <c r="E18" i="62"/>
  <c r="E17" i="62"/>
  <c r="E16" i="62"/>
  <c r="E15" i="62"/>
  <c r="G14" i="62"/>
  <c r="F14" i="62"/>
  <c r="F20" i="62" s="1"/>
  <c r="D14" i="62"/>
  <c r="C14" i="62"/>
  <c r="C20" i="62" s="1"/>
  <c r="E20" i="62" s="1"/>
  <c r="E13" i="62"/>
  <c r="E12" i="62"/>
  <c r="E11" i="62"/>
  <c r="E10" i="62"/>
  <c r="E9" i="62"/>
  <c r="E8" i="62"/>
  <c r="E7" i="62"/>
  <c r="K25" i="36" l="1"/>
  <c r="G24" i="36"/>
  <c r="I24" i="36"/>
  <c r="I25" i="36" s="1"/>
  <c r="H24" i="36"/>
  <c r="H25" i="36" s="1"/>
  <c r="J25" i="36"/>
  <c r="G25" i="36"/>
  <c r="F25" i="36"/>
  <c r="C33" i="69"/>
  <c r="C54" i="53"/>
  <c r="E54" i="53" s="1"/>
  <c r="C22" i="53"/>
  <c r="E14" i="62"/>
  <c r="C31" i="53" l="1"/>
  <c r="E22" i="53"/>
  <c r="C56" i="53" l="1"/>
  <c r="E31" i="53"/>
  <c r="C63" i="53" l="1"/>
  <c r="E56" i="53"/>
  <c r="E63" i="53" l="1"/>
  <c r="C65" i="53"/>
  <c r="E65" i="53" s="1"/>
  <c r="B2" i="79" l="1"/>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D19" i="77"/>
  <c r="D20" i="77"/>
  <c r="C30" i="79"/>
  <c r="C26" i="79"/>
  <c r="C8" i="79"/>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C7" i="73" s="1"/>
  <c r="N8" i="37"/>
  <c r="E21" i="37" l="1"/>
  <c r="N7" i="37"/>
  <c r="N21" i="37" s="1"/>
  <c r="K7" i="37"/>
  <c r="K21" i="37" s="1"/>
  <c r="C11" i="73" l="1"/>
  <c r="C12" i="79"/>
  <c r="C18" i="79" s="1"/>
  <c r="C36" i="79" s="1"/>
  <c r="C38" i="79" s="1"/>
  <c r="E21" i="72"/>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H53" i="75" l="1"/>
  <c r="E53" i="75"/>
  <c r="H52" i="75"/>
  <c r="H51" i="75"/>
  <c r="H50" i="75"/>
  <c r="H49" i="75"/>
  <c r="H48" i="75"/>
  <c r="H47" i="75"/>
  <c r="H46" i="75"/>
  <c r="H45" i="75"/>
  <c r="H44" i="75"/>
  <c r="H43" i="75"/>
  <c r="H42" i="75"/>
  <c r="H41" i="75"/>
  <c r="H40" i="75"/>
  <c r="H39" i="75"/>
  <c r="H38" i="75"/>
  <c r="H37" i="75"/>
  <c r="H36" i="75"/>
  <c r="H35" i="75"/>
  <c r="H34" i="75"/>
  <c r="H33" i="75"/>
  <c r="H32" i="75"/>
  <c r="H31" i="75"/>
  <c r="H30" i="75"/>
  <c r="H29" i="75"/>
  <c r="H28" i="75"/>
  <c r="H27" i="75"/>
  <c r="H26" i="75"/>
  <c r="H25" i="75"/>
  <c r="H24" i="75"/>
  <c r="H23" i="75"/>
  <c r="H22" i="75"/>
  <c r="H21" i="75"/>
  <c r="H20" i="75"/>
  <c r="H19" i="75"/>
  <c r="H18" i="75"/>
  <c r="H17" i="75"/>
  <c r="H16" i="75"/>
  <c r="H15" i="75"/>
  <c r="H14" i="75"/>
  <c r="H13" i="75"/>
  <c r="H12" i="75"/>
  <c r="H11" i="75"/>
  <c r="H10" i="75"/>
  <c r="H9" i="75"/>
  <c r="H8" i="75"/>
  <c r="H7" i="75"/>
  <c r="E7" i="75"/>
  <c r="G67" i="53" l="1"/>
  <c r="D67" i="53"/>
  <c r="D41" i="62"/>
  <c r="C41" i="62"/>
  <c r="C67" i="53" l="1"/>
  <c r="F67" i="53"/>
  <c r="H22" i="53"/>
  <c r="G41" i="62"/>
  <c r="F41" i="62"/>
  <c r="E41" i="62" l="1"/>
  <c r="D22" i="74"/>
  <c r="C6" i="73" s="1"/>
  <c r="C8" i="73" s="1"/>
  <c r="E22" i="74"/>
  <c r="H22" i="74" s="1"/>
  <c r="C10" i="73" l="1"/>
  <c r="C13" i="73"/>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52" i="28" l="1"/>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67"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alcChain>
</file>

<file path=xl/sharedStrings.xml><?xml version="1.0" encoding="utf-8"?>
<sst xmlns="http://schemas.openxmlformats.org/spreadsheetml/2006/main" count="942" uniqueCount="672">
  <si>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</si>
  <si>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</si>
  <si>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</si>
  <si>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</si>
  <si>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</si>
  <si>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</si>
  <si>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</si>
  <si>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</si>
  <si>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</si>
  <si>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</si>
  <si>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</si>
  <si>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</si>
  <si>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</si>
  <si>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</si>
  <si>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</si>
  <si>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</si>
  <si>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</si>
  <si>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</si>
  <si>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</si>
  <si>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</si>
  <si>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</si>
  <si>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</si>
  <si>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</si>
  <si>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</si>
  <si>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</si>
  <si>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</si>
  <si>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</si>
  <si>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</si>
  <si>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</si>
  <si>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</si>
  <si>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</si>
  <si>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</si>
  <si>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</si>
  <si>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</si>
  <si>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</si>
  <si>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</si>
  <si>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</si>
  <si>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</si>
  <si>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</si>
  <si>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</si>
  <si>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</si>
  <si>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</si>
  <si>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</si>
  <si>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</si>
  <si>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</si>
  <si>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</si>
  <si>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</si>
  <si>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</si>
  <si>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</si>
  <si>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</si>
  <si>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</si>
  <si>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</si>
  <si>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</si>
  <si>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</si>
  <si>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</si>
  <si>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</si>
  <si>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</si>
  <si>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</si>
  <si>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</si>
  <si>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</si>
  <si>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</si>
  <si>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</si>
  <si>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</si>
  <si>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</si>
  <si>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</si>
  <si>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</si>
  <si>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</si>
  <si>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</si>
  <si>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</si>
  <si>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</si>
  <si>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</si>
  <si>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</si>
  <si>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</si>
  <si>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</si>
  <si>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</si>
  <si>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</si>
  <si>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</si>
  <si>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</si>
  <si>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</si>
  <si>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</si>
  <si>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</si>
  <si>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</si>
  <si>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</si>
  <si>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</si>
  <si>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</si>
  <si>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</si>
  <si>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</si>
  <si>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</si>
  <si>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</si>
  <si>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</si>
  <si>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</si>
  <si>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</si>
  <si>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</si>
  <si>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</si>
  <si>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</si>
  <si>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</si>
  <si>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</si>
  <si>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</si>
  <si>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</si>
  <si>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</si>
  <si>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</si>
  <si>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</si>
  <si>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</si>
  <si>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</si>
  <si>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</si>
  <si>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</si>
  <si>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</si>
  <si>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</si>
  <si>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</si>
  <si>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</si>
  <si>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</si>
  <si>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</si>
  <si>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</si>
  <si>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</si>
  <si>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</si>
  <si>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</si>
  <si>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</si>
  <si>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</si>
  <si>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</si>
  <si>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</si>
  <si>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</si>
  <si>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</si>
  <si>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</si>
  <si>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</si>
  <si>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</si>
  <si>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</si>
  <si>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</si>
  <si>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</si>
  <si>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</si>
  <si>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</si>
  <si>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</si>
  <si>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</si>
  <si>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</si>
  <si>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</si>
  <si>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</si>
  <si>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</si>
  <si>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</si>
  <si>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</si>
  <si>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</si>
  <si>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</si>
  <si>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</si>
  <si>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</si>
  <si>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</si>
  <si>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</si>
  <si>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</si>
  <si>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</si>
  <si>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</si>
  <si>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</si>
  <si>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</si>
  <si>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</si>
  <si>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</si>
  <si>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</si>
  <si>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</si>
  <si>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</si>
  <si>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</si>
  <si>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</si>
  <si>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</si>
  <si>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</si>
  <si>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</si>
  <si>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</si>
  <si>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</si>
  <si>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</si>
  <si>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</si>
  <si>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</si>
  <si>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</si>
  <si>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</si>
  <si>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</si>
  <si>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</si>
  <si>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</si>
  <si>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</si>
  <si>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</si>
  <si>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</si>
  <si>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</si>
  <si>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</si>
  <si>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</si>
  <si>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</si>
  <si>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</si>
  <si>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</si>
  <si>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</si>
  <si>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</si>
  <si>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</si>
  <si>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</si>
  <si>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</si>
  <si>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</si>
  <si>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</si>
  <si>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</si>
  <si>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</si>
  <si>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</si>
  <si>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</si>
  <si>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</si>
  <si>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</si>
  <si>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</si>
  <si>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</si>
  <si>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</si>
  <si>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</si>
  <si>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</si>
  <si>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</si>
  <si>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</si>
  <si>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</si>
  <si>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</si>
  <si>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</si>
  <si>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</si>
  <si>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</si>
  <si>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</si>
  <si>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</si>
  <si>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</si>
  <si>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</si>
  <si>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</si>
  <si>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</si>
  <si>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</si>
  <si>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</si>
  <si>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</si>
  <si>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</si>
  <si>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</si>
  <si>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</si>
  <si>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</si>
  <si>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</si>
  <si>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</si>
  <si>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</si>
  <si>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</si>
  <si>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</si>
  <si>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</si>
  <si>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</si>
  <si>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</si>
  <si>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</si>
  <si>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</si>
  <si>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</si>
  <si>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</si>
  <si>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</si>
  <si>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</si>
  <si>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</si>
  <si>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</si>
  <si>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</si>
  <si>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</si>
  <si>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</si>
  <si>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</si>
  <si>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</si>
  <si>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</si>
  <si>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</si>
  <si>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</si>
  <si>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</si>
  <si>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</si>
  <si>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</si>
  <si>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</si>
  <si>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</si>
  <si>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</si>
  <si>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</si>
  <si>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</si>
  <si>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</si>
  <si>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</si>
  <si>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</si>
  <si>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</si>
  <si>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</si>
  <si>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</si>
  <si>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</si>
  <si>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</si>
  <si>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</si>
  <si>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</si>
  <si>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</si>
  <si>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</si>
  <si>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</si>
  <si>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</si>
  <si>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</si>
  <si>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</si>
  <si>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</si>
  <si>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</si>
  <si>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</si>
  <si>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</si>
  <si>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</si>
  <si>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</si>
  <si>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</si>
  <si>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</si>
  <si>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</si>
  <si>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</si>
  <si>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</si>
  <si>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</si>
  <si>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</si>
  <si>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</si>
  <si>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</si>
  <si>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</si>
  <si>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</si>
  <si>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</si>
  <si>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</si>
  <si>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</si>
  <si>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</si>
  <si>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</si>
  <si>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</si>
  <si>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</si>
  <si>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</si>
  <si>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</si>
  <si>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</si>
  <si>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</si>
  <si>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</si>
  <si>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</si>
  <si>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</si>
  <si>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</si>
  <si>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</si>
  <si>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</si>
  <si>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</si>
  <si>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</si>
  <si>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</si>
  <si>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</si>
  <si>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</si>
  <si>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</si>
  <si>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</si>
  <si>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</si>
  <si>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</si>
  <si>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</si>
  <si>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</si>
  <si>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</si>
  <si>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</si>
  <si>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</si>
  <si>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</si>
  <si>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</si>
  <si>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</si>
  <si>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</si>
  <si>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</si>
  <si>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</si>
  <si>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</si>
  <si>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</si>
  <si>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</si>
  <si>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</si>
  <si>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</si>
  <si>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</si>
  <si>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</si>
  <si>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</si>
  <si>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</si>
  <si>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</si>
  <si>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</si>
  <si>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</si>
  <si>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</si>
  <si>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</si>
  <si>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</si>
  <si>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</si>
  <si>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</si>
  <si>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</si>
  <si>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</si>
  <si>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</si>
  <si>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</si>
  <si>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</si>
  <si>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</si>
  <si>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</si>
  <si>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</si>
  <si>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</si>
  <si>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</si>
  <si>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</si>
  <si>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</si>
  <si>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</si>
  <si>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</si>
  <si>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</si>
  <si>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</si>
  <si>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</si>
  <si>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</si>
  <si>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</si>
  <si>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</si>
  <si>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</si>
  <si>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</si>
  <si>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</si>
  <si>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</si>
  <si>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</si>
  <si>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</si>
  <si>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</si>
  <si>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</si>
  <si>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</si>
  <si>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</si>
  <si>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</si>
  <si>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</si>
  <si>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</si>
  <si>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</si>
  <si>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</si>
  <si>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</si>
  <si>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</si>
  <si>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</si>
  <si>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</si>
  <si>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</si>
  <si>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</si>
  <si>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</si>
  <si>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</si>
  <si>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</si>
  <si>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</si>
  <si>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</si>
  <si>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</si>
  <si>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</si>
  <si>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</si>
  <si>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</si>
  <si>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</si>
  <si>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</si>
  <si>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</si>
  <si>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</si>
  <si>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</si>
  <si>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</si>
  <si>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</si>
  <si>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</si>
  <si>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</si>
  <si>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</si>
  <si>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</si>
  <si>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</si>
  <si>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</si>
  <si>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</si>
  <si>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</si>
  <si>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</si>
  <si>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</si>
  <si>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</si>
  <si>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</si>
  <si>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</si>
  <si>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</si>
  <si>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</si>
  <si>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</si>
  <si>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</si>
  <si>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</si>
  <si>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</si>
  <si>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</si>
  <si>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</si>
  <si>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</si>
  <si>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</si>
  <si>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</si>
  <si>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</si>
  <si>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</si>
  <si>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</si>
  <si>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</si>
  <si>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</si>
  <si>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</si>
  <si>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</si>
  <si>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</si>
  <si>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</si>
  <si>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</si>
  <si>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</si>
  <si>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</si>
  <si>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</si>
  <si>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</si>
  <si>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</si>
  <si>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</si>
  <si>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</si>
  <si>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</si>
  <si>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</si>
  <si>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</si>
  <si>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</si>
  <si>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</si>
  <si>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</si>
  <si>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</si>
  <si>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</si>
  <si>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</si>
  <si>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</si>
  <si>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</si>
  <si>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</si>
  <si>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</si>
  <si>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</si>
  <si>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</si>
  <si>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</si>
  <si>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</si>
  <si>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</si>
  <si>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</si>
  <si>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</si>
  <si>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</si>
  <si>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</si>
  <si>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</si>
  <si>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</si>
  <si>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</si>
  <si>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</si>
  <si>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</si>
  <si>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</si>
  <si>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</si>
  <si>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</si>
  <si>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</si>
  <si>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</si>
  <si>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</si>
  <si>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</si>
  <si>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</si>
  <si>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</si>
  <si>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</si>
  <si>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</si>
  <si>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</si>
  <si>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</si>
  <si>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</si>
  <si>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</si>
  <si>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</si>
  <si>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</si>
  <si>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</si>
  <si>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</si>
  <si>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</si>
  <si>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</si>
  <si>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</si>
  <si>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</si>
  <si>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</si>
  <si>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</si>
  <si>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</si>
  <si>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</si>
  <si>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</si>
  <si>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</si>
  <si>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</si>
  <si>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</si>
  <si>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</si>
  <si>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</si>
  <si>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</si>
  <si>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</si>
  <si>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</si>
  <si>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</si>
  <si>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</si>
  <si>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</si>
  <si>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</si>
  <si>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</si>
  <si>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</si>
  <si>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</si>
  <si>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</si>
  <si>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</si>
  <si>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</si>
  <si>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</si>
  <si>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</si>
  <si>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</si>
  <si>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</si>
  <si>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</si>
  <si>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</si>
  <si>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</si>
  <si>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</si>
  <si>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</si>
  <si>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</si>
  <si>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</si>
  <si>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</si>
  <si>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</si>
  <si>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</si>
  <si>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</si>
  <si>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</si>
  <si>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</si>
  <si>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</si>
  <si>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</si>
  <si>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</si>
  <si>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</si>
  <si>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</si>
  <si>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</si>
  <si>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</si>
  <si>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</si>
  <si>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</si>
  <si>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</si>
  <si>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</si>
  <si>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</si>
  <si>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</si>
  <si>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</si>
  <si>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</si>
  <si>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</si>
  <si>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</si>
  <si>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</si>
  <si>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</si>
  <si>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</si>
  <si>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</si>
  <si>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</si>
  <si>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</si>
  <si>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</si>
  <si>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</si>
  <si>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</si>
  <si>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</si>
  <si>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</si>
  <si>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</si>
  <si>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</si>
  <si>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</si>
  <si>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</si>
  <si>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</si>
  <si>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</si>
  <si>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</si>
  <si>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</si>
  <si>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</si>
  <si>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</si>
  <si>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</si>
  <si>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</si>
  <si>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</si>
  <si>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</si>
  <si>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</si>
  <si>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</si>
  <si>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</si>
  <si>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</si>
  <si>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</si>
  <si>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</si>
  <si>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</si>
  <si>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</si>
  <si>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</si>
  <si>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</si>
  <si>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</si>
  <si>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</si>
  <si>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</si>
  <si>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</si>
  <si>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</si>
  <si>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</si>
  <si>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</si>
  <si>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</si>
  <si>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</si>
  <si>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</si>
  <si>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</si>
  <si>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</si>
  <si>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</si>
  <si>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</si>
  <si>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</si>
  <si>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</si>
  <si>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</si>
  <si>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</si>
  <si>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</si>
  <si>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</si>
  <si>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</si>
  <si>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</si>
  <si>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</si>
  <si>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</si>
  <si>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</si>
  <si>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</si>
  <si>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</si>
  <si>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</si>
  <si>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</si>
  <si>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</si>
  <si>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</si>
  <si>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</si>
  <si>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</si>
  <si>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</si>
  <si>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</si>
  <si>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</si>
  <si>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</si>
  <si>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</si>
  <si>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</si>
  <si>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</si>
  <si>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</si>
  <si>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</si>
  <si>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</si>
  <si>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</si>
  <si>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</si>
  <si>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</si>
  <si>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</si>
  <si>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</si>
  <si>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</si>
  <si>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</si>
  <si>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</si>
  <si>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</si>
  <si>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</si>
  <si>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</si>
  <si>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სს "ბანკი ქართუ"</t>
  </si>
  <si>
    <t>ნ. ჩხეტიანი</t>
  </si>
  <si>
    <t>ნ. ხაინდრავა</t>
  </si>
  <si>
    <t>www.cartubank.ge</t>
  </si>
  <si>
    <t>X</t>
  </si>
  <si>
    <t xml:space="preserve">  </t>
  </si>
  <si>
    <t>ნიკოლოზ ჩხეტიანი</t>
  </si>
  <si>
    <t xml:space="preserve">ბესიკ დემეტრაშვილი                                                                                  </t>
  </si>
  <si>
    <t>არადამოუკიდებელი წევრი</t>
  </si>
  <si>
    <t>თემური კობახიძე</t>
  </si>
  <si>
    <t>დამოუკიდებელი წევრი</t>
  </si>
  <si>
    <t>ზაზა ვერძეული</t>
  </si>
  <si>
    <t>თეა ჯოხაძე</t>
  </si>
  <si>
    <t>არადამოუკიდებელ წევრი</t>
  </si>
  <si>
    <t>ნატო ხაინდრავა</t>
  </si>
  <si>
    <t>გენერალური დირექტორი</t>
  </si>
  <si>
    <t>გივი ლებანიძე</t>
  </si>
  <si>
    <t>ფინანსური დირექტორი</t>
  </si>
  <si>
    <t>ბექა კვარაცხელია</t>
  </si>
  <si>
    <t>რისკების დირექტორი</t>
  </si>
  <si>
    <t>ზურაბ გოგუა</t>
  </si>
  <si>
    <t>კომერციული დირექტორი</t>
  </si>
  <si>
    <t>დავით გალუაშვილი</t>
  </si>
  <si>
    <t>ოპერაციების დირექტორი</t>
  </si>
  <si>
    <t xml:space="preserve">უტა ივანიშვილი </t>
  </si>
  <si>
    <t>ა(ა)იპ საერთაშორისო საქველმოქმედო ფონდი "ქართუ"</t>
  </si>
  <si>
    <t>მინუს: საინვესტიციო ფასიანი ქაღალდების საეთო რეზერვები</t>
  </si>
  <si>
    <t>ცხრილი 9 (Capital), N39</t>
  </si>
  <si>
    <t>წმინდა საინვესტიციო ფასიანი ქაღალდები</t>
  </si>
  <si>
    <t>მინუს: მნიშვნელოვანი ინვესტიციების შესაძლო დანაკარგების რეზერვები</t>
  </si>
  <si>
    <t>მინუს: ინვესტიციების შესაძლო დანაკარგების საეთო რეზერვები</t>
  </si>
  <si>
    <t>მათ შორის გადავადებული საგადასახადო აქტივები</t>
  </si>
  <si>
    <t>ცხრილი 9 (Capital), N38</t>
  </si>
  <si>
    <t>მინუს: სხვა აქტივების შესაძლო დანაკარგების საეთო რეზერვები</t>
  </si>
  <si>
    <t>მინუს: სხვა აქტივების შესაძლო დანაკარგების სპეციალური  რეზერვები</t>
  </si>
  <si>
    <t>წმინდა სხვა აქტივები</t>
  </si>
  <si>
    <t>მათ შორის სარეზერვო ფონდი</t>
  </si>
  <si>
    <t>ცხრილი 9 (Capital), N4</t>
  </si>
  <si>
    <t>მათ შორის მიზნობრივი ფონდი</t>
  </si>
  <si>
    <t>ცხრილი 9 (Capital), N37</t>
  </si>
  <si>
    <t>ცხრილი 9 (Capital), N2</t>
  </si>
  <si>
    <t>ცხრილი 9 (Capital), N6</t>
  </si>
  <si>
    <t>არადამოუკიდებელი თავმჯდომარე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</si>
</sst>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0">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u/>
      <sz val="12"/>
      <color indexed="12"/>
      <name val="Arial"/>
      <family val="2"/>
    </font>
    <font>
      <i/>
      <sz val="10"/>
      <color rgb="FFFF0000"/>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bottom/>
      <diagonal/>
    </border>
    <border>
      <left style="thin">
        <color theme="6" tint="-0.499984740745262"/>
      </left>
      <right style="medium">
        <color indexed="64"/>
      </right>
      <top style="thin">
        <color indexed="64"/>
      </top>
      <bottom style="thin">
        <color theme="6" tint="-0.499984740745262"/>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2" applyNumberFormat="0" applyFill="0" applyAlignment="0" applyProtection="0"/>
    <xf numFmtId="168" fontId="96" fillId="0" borderId="112" applyNumberFormat="0" applyFill="0" applyAlignment="0" applyProtection="0"/>
    <xf numFmtId="169" fontId="96" fillId="0" borderId="112" applyNumberFormat="0" applyFill="0" applyAlignment="0" applyProtection="0"/>
    <xf numFmtId="168" fontId="96" fillId="0" borderId="112" applyNumberFormat="0" applyFill="0" applyAlignment="0" applyProtection="0"/>
    <xf numFmtId="168" fontId="96" fillId="0" borderId="112" applyNumberFormat="0" applyFill="0" applyAlignment="0" applyProtection="0"/>
    <xf numFmtId="169" fontId="96" fillId="0" borderId="112" applyNumberFormat="0" applyFill="0" applyAlignment="0" applyProtection="0"/>
    <xf numFmtId="168" fontId="96" fillId="0" borderId="112" applyNumberFormat="0" applyFill="0" applyAlignment="0" applyProtection="0"/>
    <xf numFmtId="168" fontId="96" fillId="0" borderId="112" applyNumberFormat="0" applyFill="0" applyAlignment="0" applyProtection="0"/>
    <xf numFmtId="169" fontId="96" fillId="0" borderId="112" applyNumberFormat="0" applyFill="0" applyAlignment="0" applyProtection="0"/>
    <xf numFmtId="168" fontId="96" fillId="0" borderId="112" applyNumberFormat="0" applyFill="0" applyAlignment="0" applyProtection="0"/>
    <xf numFmtId="168" fontId="96" fillId="0" borderId="112" applyNumberFormat="0" applyFill="0" applyAlignment="0" applyProtection="0"/>
    <xf numFmtId="169" fontId="96" fillId="0" borderId="112" applyNumberFormat="0" applyFill="0" applyAlignment="0" applyProtection="0"/>
    <xf numFmtId="168" fontId="96"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169" fontId="96"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168" fontId="96"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168" fontId="96"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188" fontId="2" fillId="70" borderId="107" applyFont="0">
      <alignment horizontal="right" vertical="center"/>
    </xf>
    <xf numFmtId="3" fontId="2" fillId="70" borderId="107" applyFont="0">
      <alignment horizontal="right" vertical="center"/>
    </xf>
    <xf numFmtId="0" fontId="85" fillId="64" borderId="111" applyNumberFormat="0" applyAlignment="0" applyProtection="0"/>
    <xf numFmtId="168" fontId="87" fillId="64" borderId="111" applyNumberFormat="0" applyAlignment="0" applyProtection="0"/>
    <xf numFmtId="169" fontId="87" fillId="64" borderId="111" applyNumberFormat="0" applyAlignment="0" applyProtection="0"/>
    <xf numFmtId="168" fontId="87" fillId="64" borderId="111" applyNumberFormat="0" applyAlignment="0" applyProtection="0"/>
    <xf numFmtId="168" fontId="87" fillId="64" borderId="111" applyNumberFormat="0" applyAlignment="0" applyProtection="0"/>
    <xf numFmtId="169" fontId="87" fillId="64" borderId="111" applyNumberFormat="0" applyAlignment="0" applyProtection="0"/>
    <xf numFmtId="168" fontId="87" fillId="64" borderId="111" applyNumberFormat="0" applyAlignment="0" applyProtection="0"/>
    <xf numFmtId="168" fontId="87" fillId="64" borderId="111" applyNumberFormat="0" applyAlignment="0" applyProtection="0"/>
    <xf numFmtId="169" fontId="87" fillId="64" borderId="111" applyNumberFormat="0" applyAlignment="0" applyProtection="0"/>
    <xf numFmtId="168" fontId="87" fillId="64" borderId="111" applyNumberFormat="0" applyAlignment="0" applyProtection="0"/>
    <xf numFmtId="168" fontId="87" fillId="64" borderId="111" applyNumberFormat="0" applyAlignment="0" applyProtection="0"/>
    <xf numFmtId="169" fontId="87" fillId="64" borderId="111" applyNumberFormat="0" applyAlignment="0" applyProtection="0"/>
    <xf numFmtId="168" fontId="87"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169" fontId="87"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168" fontId="87"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168" fontId="87"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3" fontId="2" fillId="75" borderId="107" applyFont="0">
      <alignment horizontal="right" vertical="center"/>
      <protection locked="0"/>
    </xf>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 fillId="74" borderId="110" applyNumberFormat="0" applyFont="0" applyAlignment="0" applyProtection="0"/>
    <xf numFmtId="0" fontId="29"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3" fontId="2" fillId="72" borderId="107" applyFont="0">
      <alignment horizontal="right" vertical="center"/>
      <protection locked="0"/>
    </xf>
    <xf numFmtId="0" fontId="68" fillId="43" borderId="109" applyNumberFormat="0" applyAlignment="0" applyProtection="0"/>
    <xf numFmtId="168" fontId="70" fillId="43" borderId="109" applyNumberFormat="0" applyAlignment="0" applyProtection="0"/>
    <xf numFmtId="169" fontId="70" fillId="43" borderId="109" applyNumberFormat="0" applyAlignment="0" applyProtection="0"/>
    <xf numFmtId="168" fontId="70" fillId="43" borderId="109" applyNumberFormat="0" applyAlignment="0" applyProtection="0"/>
    <xf numFmtId="168" fontId="70" fillId="43" borderId="109" applyNumberFormat="0" applyAlignment="0" applyProtection="0"/>
    <xf numFmtId="169" fontId="70" fillId="43" borderId="109" applyNumberFormat="0" applyAlignment="0" applyProtection="0"/>
    <xf numFmtId="168" fontId="70" fillId="43" borderId="109" applyNumberFormat="0" applyAlignment="0" applyProtection="0"/>
    <xf numFmtId="168" fontId="70" fillId="43" borderId="109" applyNumberFormat="0" applyAlignment="0" applyProtection="0"/>
    <xf numFmtId="169" fontId="70" fillId="43" borderId="109" applyNumberFormat="0" applyAlignment="0" applyProtection="0"/>
    <xf numFmtId="168" fontId="70" fillId="43" borderId="109" applyNumberFormat="0" applyAlignment="0" applyProtection="0"/>
    <xf numFmtId="168" fontId="70" fillId="43" borderId="109" applyNumberFormat="0" applyAlignment="0" applyProtection="0"/>
    <xf numFmtId="169" fontId="70" fillId="43" borderId="109" applyNumberFormat="0" applyAlignment="0" applyProtection="0"/>
    <xf numFmtId="168" fontId="70"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169" fontId="70"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168" fontId="70"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168" fontId="70"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2" fillId="71" borderId="108" applyNumberFormat="0" applyFont="0" applyBorder="0" applyProtection="0">
      <alignment horizontal="left" vertical="center"/>
    </xf>
    <xf numFmtId="9" fontId="2" fillId="71" borderId="107" applyFont="0" applyProtection="0">
      <alignment horizontal="right" vertical="center"/>
    </xf>
    <xf numFmtId="3" fontId="2" fillId="71" borderId="107" applyFont="0" applyProtection="0">
      <alignment horizontal="right" vertical="center"/>
    </xf>
    <xf numFmtId="0" fontId="64" fillId="70" borderId="108" applyFont="0" applyBorder="0">
      <alignment horizontal="center" wrapText="1"/>
    </xf>
    <xf numFmtId="168" fontId="56" fillId="0" borderId="105">
      <alignment horizontal="left" vertical="center"/>
    </xf>
    <xf numFmtId="0" fontId="56" fillId="0" borderId="105">
      <alignment horizontal="left" vertical="center"/>
    </xf>
    <xf numFmtId="0" fontId="56" fillId="0" borderId="105">
      <alignment horizontal="left" vertical="center"/>
    </xf>
    <xf numFmtId="0" fontId="2" fillId="69" borderId="107" applyNumberFormat="0" applyFont="0" applyBorder="0" applyProtection="0">
      <alignment horizontal="center" vertical="center"/>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40" fillId="64" borderId="109" applyNumberFormat="0" applyAlignment="0" applyProtection="0"/>
    <xf numFmtId="168" fontId="42" fillId="64" borderId="109" applyNumberFormat="0" applyAlignment="0" applyProtection="0"/>
    <xf numFmtId="169" fontId="42" fillId="64" borderId="109" applyNumberFormat="0" applyAlignment="0" applyProtection="0"/>
    <xf numFmtId="168" fontId="42" fillId="64" borderId="109" applyNumberFormat="0" applyAlignment="0" applyProtection="0"/>
    <xf numFmtId="168" fontId="42" fillId="64" borderId="109" applyNumberFormat="0" applyAlignment="0" applyProtection="0"/>
    <xf numFmtId="169" fontId="42" fillId="64" borderId="109" applyNumberFormat="0" applyAlignment="0" applyProtection="0"/>
    <xf numFmtId="168" fontId="42" fillId="64" borderId="109" applyNumberFormat="0" applyAlignment="0" applyProtection="0"/>
    <xf numFmtId="168" fontId="42" fillId="64" borderId="109" applyNumberFormat="0" applyAlignment="0" applyProtection="0"/>
    <xf numFmtId="169" fontId="42" fillId="64" borderId="109" applyNumberFormat="0" applyAlignment="0" applyProtection="0"/>
    <xf numFmtId="168" fontId="42" fillId="64" borderId="109" applyNumberFormat="0" applyAlignment="0" applyProtection="0"/>
    <xf numFmtId="168" fontId="42" fillId="64" borderId="109" applyNumberFormat="0" applyAlignment="0" applyProtection="0"/>
    <xf numFmtId="169" fontId="42" fillId="64" borderId="109" applyNumberFormat="0" applyAlignment="0" applyProtection="0"/>
    <xf numFmtId="168" fontId="42"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169" fontId="42"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168" fontId="42"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168" fontId="42"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63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69"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0"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7"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7" xfId="0" applyNumberFormat="1" applyFont="1" applyFill="1" applyBorder="1" applyAlignment="1">
      <alignment horizontal="right" vertical="center"/>
    </xf>
    <xf numFmtId="49" fontId="108" fillId="0" borderId="92"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2"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7"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193" fontId="0" fillId="0" borderId="23" xfId="0" applyNumberFormat="1" applyBorder="1" applyAlignment="1"/>
    <xf numFmtId="193" fontId="0" fillId="0" borderId="23" xfId="0" applyNumberFormat="1" applyBorder="1" applyAlignment="1">
      <alignment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100" xfId="20" applyBorder="1"/>
    <xf numFmtId="0" fontId="4" fillId="0" borderId="7" xfId="0" applyFont="1" applyFill="1" applyBorder="1" applyAlignment="1">
      <alignment vertical="center"/>
    </xf>
    <xf numFmtId="0" fontId="4" fillId="0" borderId="107" xfId="0" applyFont="1" applyFill="1" applyBorder="1" applyAlignment="1">
      <alignment vertical="center"/>
    </xf>
    <xf numFmtId="0" fontId="6" fillId="0" borderId="107" xfId="0" applyFont="1" applyFill="1" applyBorder="1" applyAlignment="1">
      <alignment vertical="center"/>
    </xf>
    <xf numFmtId="0" fontId="4" fillId="0" borderId="20" xfId="0" applyFont="1" applyFill="1" applyBorder="1" applyAlignment="1">
      <alignment vertical="center"/>
    </xf>
    <xf numFmtId="0" fontId="4" fillId="0" borderId="102" xfId="0" applyFont="1" applyFill="1" applyBorder="1" applyAlignment="1">
      <alignment vertical="center"/>
    </xf>
    <xf numFmtId="0" fontId="4" fillId="0" borderId="104" xfId="0" applyFont="1" applyFill="1" applyBorder="1" applyAlignment="1">
      <alignment vertical="center"/>
    </xf>
    <xf numFmtId="0" fontId="4" fillId="0" borderId="19"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6" xfId="0" applyFont="1" applyFill="1" applyBorder="1" applyAlignment="1">
      <alignment horizontal="center" vertical="center"/>
    </xf>
    <xf numFmtId="169" fontId="28" fillId="37" borderId="34" xfId="20" applyBorder="1"/>
    <xf numFmtId="169" fontId="28" fillId="37" borderId="118"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05" xfId="0" applyFont="1" applyFill="1" applyBorder="1" applyAlignment="1">
      <alignment vertical="center"/>
    </xf>
    <xf numFmtId="0" fontId="14" fillId="3" borderId="119" xfId="0" applyFont="1" applyFill="1" applyBorder="1" applyAlignment="1">
      <alignment horizontal="left"/>
    </xf>
    <xf numFmtId="0" fontId="14" fillId="3" borderId="120" xfId="0" applyFont="1" applyFill="1" applyBorder="1" applyAlignment="1">
      <alignment horizontal="left"/>
    </xf>
    <xf numFmtId="0" fontId="4" fillId="0" borderId="0" xfId="0" applyFont="1"/>
    <xf numFmtId="0" fontId="4" fillId="0" borderId="0" xfId="0" applyFont="1" applyFill="1"/>
    <xf numFmtId="0" fontId="4" fillId="0" borderId="107" xfId="0" applyFont="1" applyFill="1" applyBorder="1" applyAlignment="1">
      <alignment horizontal="center" vertical="center" wrapText="1"/>
    </xf>
    <xf numFmtId="0" fontId="108" fillId="0" borderId="94" xfId="0" applyFont="1" applyFill="1" applyBorder="1" applyAlignment="1">
      <alignment horizontal="right" vertical="center"/>
    </xf>
    <xf numFmtId="0" fontId="4" fillId="0" borderId="121" xfId="0" applyFont="1" applyFill="1" applyBorder="1" applyAlignment="1">
      <alignment horizontal="center" vertical="center" wrapText="1"/>
    </xf>
    <xf numFmtId="0" fontId="6" fillId="3" borderId="122" xfId="0" applyFont="1" applyFill="1" applyBorder="1" applyAlignment="1">
      <alignment vertical="center"/>
    </xf>
    <xf numFmtId="0" fontId="4" fillId="3" borderId="24" xfId="0" applyFont="1" applyFill="1" applyBorder="1" applyAlignment="1">
      <alignment vertical="center"/>
    </xf>
    <xf numFmtId="0" fontId="4" fillId="0" borderId="123"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3" xfId="0" applyBorder="1"/>
    <xf numFmtId="0" fontId="0" fillId="0" borderId="123" xfId="0" applyBorder="1" applyAlignment="1">
      <alignment horizontal="center"/>
    </xf>
    <xf numFmtId="0" fontId="4" fillId="0" borderId="106" xfId="0" applyFont="1" applyBorder="1" applyAlignment="1">
      <alignment vertical="center" wrapText="1"/>
    </xf>
    <xf numFmtId="167" fontId="4" fillId="0" borderId="107" xfId="0" applyNumberFormat="1" applyFont="1" applyBorder="1" applyAlignment="1">
      <alignment horizontal="center" vertical="center"/>
    </xf>
    <xf numFmtId="167" fontId="4" fillId="0" borderId="121" xfId="0" applyNumberFormat="1" applyFont="1" applyBorder="1" applyAlignment="1">
      <alignment horizontal="center" vertical="center"/>
    </xf>
    <xf numFmtId="167" fontId="14" fillId="0" borderId="107" xfId="0" applyNumberFormat="1" applyFont="1" applyBorder="1" applyAlignment="1">
      <alignment horizontal="center" vertical="center"/>
    </xf>
    <xf numFmtId="0" fontId="14" fillId="0" borderId="106" xfId="0" applyFont="1" applyBorder="1" applyAlignment="1">
      <alignment vertical="center" wrapText="1"/>
    </xf>
    <xf numFmtId="0" fontId="0" fillId="0" borderId="25" xfId="0" applyBorder="1"/>
    <xf numFmtId="0" fontId="6" fillId="36" borderId="124"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3" xfId="0" applyFont="1" applyFill="1" applyBorder="1" applyAlignment="1">
      <alignment horizontal="left" vertical="center" wrapText="1"/>
    </xf>
    <xf numFmtId="0" fontId="6" fillId="36" borderId="107" xfId="0" applyFont="1" applyFill="1" applyBorder="1" applyAlignment="1">
      <alignment horizontal="left" vertical="center" wrapText="1"/>
    </xf>
    <xf numFmtId="0" fontId="6" fillId="36" borderId="121" xfId="0" applyFont="1" applyFill="1" applyBorder="1" applyAlignment="1">
      <alignment horizontal="left" vertical="center" wrapText="1"/>
    </xf>
    <xf numFmtId="0" fontId="4" fillId="0" borderId="123" xfId="0" applyFont="1" applyFill="1" applyBorder="1" applyAlignment="1">
      <alignment horizontal="right" vertical="center" wrapText="1"/>
    </xf>
    <xf numFmtId="0" fontId="4" fillId="0" borderId="107" xfId="0" applyFont="1" applyFill="1" applyBorder="1" applyAlignment="1">
      <alignment horizontal="left" vertical="center" wrapText="1"/>
    </xf>
    <xf numFmtId="0" fontId="111" fillId="0" borderId="123" xfId="0" applyFont="1" applyFill="1" applyBorder="1" applyAlignment="1">
      <alignment horizontal="right" vertical="center" wrapText="1"/>
    </xf>
    <xf numFmtId="0" fontId="111" fillId="0" borderId="107" xfId="0" applyFont="1" applyFill="1" applyBorder="1" applyAlignment="1">
      <alignment horizontal="left" vertical="center" wrapText="1"/>
    </xf>
    <xf numFmtId="0" fontId="6" fillId="0" borderId="123"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3" xfId="0" applyFont="1" applyBorder="1" applyAlignment="1">
      <alignment horizontal="center" vertical="center" wrapText="1"/>
    </xf>
    <xf numFmtId="3" fontId="23" fillId="36" borderId="107" xfId="0" applyNumberFormat="1" applyFont="1" applyFill="1" applyBorder="1" applyAlignment="1">
      <alignment vertical="center" wrapText="1"/>
    </xf>
    <xf numFmtId="14" fontId="7" fillId="3" borderId="107" xfId="8" quotePrefix="1" applyNumberFormat="1" applyFont="1" applyFill="1" applyBorder="1" applyAlignment="1" applyProtection="1">
      <alignment horizontal="left" vertical="center" wrapText="1" indent="2"/>
      <protection locked="0"/>
    </xf>
    <xf numFmtId="3" fontId="23" fillId="0" borderId="107" xfId="0" applyNumberFormat="1" applyFont="1" applyBorder="1" applyAlignment="1">
      <alignment vertical="center" wrapText="1"/>
    </xf>
    <xf numFmtId="14" fontId="7" fillId="3" borderId="107" xfId="8" quotePrefix="1" applyNumberFormat="1" applyFont="1" applyFill="1" applyBorder="1" applyAlignment="1" applyProtection="1">
      <alignment horizontal="left" vertical="center" wrapText="1" indent="3"/>
      <protection locked="0"/>
    </xf>
    <xf numFmtId="3" fontId="23" fillId="0" borderId="107" xfId="0" applyNumberFormat="1" applyFont="1" applyFill="1" applyBorder="1" applyAlignment="1">
      <alignment vertical="center" wrapText="1"/>
    </xf>
    <xf numFmtId="0" fontId="11" fillId="0" borderId="107" xfId="17" applyFill="1" applyBorder="1" applyAlignment="1" applyProtection="1"/>
    <xf numFmtId="49" fontId="111" fillId="0" borderId="123" xfId="0" applyNumberFormat="1" applyFont="1" applyFill="1" applyBorder="1" applyAlignment="1">
      <alignment horizontal="right" vertical="center" wrapText="1"/>
    </xf>
    <xf numFmtId="0" fontId="7" fillId="3" borderId="107" xfId="20960" applyFont="1" applyFill="1" applyBorder="1" applyAlignment="1" applyProtection="1"/>
    <xf numFmtId="0" fontId="105" fillId="0" borderId="107" xfId="20960" applyFont="1" applyFill="1" applyBorder="1" applyAlignment="1" applyProtection="1">
      <alignment horizontal="center" vertical="center"/>
    </xf>
    <xf numFmtId="0" fontId="4" fillId="0" borderId="107" xfId="0" applyFont="1" applyBorder="1"/>
    <xf numFmtId="0" fontId="11" fillId="0" borderId="107" xfId="17" applyFill="1" applyBorder="1" applyAlignment="1" applyProtection="1">
      <alignment horizontal="left" vertical="center" wrapText="1"/>
    </xf>
    <xf numFmtId="49" fontId="111" fillId="0" borderId="107" xfId="0" applyNumberFormat="1" applyFont="1" applyFill="1" applyBorder="1" applyAlignment="1">
      <alignment horizontal="right" vertical="center" wrapText="1"/>
    </xf>
    <xf numFmtId="0" fontId="11" fillId="0" borderId="107" xfId="17" applyFill="1" applyBorder="1" applyAlignment="1" applyProtection="1">
      <alignment horizontal="left" vertical="center"/>
    </xf>
    <xf numFmtId="0" fontId="11" fillId="0" borderId="107" xfId="17" applyBorder="1" applyAlignment="1" applyProtection="1"/>
    <xf numFmtId="0" fontId="4" fillId="0" borderId="107" xfId="0" applyFont="1" applyFill="1" applyBorder="1"/>
    <xf numFmtId="0" fontId="22" fillId="0" borderId="123" xfId="0" applyFont="1" applyFill="1" applyBorder="1" applyAlignment="1">
      <alignment horizontal="center" vertical="center" wrapText="1"/>
    </xf>
    <xf numFmtId="0" fontId="114" fillId="79" borderId="108" xfId="21412" applyFont="1" applyFill="1" applyBorder="1" applyAlignment="1" applyProtection="1">
      <alignment vertical="center" wrapText="1"/>
      <protection locked="0"/>
    </xf>
    <xf numFmtId="0" fontId="115" fillId="70" borderId="102" xfId="21412" applyFont="1" applyFill="1" applyBorder="1" applyAlignment="1" applyProtection="1">
      <alignment horizontal="center" vertical="center"/>
      <protection locked="0"/>
    </xf>
    <xf numFmtId="0" fontId="114"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vertical="center"/>
      <protection locked="0"/>
    </xf>
    <xf numFmtId="0" fontId="116" fillId="70" borderId="102" xfId="21412" applyFont="1" applyFill="1" applyBorder="1" applyAlignment="1" applyProtection="1">
      <alignment horizontal="center" vertical="center"/>
      <protection locked="0"/>
    </xf>
    <xf numFmtId="0" fontId="116" fillId="3" borderId="102" xfId="21412" applyFont="1" applyFill="1" applyBorder="1" applyAlignment="1" applyProtection="1">
      <alignment horizontal="center" vertical="center"/>
      <protection locked="0"/>
    </xf>
    <xf numFmtId="0" fontId="116" fillId="0" borderId="102" xfId="21412" applyFont="1" applyFill="1" applyBorder="1" applyAlignment="1" applyProtection="1">
      <alignment horizontal="center" vertical="center"/>
      <protection locked="0"/>
    </xf>
    <xf numFmtId="0" fontId="117"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horizontal="center" vertical="center"/>
      <protection locked="0"/>
    </xf>
    <xf numFmtId="0" fontId="64" fillId="79" borderId="108" xfId="21412" applyFont="1" applyFill="1" applyBorder="1" applyAlignment="1" applyProtection="1">
      <alignment vertical="center"/>
      <protection locked="0"/>
    </xf>
    <xf numFmtId="0" fontId="116" fillId="70" borderId="107" xfId="21412" applyFont="1" applyFill="1" applyBorder="1" applyAlignment="1" applyProtection="1">
      <alignment horizontal="center" vertical="center"/>
      <protection locked="0"/>
    </xf>
    <xf numFmtId="0" fontId="38" fillId="70" borderId="107" xfId="21412" applyFont="1" applyFill="1" applyBorder="1" applyAlignment="1" applyProtection="1">
      <alignment horizontal="center" vertical="center"/>
      <protection locked="0"/>
    </xf>
    <xf numFmtId="0" fontId="64" fillId="79" borderId="106" xfId="21412" applyFont="1" applyFill="1" applyBorder="1" applyAlignment="1" applyProtection="1">
      <alignment vertical="center"/>
      <protection locked="0"/>
    </xf>
    <xf numFmtId="0" fontId="115" fillId="0" borderId="106" xfId="21412" applyFont="1" applyFill="1" applyBorder="1" applyAlignment="1" applyProtection="1">
      <alignment horizontal="left" vertical="center" wrapText="1"/>
      <protection locked="0"/>
    </xf>
    <xf numFmtId="164" fontId="115" fillId="0" borderId="107" xfId="948" applyNumberFormat="1" applyFont="1" applyFill="1" applyBorder="1" applyAlignment="1" applyProtection="1">
      <alignment horizontal="right" vertical="center"/>
      <protection locked="0"/>
    </xf>
    <xf numFmtId="0" fontId="114" fillId="80" borderId="106" xfId="21412" applyFont="1" applyFill="1" applyBorder="1" applyAlignment="1" applyProtection="1">
      <alignment vertical="top" wrapText="1"/>
      <protection locked="0"/>
    </xf>
    <xf numFmtId="164" fontId="115" fillId="80" borderId="107" xfId="948" applyNumberFormat="1" applyFont="1" applyFill="1" applyBorder="1" applyAlignment="1" applyProtection="1">
      <alignment horizontal="right" vertical="center"/>
    </xf>
    <xf numFmtId="164" fontId="64" fillId="79" borderId="106" xfId="948" applyNumberFormat="1" applyFont="1" applyFill="1" applyBorder="1" applyAlignment="1" applyProtection="1">
      <alignment horizontal="right" vertical="center"/>
      <protection locked="0"/>
    </xf>
    <xf numFmtId="0" fontId="115" fillId="70" borderId="106" xfId="21412" applyFont="1" applyFill="1" applyBorder="1" applyAlignment="1" applyProtection="1">
      <alignment vertical="center" wrapText="1"/>
      <protection locked="0"/>
    </xf>
    <xf numFmtId="0" fontId="115" fillId="70" borderId="106" xfId="21412" applyFont="1" applyFill="1" applyBorder="1" applyAlignment="1" applyProtection="1">
      <alignment horizontal="left" vertical="center" wrapText="1"/>
      <protection locked="0"/>
    </xf>
    <xf numFmtId="0" fontId="115" fillId="0" borderId="106" xfId="21412" applyFont="1" applyFill="1" applyBorder="1" applyAlignment="1" applyProtection="1">
      <alignment vertical="center" wrapText="1"/>
      <protection locked="0"/>
    </xf>
    <xf numFmtId="0" fontId="115" fillId="3" borderId="106" xfId="21412" applyFont="1" applyFill="1" applyBorder="1" applyAlignment="1" applyProtection="1">
      <alignment horizontal="left" vertical="center" wrapText="1"/>
      <protection locked="0"/>
    </xf>
    <xf numFmtId="0" fontId="114" fillId="80" borderId="106" xfId="21412" applyFont="1" applyFill="1" applyBorder="1" applyAlignment="1" applyProtection="1">
      <alignment vertical="center" wrapText="1"/>
      <protection locked="0"/>
    </xf>
    <xf numFmtId="164" fontId="114" fillId="79" borderId="106" xfId="948" applyNumberFormat="1" applyFont="1" applyFill="1" applyBorder="1" applyAlignment="1" applyProtection="1">
      <alignment horizontal="right" vertical="center"/>
      <protection locked="0"/>
    </xf>
    <xf numFmtId="164" fontId="115" fillId="3" borderId="107" xfId="948" applyNumberFormat="1" applyFont="1" applyFill="1" applyBorder="1" applyAlignment="1" applyProtection="1">
      <alignment horizontal="right" vertical="center"/>
      <protection locked="0"/>
    </xf>
    <xf numFmtId="10" fontId="6" fillId="36" borderId="107" xfId="0" applyNumberFormat="1" applyFont="1" applyFill="1" applyBorder="1" applyAlignment="1">
      <alignment horizontal="center" vertical="center" wrapText="1"/>
    </xf>
    <xf numFmtId="43" fontId="7" fillId="0" borderId="0" xfId="7" applyFont="1"/>
    <xf numFmtId="0" fontId="109"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23" xfId="0" applyFont="1" applyBorder="1" applyAlignment="1">
      <alignment horizontal="right" vertical="center" wrapText="1"/>
    </xf>
    <xf numFmtId="0" fontId="9" fillId="0" borderId="123" xfId="0" applyFont="1" applyFill="1" applyBorder="1" applyAlignment="1">
      <alignment horizontal="right" vertical="center" wrapText="1"/>
    </xf>
    <xf numFmtId="0" fontId="7" fillId="0" borderId="107" xfId="0" applyFont="1" applyFill="1" applyBorder="1" applyAlignment="1">
      <alignment vertical="center" wrapText="1"/>
    </xf>
    <xf numFmtId="0" fontId="4" fillId="0" borderId="107" xfId="0" applyFont="1" applyBorder="1" applyAlignment="1">
      <alignment vertical="center" wrapText="1"/>
    </xf>
    <xf numFmtId="0" fontId="4" fillId="0" borderId="107" xfId="0" applyFont="1" applyFill="1" applyBorder="1" applyAlignment="1">
      <alignment horizontal="left" vertical="center" wrapText="1" indent="2"/>
    </xf>
    <xf numFmtId="0" fontId="4" fillId="0" borderId="107" xfId="0" applyFont="1" applyFill="1" applyBorder="1" applyAlignment="1">
      <alignment vertical="center" wrapText="1"/>
    </xf>
    <xf numFmtId="3" fontId="23" fillId="36" borderId="108"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108" xfId="0" applyNumberFormat="1" applyFont="1" applyBorder="1" applyAlignment="1">
      <alignment vertical="center" wrapText="1"/>
    </xf>
    <xf numFmtId="3" fontId="23" fillId="0" borderId="24" xfId="0" applyNumberFormat="1" applyFont="1" applyBorder="1" applyAlignment="1">
      <alignment vertical="center" wrapText="1"/>
    </xf>
    <xf numFmtId="3" fontId="23" fillId="0" borderId="24" xfId="0" applyNumberFormat="1" applyFont="1" applyFill="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21" xfId="0" applyFont="1" applyBorder="1" applyAlignment="1"/>
    <xf numFmtId="0" fontId="4" fillId="0" borderId="27" xfId="0" applyFont="1" applyBorder="1" applyAlignment="1"/>
    <xf numFmtId="0" fontId="9" fillId="0" borderId="121" xfId="0" applyFont="1" applyBorder="1" applyAlignment="1"/>
    <xf numFmtId="0" fontId="9" fillId="0" borderId="121" xfId="0" applyFont="1" applyBorder="1" applyAlignment="1">
      <alignment wrapText="1"/>
    </xf>
    <xf numFmtId="0" fontId="10" fillId="0" borderId="21" xfId="0" applyFont="1" applyBorder="1" applyAlignment="1">
      <alignment horizontal="center"/>
    </xf>
    <xf numFmtId="0" fontId="10" fillId="0" borderId="121"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23" xfId="0" applyFont="1" applyFill="1" applyBorder="1" applyAlignment="1">
      <alignment horizontal="center" vertical="center" wrapText="1"/>
    </xf>
    <xf numFmtId="0" fontId="15" fillId="0" borderId="107" xfId="0" applyFont="1" applyFill="1" applyBorder="1" applyAlignment="1">
      <alignment horizontal="center" vertical="center" wrapText="1"/>
    </xf>
    <xf numFmtId="0" fontId="16" fillId="0" borderId="107" xfId="0" applyFont="1" applyFill="1" applyBorder="1" applyAlignment="1">
      <alignment horizontal="left" vertical="center" wrapText="1"/>
    </xf>
    <xf numFmtId="193" fontId="4" fillId="0" borderId="107" xfId="0" applyNumberFormat="1" applyFont="1" applyFill="1" applyBorder="1" applyAlignment="1" applyProtection="1">
      <alignment vertical="center" wrapText="1"/>
      <protection locked="0"/>
    </xf>
    <xf numFmtId="193" fontId="4" fillId="0" borderId="121" xfId="0" applyNumberFormat="1" applyFont="1" applyFill="1" applyBorder="1" applyAlignment="1" applyProtection="1">
      <alignment vertical="center" wrapText="1"/>
      <protection locked="0"/>
    </xf>
    <xf numFmtId="0" fontId="7" fillId="0" borderId="107" xfId="0" applyFont="1" applyBorder="1" applyAlignment="1">
      <alignment vertical="center" wrapText="1"/>
    </xf>
    <xf numFmtId="0" fontId="9" fillId="2" borderId="123" xfId="0" applyFont="1" applyFill="1" applyBorder="1" applyAlignment="1">
      <alignment horizontal="right" vertical="center"/>
    </xf>
    <xf numFmtId="0" fontId="9" fillId="2" borderId="107" xfId="0" applyFont="1" applyFill="1" applyBorder="1" applyAlignment="1">
      <alignment vertical="center"/>
    </xf>
    <xf numFmtId="193" fontId="9" fillId="2" borderId="107" xfId="0" applyNumberFormat="1" applyFont="1" applyFill="1" applyBorder="1" applyAlignment="1" applyProtection="1">
      <alignment vertical="center"/>
      <protection locked="0"/>
    </xf>
    <xf numFmtId="193" fontId="17" fillId="2" borderId="107" xfId="0" applyNumberFormat="1" applyFont="1" applyFill="1" applyBorder="1" applyAlignment="1" applyProtection="1">
      <alignment vertical="center"/>
      <protection locked="0"/>
    </xf>
    <xf numFmtId="193" fontId="17" fillId="2" borderId="121" xfId="0" applyNumberFormat="1" applyFont="1" applyFill="1" applyBorder="1" applyAlignment="1" applyProtection="1">
      <alignment vertical="center"/>
      <protection locked="0"/>
    </xf>
    <xf numFmtId="193" fontId="9" fillId="2" borderId="121" xfId="0" applyNumberFormat="1" applyFont="1" applyFill="1" applyBorder="1" applyAlignment="1" applyProtection="1">
      <alignment vertical="center"/>
      <protection locked="0"/>
    </xf>
    <xf numFmtId="0" fontId="15" fillId="0" borderId="123" xfId="0" applyFont="1" applyFill="1" applyBorder="1" applyAlignment="1">
      <alignment horizontal="center" vertical="center" wrapText="1"/>
    </xf>
    <xf numFmtId="14" fontId="4" fillId="0" borderId="0" xfId="0" applyNumberFormat="1" applyFont="1"/>
    <xf numFmtId="10" fontId="4" fillId="0" borderId="107" xfId="20961" applyNumberFormat="1" applyFont="1" applyBorder="1" applyAlignment="1" applyProtection="1">
      <alignment vertical="center" wrapText="1"/>
      <protection locked="0"/>
    </xf>
    <xf numFmtId="10" fontId="4" fillId="0" borderId="121" xfId="20961" applyNumberFormat="1" applyFont="1" applyBorder="1" applyAlignment="1" applyProtection="1">
      <alignment vertical="center" wrapText="1"/>
      <protection locked="0"/>
    </xf>
    <xf numFmtId="0" fontId="9" fillId="2" borderId="114" xfId="0" applyFont="1" applyFill="1" applyBorder="1" applyAlignment="1">
      <alignment horizontal="right" vertical="center"/>
    </xf>
    <xf numFmtId="0" fontId="9" fillId="2" borderId="102" xfId="0" applyFont="1" applyFill="1" applyBorder="1" applyAlignment="1">
      <alignment vertical="center"/>
    </xf>
    <xf numFmtId="0" fontId="9" fillId="0" borderId="107" xfId="0" applyFont="1" applyFill="1" applyBorder="1" applyAlignment="1">
      <alignment horizontal="left" vertical="center" wrapText="1"/>
    </xf>
    <xf numFmtId="0" fontId="108" fillId="0" borderId="94" xfId="0" applyFont="1" applyFill="1" applyBorder="1" applyAlignment="1">
      <alignment horizontal="left" vertical="center"/>
    </xf>
    <xf numFmtId="0" fontId="108" fillId="0" borderId="92" xfId="0" applyFont="1" applyFill="1" applyBorder="1" applyAlignment="1">
      <alignment vertical="center" wrapText="1"/>
    </xf>
    <xf numFmtId="0" fontId="108" fillId="0" borderId="92" xfId="0" applyFont="1" applyFill="1" applyBorder="1" applyAlignment="1">
      <alignment horizontal="left" vertical="center" wrapText="1"/>
    </xf>
    <xf numFmtId="49" fontId="108" fillId="0" borderId="107" xfId="0" applyNumberFormat="1" applyFont="1" applyFill="1" applyBorder="1" applyAlignment="1">
      <alignment horizontal="right" vertical="center"/>
    </xf>
    <xf numFmtId="10" fontId="4" fillId="0" borderId="107" xfId="20961" applyNumberFormat="1" applyFont="1" applyFill="1" applyBorder="1" applyAlignment="1" applyProtection="1">
      <alignment vertical="center" wrapText="1"/>
      <protection locked="0"/>
    </xf>
    <xf numFmtId="10" fontId="4" fillId="0" borderId="121" xfId="20961" applyNumberFormat="1" applyFont="1" applyFill="1" applyBorder="1" applyAlignment="1" applyProtection="1">
      <alignment vertical="center" wrapText="1"/>
      <protection locked="0"/>
    </xf>
    <xf numFmtId="10" fontId="17" fillId="2" borderId="121" xfId="20961" applyNumberFormat="1" applyFont="1" applyFill="1" applyBorder="1" applyAlignment="1" applyProtection="1">
      <alignment vertical="center"/>
      <protection locked="0"/>
    </xf>
    <xf numFmtId="169" fontId="28" fillId="37" borderId="0" xfId="20"/>
    <xf numFmtId="9" fontId="17" fillId="2" borderId="26" xfId="20961" applyFont="1" applyFill="1" applyBorder="1" applyAlignment="1" applyProtection="1">
      <alignment vertical="center"/>
      <protection locked="0"/>
    </xf>
    <xf numFmtId="9" fontId="17" fillId="2" borderId="27" xfId="20961" applyFont="1" applyFill="1" applyBorder="1" applyAlignment="1" applyProtection="1">
      <alignment vertical="center"/>
      <protection locked="0"/>
    </xf>
    <xf numFmtId="193" fontId="9" fillId="0" borderId="107" xfId="0" applyNumberFormat="1" applyFont="1" applyFill="1" applyBorder="1" applyAlignment="1" applyProtection="1">
      <alignment vertical="center"/>
      <protection locked="0"/>
    </xf>
    <xf numFmtId="193" fontId="9" fillId="0" borderId="121" xfId="0" applyNumberFormat="1" applyFont="1" applyFill="1" applyBorder="1" applyAlignment="1" applyProtection="1">
      <alignment vertical="center"/>
      <protection locked="0"/>
    </xf>
    <xf numFmtId="193" fontId="17" fillId="0" borderId="107" xfId="0" applyNumberFormat="1" applyFont="1" applyFill="1" applyBorder="1" applyAlignment="1" applyProtection="1">
      <alignment vertical="center"/>
      <protection locked="0"/>
    </xf>
    <xf numFmtId="193" fontId="17" fillId="0" borderId="121" xfId="0" applyNumberFormat="1" applyFont="1" applyFill="1" applyBorder="1" applyAlignment="1" applyProtection="1">
      <alignment vertical="center"/>
      <protection locked="0"/>
    </xf>
    <xf numFmtId="9" fontId="17" fillId="0" borderId="26" xfId="20961" applyFont="1" applyFill="1" applyBorder="1" applyAlignment="1" applyProtection="1">
      <alignment vertical="center"/>
      <protection locked="0"/>
    </xf>
    <xf numFmtId="9" fontId="17" fillId="0" borderId="27" xfId="20961" applyFont="1" applyFill="1" applyBorder="1" applyAlignment="1" applyProtection="1">
      <alignment vertical="center"/>
      <protection locked="0"/>
    </xf>
    <xf numFmtId="0" fontId="104" fillId="0" borderId="107" xfId="0" applyFont="1" applyBorder="1"/>
    <xf numFmtId="0" fontId="118" fillId="70" borderId="107" xfId="17" applyFont="1" applyFill="1" applyBorder="1" applyAlignment="1" applyProtection="1">
      <alignment horizontal="left" vertical="center"/>
      <protection locked="0"/>
    </xf>
    <xf numFmtId="0" fontId="2" fillId="0" borderId="33" xfId="0" applyNumberFormat="1" applyFont="1" applyFill="1" applyBorder="1" applyAlignment="1">
      <alignment horizontal="left" vertical="center" wrapText="1" indent="1"/>
    </xf>
    <xf numFmtId="9" fontId="4" fillId="0" borderId="24" xfId="20961" applyFont="1" applyBorder="1" applyAlignment="1"/>
    <xf numFmtId="0" fontId="13" fillId="0" borderId="108" xfId="0" applyFont="1" applyBorder="1" applyAlignment="1">
      <alignment wrapText="1"/>
    </xf>
    <xf numFmtId="9" fontId="4" fillId="0" borderId="121" xfId="0" applyNumberFormat="1" applyFont="1" applyBorder="1" applyAlignment="1"/>
    <xf numFmtId="0" fontId="13" fillId="0" borderId="107" xfId="0" applyFont="1" applyBorder="1" applyAlignment="1">
      <alignment wrapText="1"/>
    </xf>
    <xf numFmtId="167" fontId="119" fillId="0" borderId="107" xfId="0" applyNumberFormat="1" applyFont="1" applyBorder="1" applyAlignment="1">
      <alignment horizontal="center" vertical="center"/>
    </xf>
    <xf numFmtId="167" fontId="26" fillId="0" borderId="107" xfId="0" applyNumberFormat="1" applyFont="1" applyBorder="1" applyAlignment="1">
      <alignment horizontal="center" vertical="center"/>
    </xf>
    <xf numFmtId="167" fontId="26" fillId="0" borderId="121" xfId="0" applyNumberFormat="1" applyFont="1" applyBorder="1" applyAlignment="1">
      <alignment horizontal="center" vertical="center"/>
    </xf>
    <xf numFmtId="193" fontId="0" fillId="36" borderId="21" xfId="0" applyNumberFormat="1" applyFill="1" applyBorder="1" applyAlignment="1">
      <alignment vertical="center"/>
    </xf>
    <xf numFmtId="193" fontId="0" fillId="36" borderId="23" xfId="0" applyNumberFormat="1" applyFill="1" applyBorder="1" applyAlignment="1">
      <alignment vertical="center" wrapText="1"/>
    </xf>
    <xf numFmtId="193" fontId="0" fillId="36" borderId="27" xfId="0" applyNumberFormat="1" applyFill="1" applyBorder="1" applyAlignment="1">
      <alignment vertical="center" wrapText="1"/>
    </xf>
    <xf numFmtId="164" fontId="4" fillId="0" borderId="121" xfId="7" applyNumberFormat="1" applyFont="1" applyFill="1" applyBorder="1" applyAlignment="1">
      <alignment horizontal="right" vertical="center" wrapText="1"/>
    </xf>
    <xf numFmtId="164" fontId="6" fillId="36" borderId="121" xfId="7" applyNumberFormat="1" applyFont="1" applyFill="1" applyBorder="1" applyAlignment="1">
      <alignment horizontal="right" vertical="center" wrapText="1"/>
    </xf>
    <xf numFmtId="164" fontId="111" fillId="0" borderId="121" xfId="7" applyNumberFormat="1" applyFont="1" applyFill="1" applyBorder="1" applyAlignment="1">
      <alignment horizontal="right" vertical="center" wrapText="1"/>
    </xf>
    <xf numFmtId="164" fontId="6" fillId="36" borderId="121" xfId="7" applyNumberFormat="1" applyFont="1" applyFill="1" applyBorder="1" applyAlignment="1">
      <alignment horizontal="center" vertical="center" wrapText="1"/>
    </xf>
    <xf numFmtId="164" fontId="7" fillId="0" borderId="27" xfId="7" applyNumberFormat="1" applyFont="1" applyFill="1" applyBorder="1" applyAlignment="1" applyProtection="1">
      <alignment horizontal="right" vertical="center"/>
    </xf>
    <xf numFmtId="10" fontId="7" fillId="0" borderId="107" xfId="20961" applyNumberFormat="1" applyFont="1" applyFill="1" applyBorder="1" applyAlignment="1">
      <alignment horizontal="center" vertical="center" wrapText="1"/>
    </xf>
    <xf numFmtId="10" fontId="4" fillId="0" borderId="107" xfId="20961" applyNumberFormat="1" applyFont="1" applyFill="1" applyBorder="1" applyAlignment="1">
      <alignment horizontal="center" vertical="center" wrapText="1"/>
    </xf>
    <xf numFmtId="10" fontId="111" fillId="0" borderId="107" xfId="20961" applyNumberFormat="1" applyFont="1" applyFill="1" applyBorder="1" applyAlignment="1">
      <alignment horizontal="center" vertical="center" wrapText="1"/>
    </xf>
    <xf numFmtId="10" fontId="6" fillId="36" borderId="107" xfId="20961"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center" vertical="center"/>
    </xf>
    <xf numFmtId="0" fontId="25" fillId="0" borderId="123" xfId="0" applyFont="1" applyBorder="1" applyAlignment="1">
      <alignment horizontal="center"/>
    </xf>
    <xf numFmtId="0" fontId="19" fillId="0" borderId="12" xfId="0" applyFont="1" applyBorder="1" applyAlignment="1">
      <alignment horizontal="left" wrapText="1" indent="6"/>
    </xf>
    <xf numFmtId="193" fontId="9" fillId="0" borderId="126" xfId="0" applyNumberFormat="1" applyFont="1" applyBorder="1" applyAlignment="1">
      <alignment vertical="center"/>
    </xf>
    <xf numFmtId="167" fontId="5" fillId="0" borderId="0" xfId="0" applyNumberFormat="1" applyFont="1"/>
    <xf numFmtId="0" fontId="19" fillId="0" borderId="12" xfId="0" applyFont="1" applyBorder="1" applyAlignment="1">
      <alignment horizontal="left" wrapText="1"/>
    </xf>
    <xf numFmtId="193" fontId="9" fillId="0" borderId="14" xfId="0" applyNumberFormat="1" applyFont="1" applyBorder="1" applyAlignment="1">
      <alignment vertical="center"/>
    </xf>
    <xf numFmtId="0" fontId="19" fillId="0" borderId="13" xfId="0" applyFont="1" applyBorder="1" applyAlignment="1">
      <alignment horizontal="left" wrapText="1" indent="3"/>
    </xf>
    <xf numFmtId="193" fontId="9" fillId="0" borderId="15" xfId="0" applyNumberFormat="1" applyFont="1" applyBorder="1" applyAlignment="1">
      <alignment vertical="center"/>
    </xf>
    <xf numFmtId="193" fontId="9" fillId="0" borderId="127" xfId="0" applyNumberFormat="1" applyFont="1" applyBorder="1" applyAlignment="1">
      <alignment vertical="center"/>
    </xf>
    <xf numFmtId="167" fontId="25" fillId="0" borderId="128" xfId="0" applyNumberFormat="1" applyFont="1" applyBorder="1" applyAlignment="1">
      <alignment horizontal="center"/>
    </xf>
    <xf numFmtId="164" fontId="4" fillId="36" borderId="27" xfId="7" applyNumberFormat="1" applyFont="1" applyFill="1" applyBorder="1"/>
    <xf numFmtId="164" fontId="4" fillId="0" borderId="107" xfId="7" applyNumberFormat="1" applyFont="1" applyFill="1" applyBorder="1" applyAlignment="1">
      <alignment vertical="center"/>
    </xf>
    <xf numFmtId="164" fontId="4" fillId="0" borderId="108" xfId="7" applyNumberFormat="1" applyFont="1" applyFill="1" applyBorder="1" applyAlignment="1">
      <alignment vertical="center"/>
    </xf>
    <xf numFmtId="164" fontId="4" fillId="0" borderId="121" xfId="7" applyNumberFormat="1" applyFont="1" applyFill="1" applyBorder="1" applyAlignment="1">
      <alignment vertical="center"/>
    </xf>
    <xf numFmtId="164" fontId="6" fillId="0" borderId="107" xfId="7" applyNumberFormat="1" applyFont="1" applyFill="1" applyBorder="1" applyAlignment="1">
      <alignment vertical="center"/>
    </xf>
    <xf numFmtId="164" fontId="6" fillId="0" borderId="121" xfId="7" applyNumberFormat="1" applyFont="1" applyFill="1" applyBorder="1" applyAlignment="1">
      <alignment vertical="center"/>
    </xf>
    <xf numFmtId="164" fontId="6" fillId="0" borderId="26" xfId="7" applyNumberFormat="1" applyFont="1" applyFill="1" applyBorder="1" applyAlignment="1">
      <alignment vertical="center"/>
    </xf>
    <xf numFmtId="164" fontId="6" fillId="0" borderId="27" xfId="7" applyNumberFormat="1" applyFont="1" applyFill="1" applyBorder="1" applyAlignment="1">
      <alignment vertical="center"/>
    </xf>
    <xf numFmtId="0" fontId="4" fillId="3" borderId="0" xfId="0" applyFont="1" applyFill="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9" fontId="28" fillId="37" borderId="124" xfId="20" applyBorder="1"/>
    <xf numFmtId="164" fontId="4" fillId="0" borderId="103" xfId="7" applyNumberFormat="1" applyFont="1" applyFill="1" applyBorder="1" applyAlignment="1">
      <alignment vertical="center"/>
    </xf>
    <xf numFmtId="164" fontId="4" fillId="0" borderId="115" xfId="7" applyNumberFormat="1" applyFont="1" applyFill="1" applyBorder="1" applyAlignment="1">
      <alignment vertical="center"/>
    </xf>
    <xf numFmtId="10" fontId="4" fillId="0" borderId="101" xfId="20961" applyNumberFormat="1" applyFont="1" applyFill="1" applyBorder="1" applyAlignment="1">
      <alignment vertical="center"/>
    </xf>
    <xf numFmtId="10" fontId="4" fillId="0" borderId="117" xfId="20961" applyNumberFormat="1" applyFont="1" applyFill="1" applyBorder="1" applyAlignment="1">
      <alignment vertical="center"/>
    </xf>
    <xf numFmtId="10" fontId="115" fillId="80" borderId="107" xfId="20961" applyNumberFormat="1" applyFont="1" applyFill="1" applyBorder="1" applyAlignment="1" applyProtection="1">
      <alignment horizontal="right" vertical="center"/>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xf>
    <xf numFmtId="0" fontId="4" fillId="0" borderId="24" xfId="0" applyFont="1" applyFill="1" applyBorder="1" applyAlignment="1">
      <alignment horizontal="center"/>
    </xf>
    <xf numFmtId="0" fontId="6" fillId="36" borderId="125"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2"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8" xfId="1" applyNumberFormat="1" applyFont="1" applyFill="1" applyBorder="1" applyAlignment="1" applyProtection="1">
      <alignment horizontal="center" vertical="center" wrapText="1"/>
      <protection locked="0"/>
    </xf>
    <xf numFmtId="164" fontId="15" fillId="0" borderId="9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113" xfId="0" applyFont="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4" fillId="0" borderId="61"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107" fillId="0" borderId="93" xfId="0" applyFont="1" applyFill="1" applyBorder="1" applyAlignment="1">
      <alignment horizontal="center" vertical="center"/>
    </xf>
    <xf numFmtId="0" fontId="107" fillId="76" borderId="90"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8" fillId="0" borderId="108" xfId="0" applyFont="1" applyFill="1" applyBorder="1" applyAlignment="1">
      <alignment horizontal="left" vertical="center" wrapText="1"/>
    </xf>
    <xf numFmtId="0" fontId="108" fillId="0" borderId="106" xfId="0" applyFont="1" applyFill="1" applyBorder="1" applyAlignment="1">
      <alignment horizontal="left" vertical="center" wrapText="1"/>
    </xf>
    <xf numFmtId="0" fontId="108" fillId="78" borderId="108" xfId="0" applyFont="1" applyFill="1" applyBorder="1" applyAlignment="1">
      <alignment vertical="center" wrapText="1"/>
    </xf>
    <xf numFmtId="0" fontId="108" fillId="78" borderId="106" xfId="0" applyFont="1" applyFill="1" applyBorder="1" applyAlignment="1">
      <alignment vertical="center" wrapText="1"/>
    </xf>
    <xf numFmtId="0" fontId="108" fillId="0" borderId="108" xfId="0" applyFont="1" applyFill="1" applyBorder="1" applyAlignment="1">
      <alignment vertical="center" wrapText="1"/>
    </xf>
    <xf numFmtId="0" fontId="108" fillId="0" borderId="106" xfId="0" applyFont="1" applyFill="1" applyBorder="1" applyAlignment="1">
      <alignment vertical="center" wrapText="1"/>
    </xf>
    <xf numFmtId="0" fontId="107" fillId="76" borderId="95" xfId="0" applyFont="1" applyFill="1" applyBorder="1" applyAlignment="1">
      <alignment horizontal="center" vertical="center"/>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3" borderId="108" xfId="0" applyFont="1" applyFill="1" applyBorder="1" applyAlignment="1">
      <alignment horizontal="left" vertical="center" wrapText="1"/>
    </xf>
    <xf numFmtId="0" fontId="108" fillId="3" borderId="106" xfId="0" applyFont="1" applyFill="1" applyBorder="1" applyAlignment="1">
      <alignment horizontal="lef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8" fillId="3" borderId="108" xfId="0" applyFont="1" applyFill="1" applyBorder="1" applyAlignment="1">
      <alignment vertical="center" wrapText="1"/>
    </xf>
    <xf numFmtId="0" fontId="108" fillId="3" borderId="106" xfId="0" applyFont="1" applyFill="1" applyBorder="1" applyAlignment="1">
      <alignment vertical="center" wrapText="1"/>
    </xf>
    <xf numFmtId="0" fontId="108" fillId="0" borderId="85" xfId="0" applyFont="1" applyFill="1" applyBorder="1" applyAlignment="1">
      <alignment vertical="center" wrapText="1"/>
    </xf>
    <xf numFmtId="0" fontId="108" fillId="0" borderId="86" xfId="0" applyFont="1" applyFill="1" applyBorder="1" applyAlignment="1">
      <alignment vertical="center" wrapText="1"/>
    </xf>
    <xf numFmtId="0" fontId="108" fillId="3" borderId="85" xfId="0" applyFont="1" applyFill="1" applyBorder="1" applyAlignment="1">
      <alignment horizontal="left" vertical="center" wrapText="1"/>
    </xf>
    <xf numFmtId="0" fontId="108" fillId="3" borderId="86" xfId="0" applyFont="1" applyFill="1" applyBorder="1" applyAlignment="1">
      <alignment horizontal="left" vertical="center" wrapText="1"/>
    </xf>
    <xf numFmtId="0" fontId="108" fillId="0" borderId="88"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108" xfId="0" applyFont="1" applyFill="1" applyBorder="1" applyAlignment="1">
      <alignment horizontal="left"/>
    </xf>
    <xf numFmtId="0" fontId="108" fillId="0" borderId="106" xfId="0" applyFont="1" applyFill="1" applyBorder="1" applyAlignment="1">
      <alignment horizontal="left"/>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8" fillId="0" borderId="107" xfId="0" applyFont="1" applyFill="1" applyBorder="1" applyAlignment="1">
      <alignment horizontal="left" vertical="center" wrapText="1"/>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9.9978637043366805E-2"/>
  </sheetPr>
  <dimension ref="A1:C24"/>
  <sheetViews>
    <sheetView workbookViewId="0">
      <pane xSplit="1" ySplit="7" topLeftCell="B8" activePane="bottomRight" state="frozen"/>
      <selection activeCell="B2" sqref="B2:C2"/>
      <selection pane="topRight" activeCell="B2" sqref="B2:C2"/>
      <selection pane="bottomLeft" activeCell="B2" sqref="B2:C2"/>
      <selection pane="bottomRight" activeCell="B2" sqref="B2"/>
    </sheetView>
  </sheetViews>
  <sheetFormatPr defaultRowHeight="15"/>
  <cols>
    <col min="1" max="1" width="10.28515625" style="2" customWidth="1"/>
    <col min="2" max="2" width="132.28515625" customWidth="1"/>
    <col min="3" max="3" width="35.42578125" customWidth="1"/>
    <col min="7" max="7" width="25" customWidth="1"/>
  </cols>
  <sheetData>
    <row r="1" spans="1:3" ht="15.75">
      <c r="A1" s="10"/>
      <c r="B1" s="186" t="s">
        <v>254</v>
      </c>
      <c r="C1" s="94"/>
    </row>
    <row r="2" spans="1:3" s="183" customFormat="1" ht="15.75">
      <c r="A2" s="238">
        <v>1</v>
      </c>
      <c r="B2" s="184" t="s">
        <v>255</v>
      </c>
      <c r="C2" s="494" t="s">
        <v>629</v>
      </c>
    </row>
    <row r="3" spans="1:3" s="183" customFormat="1" ht="15.75">
      <c r="A3" s="238">
        <v>2</v>
      </c>
      <c r="B3" s="185" t="s">
        <v>256</v>
      </c>
      <c r="C3" s="494" t="s">
        <v>630</v>
      </c>
    </row>
    <row r="4" spans="1:3" s="183" customFormat="1" ht="15.75">
      <c r="A4" s="238">
        <v>3</v>
      </c>
      <c r="B4" s="185" t="s">
        <v>257</v>
      </c>
      <c r="C4" s="494" t="s">
        <v>631</v>
      </c>
    </row>
    <row r="5" spans="1:3" s="183" customFormat="1" ht="15.75">
      <c r="A5" s="239">
        <v>4</v>
      </c>
      <c r="B5" s="188" t="s">
        <v>258</v>
      </c>
      <c r="C5" s="495" t="s">
        <v>632</v>
      </c>
    </row>
    <row r="6" spans="1:3" s="187" customFormat="1" ht="65.25" customHeight="1">
      <c r="A6" s="544" t="s">
        <v>491</v>
      </c>
      <c r="B6" s="545"/>
      <c r="C6" s="545"/>
    </row>
    <row r="7" spans="1:3">
      <c r="A7" s="397" t="s">
        <v>404</v>
      </c>
      <c r="B7" s="398" t="s">
        <v>259</v>
      </c>
    </row>
    <row r="8" spans="1:3">
      <c r="A8" s="399">
        <v>1</v>
      </c>
      <c r="B8" s="395" t="s">
        <v>223</v>
      </c>
    </row>
    <row r="9" spans="1:3">
      <c r="A9" s="399">
        <v>2</v>
      </c>
      <c r="B9" s="395" t="s">
        <v>260</v>
      </c>
    </row>
    <row r="10" spans="1:3">
      <c r="A10" s="399">
        <v>3</v>
      </c>
      <c r="B10" s="395" t="s">
        <v>261</v>
      </c>
    </row>
    <row r="11" spans="1:3">
      <c r="A11" s="399">
        <v>4</v>
      </c>
      <c r="B11" s="395" t="s">
        <v>262</v>
      </c>
      <c r="C11" s="182"/>
    </row>
    <row r="12" spans="1:3">
      <c r="A12" s="399">
        <v>5</v>
      </c>
      <c r="B12" s="395" t="s">
        <v>187</v>
      </c>
    </row>
    <row r="13" spans="1:3">
      <c r="A13" s="399">
        <v>6</v>
      </c>
      <c r="B13" s="400" t="s">
        <v>149</v>
      </c>
    </row>
    <row r="14" spans="1:3">
      <c r="A14" s="399">
        <v>7</v>
      </c>
      <c r="B14" s="395" t="s">
        <v>263</v>
      </c>
    </row>
    <row r="15" spans="1:3">
      <c r="A15" s="399">
        <v>8</v>
      </c>
      <c r="B15" s="395" t="s">
        <v>266</v>
      </c>
    </row>
    <row r="16" spans="1:3">
      <c r="A16" s="399">
        <v>9</v>
      </c>
      <c r="B16" s="395" t="s">
        <v>88</v>
      </c>
    </row>
    <row r="17" spans="1:2">
      <c r="A17" s="401" t="s">
        <v>548</v>
      </c>
      <c r="B17" s="395" t="s">
        <v>528</v>
      </c>
    </row>
    <row r="18" spans="1:2">
      <c r="A18" s="399">
        <v>10</v>
      </c>
      <c r="B18" s="395" t="s">
        <v>269</v>
      </c>
    </row>
    <row r="19" spans="1:2">
      <c r="A19" s="399">
        <v>11</v>
      </c>
      <c r="B19" s="400" t="s">
        <v>250</v>
      </c>
    </row>
    <row r="20" spans="1:2">
      <c r="A20" s="399">
        <v>12</v>
      </c>
      <c r="B20" s="400" t="s">
        <v>247</v>
      </c>
    </row>
    <row r="21" spans="1:2">
      <c r="A21" s="399">
        <v>13</v>
      </c>
      <c r="B21" s="402" t="s">
        <v>461</v>
      </c>
    </row>
    <row r="22" spans="1:2">
      <c r="A22" s="399">
        <v>14</v>
      </c>
      <c r="B22" s="403" t="s">
        <v>521</v>
      </c>
    </row>
    <row r="23" spans="1:2">
      <c r="A23" s="404">
        <v>15</v>
      </c>
      <c r="B23" s="400" t="s">
        <v>77</v>
      </c>
    </row>
    <row r="24" spans="1:2">
      <c r="A24" s="404">
        <v>15.1</v>
      </c>
      <c r="B24" s="395" t="s">
        <v>557</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9.9978637043366805E-2"/>
  </sheetPr>
  <dimension ref="A1:F55"/>
  <sheetViews>
    <sheetView zoomScaleNormal="100" workbookViewId="0">
      <pane xSplit="1" ySplit="5" topLeftCell="B6" activePane="bottomRight" state="frozen"/>
      <selection activeCell="B2" sqref="B2:C2"/>
      <selection pane="topRight" activeCell="B2" sqref="B2:C2"/>
      <selection pane="bottomLeft" activeCell="B2" sqref="B2:C2"/>
      <selection pane="bottomRight" activeCell="B6" sqref="B6"/>
    </sheetView>
  </sheetViews>
  <sheetFormatPr defaultRowHeight="15"/>
  <cols>
    <col min="1" max="1" width="9.5703125" style="5" bestFit="1" customWidth="1"/>
    <col min="2" max="2" width="125.140625" style="2" customWidth="1"/>
    <col min="3" max="3" width="18.42578125" style="2" customWidth="1"/>
  </cols>
  <sheetData>
    <row r="1" spans="1:6" ht="15.75">
      <c r="A1" s="18" t="s">
        <v>188</v>
      </c>
      <c r="B1" s="17" t="str">
        <f>Info!C2</f>
        <v>სს "ბანკი ქართუ"</v>
      </c>
      <c r="D1" s="2"/>
      <c r="E1" s="2"/>
      <c r="F1" s="2"/>
    </row>
    <row r="2" spans="1:6" s="22" customFormat="1" ht="15.75" customHeight="1">
      <c r="A2" s="22" t="s">
        <v>189</v>
      </c>
      <c r="B2" s="472">
        <f>'1. key ratios'!B2</f>
        <v>44286</v>
      </c>
    </row>
    <row r="3" spans="1:6" s="22" customFormat="1" ht="15.75" customHeight="1"/>
    <row r="4" spans="1:6" ht="15.75" thickBot="1">
      <c r="A4" s="5" t="s">
        <v>413</v>
      </c>
      <c r="B4" s="61" t="s">
        <v>88</v>
      </c>
    </row>
    <row r="5" spans="1:6">
      <c r="A5" s="135" t="s">
        <v>26</v>
      </c>
      <c r="B5" s="136"/>
      <c r="C5" s="137" t="s">
        <v>27</v>
      </c>
    </row>
    <row r="6" spans="1:6">
      <c r="A6" s="138">
        <v>1</v>
      </c>
      <c r="B6" s="83" t="s">
        <v>28</v>
      </c>
      <c r="C6" s="274">
        <f>SUM(C7:C11)</f>
        <v>187280258</v>
      </c>
    </row>
    <row r="7" spans="1:6">
      <c r="A7" s="138">
        <v>2</v>
      </c>
      <c r="B7" s="80" t="s">
        <v>29</v>
      </c>
      <c r="C7" s="275">
        <v>114430000</v>
      </c>
    </row>
    <row r="8" spans="1:6">
      <c r="A8" s="138">
        <v>3</v>
      </c>
      <c r="B8" s="74" t="s">
        <v>30</v>
      </c>
      <c r="C8" s="275"/>
    </row>
    <row r="9" spans="1:6">
      <c r="A9" s="138">
        <v>4</v>
      </c>
      <c r="B9" s="74" t="s">
        <v>31</v>
      </c>
      <c r="C9" s="275"/>
    </row>
    <row r="10" spans="1:6">
      <c r="A10" s="138">
        <v>5</v>
      </c>
      <c r="B10" s="74" t="s">
        <v>32</v>
      </c>
      <c r="C10" s="275">
        <v>6838034</v>
      </c>
    </row>
    <row r="11" spans="1:6">
      <c r="A11" s="138">
        <v>6</v>
      </c>
      <c r="B11" s="81" t="s">
        <v>33</v>
      </c>
      <c r="C11" s="275">
        <v>66012224</v>
      </c>
    </row>
    <row r="12" spans="1:6" s="4" customFormat="1">
      <c r="A12" s="138">
        <v>7</v>
      </c>
      <c r="B12" s="83" t="s">
        <v>34</v>
      </c>
      <c r="C12" s="276">
        <f>SUM(C13:C27)</f>
        <v>6891788.3499999996</v>
      </c>
    </row>
    <row r="13" spans="1:6" s="4" customFormat="1">
      <c r="A13" s="138">
        <v>8</v>
      </c>
      <c r="B13" s="82" t="s">
        <v>35</v>
      </c>
      <c r="C13" s="277"/>
    </row>
    <row r="14" spans="1:6" s="4" customFormat="1" ht="25.5">
      <c r="A14" s="138">
        <v>9</v>
      </c>
      <c r="B14" s="75" t="s">
        <v>36</v>
      </c>
      <c r="C14" s="277"/>
    </row>
    <row r="15" spans="1:6" s="4" customFormat="1">
      <c r="A15" s="138">
        <v>10</v>
      </c>
      <c r="B15" s="76" t="s">
        <v>37</v>
      </c>
      <c r="C15" s="277">
        <v>4332861</v>
      </c>
    </row>
    <row r="16" spans="1:6" s="4" customFormat="1">
      <c r="A16" s="138">
        <v>11</v>
      </c>
      <c r="B16" s="77" t="s">
        <v>38</v>
      </c>
      <c r="C16" s="277"/>
    </row>
    <row r="17" spans="1:3" s="4" customFormat="1">
      <c r="A17" s="138">
        <v>12</v>
      </c>
      <c r="B17" s="76" t="s">
        <v>39</v>
      </c>
      <c r="C17" s="277"/>
    </row>
    <row r="18" spans="1:3" s="4" customFormat="1">
      <c r="A18" s="138">
        <v>13</v>
      </c>
      <c r="B18" s="76" t="s">
        <v>40</v>
      </c>
      <c r="C18" s="277"/>
    </row>
    <row r="19" spans="1:3" s="4" customFormat="1">
      <c r="A19" s="138">
        <v>14</v>
      </c>
      <c r="B19" s="76" t="s">
        <v>41</v>
      </c>
      <c r="C19" s="277"/>
    </row>
    <row r="20" spans="1:3" s="4" customFormat="1" ht="25.5">
      <c r="A20" s="138">
        <v>15</v>
      </c>
      <c r="B20" s="76" t="s">
        <v>42</v>
      </c>
      <c r="C20" s="277">
        <v>2558927.35</v>
      </c>
    </row>
    <row r="21" spans="1:3" s="4" customFormat="1" ht="25.5">
      <c r="A21" s="138">
        <v>16</v>
      </c>
      <c r="B21" s="75" t="s">
        <v>43</v>
      </c>
      <c r="C21" s="277"/>
    </row>
    <row r="22" spans="1:3" s="4" customFormat="1">
      <c r="A22" s="138">
        <v>17</v>
      </c>
      <c r="B22" s="139" t="s">
        <v>44</v>
      </c>
      <c r="C22" s="277"/>
    </row>
    <row r="23" spans="1:3" s="4" customFormat="1" ht="25.5">
      <c r="A23" s="138">
        <v>18</v>
      </c>
      <c r="B23" s="75" t="s">
        <v>45</v>
      </c>
      <c r="C23" s="277"/>
    </row>
    <row r="24" spans="1:3" s="4" customFormat="1" ht="25.5">
      <c r="A24" s="138">
        <v>19</v>
      </c>
      <c r="B24" s="75" t="s">
        <v>46</v>
      </c>
      <c r="C24" s="277"/>
    </row>
    <row r="25" spans="1:3" s="4" customFormat="1" ht="25.5">
      <c r="A25" s="138">
        <v>20</v>
      </c>
      <c r="B25" s="78" t="s">
        <v>47</v>
      </c>
      <c r="C25" s="277"/>
    </row>
    <row r="26" spans="1:3" s="4" customFormat="1" ht="25.5">
      <c r="A26" s="138">
        <v>21</v>
      </c>
      <c r="B26" s="78" t="s">
        <v>48</v>
      </c>
      <c r="C26" s="277"/>
    </row>
    <row r="27" spans="1:3" s="4" customFormat="1" ht="25.5">
      <c r="A27" s="138">
        <v>22</v>
      </c>
      <c r="B27" s="78" t="s">
        <v>49</v>
      </c>
      <c r="C27" s="277"/>
    </row>
    <row r="28" spans="1:3" s="4" customFormat="1">
      <c r="A28" s="138">
        <v>23</v>
      </c>
      <c r="B28" s="84" t="s">
        <v>23</v>
      </c>
      <c r="C28" s="276">
        <f>C6-C12</f>
        <v>180388469.65000001</v>
      </c>
    </row>
    <row r="29" spans="1:3" s="4" customFormat="1">
      <c r="A29" s="140"/>
      <c r="B29" s="79"/>
      <c r="C29" s="277"/>
    </row>
    <row r="30" spans="1:3" s="4" customFormat="1">
      <c r="A30" s="140">
        <v>24</v>
      </c>
      <c r="B30" s="84" t="s">
        <v>50</v>
      </c>
      <c r="C30" s="276">
        <f>C31+C34</f>
        <v>58000600</v>
      </c>
    </row>
    <row r="31" spans="1:3" s="4" customFormat="1">
      <c r="A31" s="140">
        <v>25</v>
      </c>
      <c r="B31" s="74" t="s">
        <v>51</v>
      </c>
      <c r="C31" s="278">
        <f>C32+C33</f>
        <v>58000600</v>
      </c>
    </row>
    <row r="32" spans="1:3" s="4" customFormat="1">
      <c r="A32" s="140">
        <v>26</v>
      </c>
      <c r="B32" s="180" t="s">
        <v>52</v>
      </c>
      <c r="C32" s="277"/>
    </row>
    <row r="33" spans="1:3" s="4" customFormat="1">
      <c r="A33" s="140">
        <v>27</v>
      </c>
      <c r="B33" s="180" t="s">
        <v>53</v>
      </c>
      <c r="C33" s="277">
        <v>58000600</v>
      </c>
    </row>
    <row r="34" spans="1:3" s="4" customFormat="1">
      <c r="A34" s="140">
        <v>28</v>
      </c>
      <c r="B34" s="74" t="s">
        <v>54</v>
      </c>
      <c r="C34" s="277"/>
    </row>
    <row r="35" spans="1:3" s="4" customFormat="1">
      <c r="A35" s="140">
        <v>29</v>
      </c>
      <c r="B35" s="84" t="s">
        <v>55</v>
      </c>
      <c r="C35" s="276">
        <f>SUM(C36:C40)</f>
        <v>0</v>
      </c>
    </row>
    <row r="36" spans="1:3" s="4" customFormat="1">
      <c r="A36" s="140">
        <v>30</v>
      </c>
      <c r="B36" s="75" t="s">
        <v>56</v>
      </c>
      <c r="C36" s="277"/>
    </row>
    <row r="37" spans="1:3" s="4" customFormat="1">
      <c r="A37" s="140">
        <v>31</v>
      </c>
      <c r="B37" s="76" t="s">
        <v>57</v>
      </c>
      <c r="C37" s="277"/>
    </row>
    <row r="38" spans="1:3" s="4" customFormat="1" ht="25.5">
      <c r="A38" s="140">
        <v>32</v>
      </c>
      <c r="B38" s="75" t="s">
        <v>58</v>
      </c>
      <c r="C38" s="277"/>
    </row>
    <row r="39" spans="1:3" s="4" customFormat="1" ht="25.5">
      <c r="A39" s="140">
        <v>33</v>
      </c>
      <c r="B39" s="75" t="s">
        <v>46</v>
      </c>
      <c r="C39" s="277"/>
    </row>
    <row r="40" spans="1:3" s="4" customFormat="1" ht="25.5">
      <c r="A40" s="140">
        <v>34</v>
      </c>
      <c r="B40" s="78" t="s">
        <v>59</v>
      </c>
      <c r="C40" s="277"/>
    </row>
    <row r="41" spans="1:3" s="4" customFormat="1">
      <c r="A41" s="140">
        <v>35</v>
      </c>
      <c r="B41" s="84" t="s">
        <v>24</v>
      </c>
      <c r="C41" s="276">
        <f>C30-C35</f>
        <v>58000600</v>
      </c>
    </row>
    <row r="42" spans="1:3" s="4" customFormat="1">
      <c r="A42" s="140"/>
      <c r="B42" s="79"/>
      <c r="C42" s="277"/>
    </row>
    <row r="43" spans="1:3" s="4" customFormat="1">
      <c r="A43" s="140">
        <v>36</v>
      </c>
      <c r="B43" s="85" t="s">
        <v>60</v>
      </c>
      <c r="C43" s="276">
        <f>SUM(C44:C46)</f>
        <v>180822523</v>
      </c>
    </row>
    <row r="44" spans="1:3" s="4" customFormat="1">
      <c r="A44" s="140">
        <v>37</v>
      </c>
      <c r="B44" s="74" t="s">
        <v>61</v>
      </c>
      <c r="C44" s="277">
        <v>166413480</v>
      </c>
    </row>
    <row r="45" spans="1:3" s="4" customFormat="1">
      <c r="A45" s="140">
        <v>38</v>
      </c>
      <c r="B45" s="74" t="s">
        <v>62</v>
      </c>
      <c r="C45" s="277"/>
    </row>
    <row r="46" spans="1:3" s="4" customFormat="1">
      <c r="A46" s="140">
        <v>39</v>
      </c>
      <c r="B46" s="74" t="s">
        <v>63</v>
      </c>
      <c r="C46" s="277">
        <v>14409043</v>
      </c>
    </row>
    <row r="47" spans="1:3" s="4" customFormat="1">
      <c r="A47" s="140">
        <v>40</v>
      </c>
      <c r="B47" s="85" t="s">
        <v>64</v>
      </c>
      <c r="C47" s="276">
        <f>SUM(C48:C51)</f>
        <v>0</v>
      </c>
    </row>
    <row r="48" spans="1:3" s="4" customFormat="1">
      <c r="A48" s="140">
        <v>41</v>
      </c>
      <c r="B48" s="75" t="s">
        <v>65</v>
      </c>
      <c r="C48" s="277"/>
    </row>
    <row r="49" spans="1:3" s="4" customFormat="1">
      <c r="A49" s="140">
        <v>42</v>
      </c>
      <c r="B49" s="76" t="s">
        <v>66</v>
      </c>
      <c r="C49" s="277"/>
    </row>
    <row r="50" spans="1:3" s="4" customFormat="1" ht="25.5">
      <c r="A50" s="140">
        <v>43</v>
      </c>
      <c r="B50" s="75" t="s">
        <v>67</v>
      </c>
      <c r="C50" s="277"/>
    </row>
    <row r="51" spans="1:3" s="4" customFormat="1" ht="25.5">
      <c r="A51" s="140">
        <v>44</v>
      </c>
      <c r="B51" s="75" t="s">
        <v>46</v>
      </c>
      <c r="C51" s="277"/>
    </row>
    <row r="52" spans="1:3" s="4" customFormat="1" ht="15.75" thickBot="1">
      <c r="A52" s="141">
        <v>45</v>
      </c>
      <c r="B52" s="142" t="s">
        <v>25</v>
      </c>
      <c r="C52" s="279">
        <f>C43-C47</f>
        <v>180822523</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9.9978637043366805E-2"/>
  </sheetPr>
  <dimension ref="A1:F23"/>
  <sheetViews>
    <sheetView workbookViewId="0"/>
  </sheetViews>
  <sheetFormatPr defaultColWidth="9.140625" defaultRowHeight="12.75"/>
  <cols>
    <col min="1" max="1" width="10.85546875" style="345" bestFit="1" customWidth="1"/>
    <col min="2" max="2" width="59" style="345" customWidth="1"/>
    <col min="3" max="3" width="16.7109375" style="345" bestFit="1" customWidth="1"/>
    <col min="4" max="4" width="22.140625" style="345" customWidth="1"/>
    <col min="5" max="16384" width="9.140625" style="345"/>
  </cols>
  <sheetData>
    <row r="1" spans="1:4" ht="15">
      <c r="A1" s="18" t="s">
        <v>188</v>
      </c>
      <c r="B1" s="17" t="str">
        <f>Info!C2</f>
        <v>სს "ბანკი ქართუ"</v>
      </c>
    </row>
    <row r="2" spans="1:4" s="22" customFormat="1" ht="15.75" customHeight="1">
      <c r="A2" s="22" t="s">
        <v>189</v>
      </c>
      <c r="B2" s="472">
        <f>'1. key ratios'!B2</f>
        <v>44286</v>
      </c>
    </row>
    <row r="3" spans="1:4" s="22" customFormat="1" ht="15.75" customHeight="1"/>
    <row r="4" spans="1:4" ht="13.5" thickBot="1">
      <c r="A4" s="346" t="s">
        <v>527</v>
      </c>
      <c r="B4" s="383" t="s">
        <v>528</v>
      </c>
    </row>
    <row r="5" spans="1:4" s="384" customFormat="1">
      <c r="A5" s="563" t="s">
        <v>529</v>
      </c>
      <c r="B5" s="564"/>
      <c r="C5" s="373" t="s">
        <v>530</v>
      </c>
      <c r="D5" s="374" t="s">
        <v>531</v>
      </c>
    </row>
    <row r="6" spans="1:4" s="385" customFormat="1">
      <c r="A6" s="375">
        <v>1</v>
      </c>
      <c r="B6" s="376" t="s">
        <v>532</v>
      </c>
      <c r="C6" s="376"/>
      <c r="D6" s="377"/>
    </row>
    <row r="7" spans="1:4" s="385" customFormat="1">
      <c r="A7" s="378" t="s">
        <v>533</v>
      </c>
      <c r="B7" s="379" t="s">
        <v>534</v>
      </c>
      <c r="C7" s="512">
        <v>4.4999999999999998E-2</v>
      </c>
      <c r="D7" s="507">
        <f>C7*'5. RWA'!$C$13</f>
        <v>65613653.504015334</v>
      </c>
    </row>
    <row r="8" spans="1:4" s="385" customFormat="1">
      <c r="A8" s="378" t="s">
        <v>535</v>
      </c>
      <c r="B8" s="379" t="s">
        <v>536</v>
      </c>
      <c r="C8" s="513">
        <v>0.06</v>
      </c>
      <c r="D8" s="507">
        <f>C8*'5. RWA'!$C$13</f>
        <v>87484871.338687122</v>
      </c>
    </row>
    <row r="9" spans="1:4" s="385" customFormat="1">
      <c r="A9" s="378" t="s">
        <v>537</v>
      </c>
      <c r="B9" s="379" t="s">
        <v>538</v>
      </c>
      <c r="C9" s="513">
        <v>0.08</v>
      </c>
      <c r="D9" s="507">
        <f>C9*'5. RWA'!$C$13</f>
        <v>116646495.11824949</v>
      </c>
    </row>
    <row r="10" spans="1:4" s="385" customFormat="1">
      <c r="A10" s="375" t="s">
        <v>539</v>
      </c>
      <c r="B10" s="376" t="s">
        <v>540</v>
      </c>
      <c r="C10" s="431"/>
      <c r="D10" s="508"/>
    </row>
    <row r="11" spans="1:4" s="386" customFormat="1">
      <c r="A11" s="380" t="s">
        <v>541</v>
      </c>
      <c r="B11" s="381" t="s">
        <v>603</v>
      </c>
      <c r="C11" s="514">
        <v>2.5000000000000001E-2</v>
      </c>
      <c r="D11" s="509">
        <f>C11*'5. RWA'!$C$13</f>
        <v>36452029.724452965</v>
      </c>
    </row>
    <row r="12" spans="1:4" s="386" customFormat="1">
      <c r="A12" s="380" t="s">
        <v>542</v>
      </c>
      <c r="B12" s="381" t="s">
        <v>543</v>
      </c>
      <c r="C12" s="514">
        <v>0</v>
      </c>
      <c r="D12" s="509">
        <f>C12*'5. RWA'!$C$13</f>
        <v>0</v>
      </c>
    </row>
    <row r="13" spans="1:4" s="386" customFormat="1">
      <c r="A13" s="380" t="s">
        <v>544</v>
      </c>
      <c r="B13" s="381" t="s">
        <v>545</v>
      </c>
      <c r="C13" s="514"/>
      <c r="D13" s="509">
        <f>C13*'5. RWA'!$C$13</f>
        <v>0</v>
      </c>
    </row>
    <row r="14" spans="1:4" s="385" customFormat="1">
      <c r="A14" s="375" t="s">
        <v>546</v>
      </c>
      <c r="B14" s="376" t="s">
        <v>601</v>
      </c>
      <c r="C14" s="515"/>
      <c r="D14" s="508"/>
    </row>
    <row r="15" spans="1:4" s="385" customFormat="1">
      <c r="A15" s="396" t="s">
        <v>549</v>
      </c>
      <c r="B15" s="381" t="s">
        <v>602</v>
      </c>
      <c r="C15" s="514">
        <v>3.9238974371552458E-2</v>
      </c>
      <c r="D15" s="509">
        <f>C15*'5. RWA'!$C$13</f>
        <v>57213610.405955136</v>
      </c>
    </row>
    <row r="16" spans="1:4" s="385" customFormat="1">
      <c r="A16" s="396" t="s">
        <v>550</v>
      </c>
      <c r="B16" s="381" t="s">
        <v>552</v>
      </c>
      <c r="C16" s="514">
        <v>5.2406474461321011E-2</v>
      </c>
      <c r="D16" s="509">
        <f>C16*'5. RWA'!$C$13</f>
        <v>76412894.592714354</v>
      </c>
    </row>
    <row r="17" spans="1:6" s="385" customFormat="1">
      <c r="A17" s="396" t="s">
        <v>551</v>
      </c>
      <c r="B17" s="381" t="s">
        <v>599</v>
      </c>
      <c r="C17" s="514">
        <v>0.10795767009989721</v>
      </c>
      <c r="D17" s="509">
        <f>C17*'5. RWA'!$C$13</f>
        <v>157411047.9785656</v>
      </c>
    </row>
    <row r="18" spans="1:6" s="384" customFormat="1">
      <c r="A18" s="565" t="s">
        <v>600</v>
      </c>
      <c r="B18" s="566"/>
      <c r="C18" s="431" t="s">
        <v>530</v>
      </c>
      <c r="D18" s="510" t="s">
        <v>531</v>
      </c>
    </row>
    <row r="19" spans="1:6" s="385" customFormat="1">
      <c r="A19" s="382">
        <v>4</v>
      </c>
      <c r="B19" s="381" t="s">
        <v>23</v>
      </c>
      <c r="C19" s="514">
        <f>C7+C11+C12+C13+C15</f>
        <v>0.10923897437155247</v>
      </c>
      <c r="D19" s="507">
        <f>C19*'5. RWA'!$C$13</f>
        <v>159279293.63442346</v>
      </c>
    </row>
    <row r="20" spans="1:6" s="385" customFormat="1">
      <c r="A20" s="382">
        <v>5</v>
      </c>
      <c r="B20" s="381" t="s">
        <v>89</v>
      </c>
      <c r="C20" s="514">
        <f>C8+C11+C12+C13+C16</f>
        <v>0.13740647446132101</v>
      </c>
      <c r="D20" s="507">
        <f>C20*'5. RWA'!$C$13</f>
        <v>200349795.65585443</v>
      </c>
    </row>
    <row r="21" spans="1:6" s="385" customFormat="1" ht="13.5" thickBot="1">
      <c r="A21" s="387" t="s">
        <v>547</v>
      </c>
      <c r="B21" s="388" t="s">
        <v>88</v>
      </c>
      <c r="C21" s="516">
        <f>C9+C11+C12+C13+C17</f>
        <v>0.21295767009989722</v>
      </c>
      <c r="D21" s="511">
        <f>C21*'5. RWA'!$C$13</f>
        <v>310509572.82126808</v>
      </c>
    </row>
    <row r="22" spans="1:6">
      <c r="F22" s="346"/>
    </row>
    <row r="23" spans="1:6" ht="63.75">
      <c r="B23" s="24" t="s">
        <v>604</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9.9978637043366805E-2"/>
  </sheetPr>
  <dimension ref="A1:F55"/>
  <sheetViews>
    <sheetView zoomScaleNormal="100" workbookViewId="0">
      <pane xSplit="1" ySplit="5" topLeftCell="B6" activePane="bottomRight" state="frozen"/>
      <selection activeCell="B2" sqref="B2:C2"/>
      <selection pane="topRight" activeCell="B2" sqref="B2:C2"/>
      <selection pane="bottomLeft" activeCell="B2" sqref="B2:C2"/>
      <selection pane="bottomRight" activeCell="B6" sqref="B6"/>
    </sheetView>
  </sheetViews>
  <sheetFormatPr defaultRowHeight="15.75"/>
  <cols>
    <col min="1" max="1" width="10.7109375" style="70" customWidth="1"/>
    <col min="2" max="2" width="83" style="70" customWidth="1"/>
    <col min="3" max="3" width="53.140625" style="70" customWidth="1"/>
    <col min="4" max="4" width="30.7109375" style="70" customWidth="1"/>
    <col min="5" max="5" width="9.42578125" customWidth="1"/>
  </cols>
  <sheetData>
    <row r="1" spans="1:6">
      <c r="A1" s="18" t="s">
        <v>188</v>
      </c>
      <c r="B1" s="20" t="str">
        <f>Info!C2</f>
        <v>სს "ბანკი ქართუ"</v>
      </c>
      <c r="E1" s="2"/>
      <c r="F1" s="2"/>
    </row>
    <row r="2" spans="1:6" s="22" customFormat="1" ht="15.75" customHeight="1">
      <c r="A2" s="22" t="s">
        <v>189</v>
      </c>
      <c r="B2" s="472">
        <f>'1. key ratios'!B2</f>
        <v>44286</v>
      </c>
    </row>
    <row r="3" spans="1:6" s="22" customFormat="1" ht="15.75" customHeight="1">
      <c r="A3" s="27"/>
    </row>
    <row r="4" spans="1:6" s="22" customFormat="1" ht="15.75" customHeight="1" thickBot="1">
      <c r="A4" s="22" t="s">
        <v>414</v>
      </c>
      <c r="B4" s="27" t="s">
        <v>269</v>
      </c>
      <c r="D4" s="204" t="s">
        <v>93</v>
      </c>
    </row>
    <row r="5" spans="1:6" ht="38.25">
      <c r="A5" s="153" t="s">
        <v>26</v>
      </c>
      <c r="B5" s="154" t="s">
        <v>231</v>
      </c>
      <c r="C5" s="155" t="s">
        <v>237</v>
      </c>
      <c r="D5" s="203" t="s">
        <v>270</v>
      </c>
    </row>
    <row r="6" spans="1:6">
      <c r="A6" s="143">
        <v>1</v>
      </c>
      <c r="B6" s="86" t="s">
        <v>154</v>
      </c>
      <c r="C6" s="280">
        <f>'2. RC'!E7</f>
        <v>35924455</v>
      </c>
      <c r="D6" s="526"/>
      <c r="E6" s="8"/>
    </row>
    <row r="7" spans="1:6">
      <c r="A7" s="143">
        <v>2</v>
      </c>
      <c r="B7" s="87" t="s">
        <v>155</v>
      </c>
      <c r="C7" s="281">
        <f>'2. RC'!E8</f>
        <v>220810485</v>
      </c>
      <c r="D7" s="144"/>
      <c r="E7" s="8"/>
    </row>
    <row r="8" spans="1:6">
      <c r="A8" s="143">
        <v>3</v>
      </c>
      <c r="B8" s="87" t="s">
        <v>156</v>
      </c>
      <c r="C8" s="281">
        <f>'2. RC'!E9</f>
        <v>118707623</v>
      </c>
      <c r="D8" s="144"/>
      <c r="E8" s="8"/>
    </row>
    <row r="9" spans="1:6">
      <c r="A9" s="143">
        <v>4</v>
      </c>
      <c r="B9" s="87" t="s">
        <v>185</v>
      </c>
      <c r="C9" s="281">
        <f>'2. RC'!E10</f>
        <v>0</v>
      </c>
      <c r="D9" s="144"/>
      <c r="E9" s="8"/>
    </row>
    <row r="10" spans="1:6">
      <c r="A10" s="143">
        <v>5</v>
      </c>
      <c r="B10" s="87" t="s">
        <v>157</v>
      </c>
      <c r="C10" s="281">
        <f>'2. RC'!E11-C11</f>
        <v>60114676</v>
      </c>
      <c r="D10" s="144"/>
      <c r="E10" s="8"/>
    </row>
    <row r="11" spans="1:6">
      <c r="A11" s="517">
        <v>5.0999999999999996</v>
      </c>
      <c r="B11" s="518" t="s">
        <v>655</v>
      </c>
      <c r="C11" s="519">
        <v>-401180</v>
      </c>
      <c r="D11" s="240" t="s">
        <v>656</v>
      </c>
      <c r="E11" s="520"/>
    </row>
    <row r="12" spans="1:6">
      <c r="A12" s="517">
        <v>5.2</v>
      </c>
      <c r="B12" s="521" t="s">
        <v>657</v>
      </c>
      <c r="C12" s="519">
        <f>C10+C11</f>
        <v>59713496</v>
      </c>
      <c r="D12" s="145"/>
      <c r="E12" s="520"/>
    </row>
    <row r="13" spans="1:6">
      <c r="A13" s="143">
        <v>6.1</v>
      </c>
      <c r="B13" s="87" t="s">
        <v>158</v>
      </c>
      <c r="C13" s="282">
        <f>'2. RC'!E12</f>
        <v>1119004967</v>
      </c>
      <c r="D13" s="145"/>
      <c r="E13" s="9"/>
    </row>
    <row r="14" spans="1:6">
      <c r="A14" s="143">
        <v>6.2</v>
      </c>
      <c r="B14" s="88" t="s">
        <v>159</v>
      </c>
      <c r="C14" s="282">
        <f>'2. RC'!E13</f>
        <v>-179220167</v>
      </c>
      <c r="D14" s="145"/>
      <c r="E14" s="9"/>
    </row>
    <row r="15" spans="1:6">
      <c r="A15" s="143" t="s">
        <v>488</v>
      </c>
      <c r="B15" s="89" t="s">
        <v>489</v>
      </c>
      <c r="C15" s="282">
        <v>-13376766</v>
      </c>
      <c r="D15" s="240" t="s">
        <v>656</v>
      </c>
      <c r="E15" s="9"/>
    </row>
    <row r="16" spans="1:6">
      <c r="A16" s="143" t="s">
        <v>623</v>
      </c>
      <c r="B16" s="89" t="s">
        <v>612</v>
      </c>
      <c r="C16" s="282">
        <v>-362912.32992247399</v>
      </c>
      <c r="D16" s="145"/>
      <c r="E16" s="9"/>
    </row>
    <row r="17" spans="1:5">
      <c r="A17" s="143">
        <v>6</v>
      </c>
      <c r="B17" s="87" t="s">
        <v>160</v>
      </c>
      <c r="C17" s="288">
        <f>C13+C14</f>
        <v>939784800</v>
      </c>
      <c r="D17" s="145"/>
      <c r="E17" s="8"/>
    </row>
    <row r="18" spans="1:5">
      <c r="A18" s="143">
        <v>7</v>
      </c>
      <c r="B18" s="87" t="s">
        <v>161</v>
      </c>
      <c r="C18" s="281">
        <f>'2. RC'!E15</f>
        <v>14604179</v>
      </c>
      <c r="D18" s="144"/>
      <c r="E18" s="8"/>
    </row>
    <row r="19" spans="1:5">
      <c r="A19" s="143">
        <v>8</v>
      </c>
      <c r="B19" s="87" t="s">
        <v>162</v>
      </c>
      <c r="C19" s="281">
        <f>'2. RC'!E16</f>
        <v>2483931</v>
      </c>
      <c r="D19" s="144"/>
      <c r="E19" s="8"/>
    </row>
    <row r="20" spans="1:5">
      <c r="A20" s="143">
        <v>9</v>
      </c>
      <c r="B20" s="87" t="s">
        <v>163</v>
      </c>
      <c r="C20" s="281">
        <f>SUM(C22:C25)</f>
        <v>7793239</v>
      </c>
      <c r="D20" s="144"/>
      <c r="E20" s="8"/>
    </row>
    <row r="21" spans="1:5">
      <c r="A21" s="143">
        <v>9.1</v>
      </c>
      <c r="B21" s="89" t="s">
        <v>246</v>
      </c>
      <c r="C21" s="282"/>
      <c r="D21" s="144"/>
      <c r="E21" s="8"/>
    </row>
    <row r="22" spans="1:5">
      <c r="A22" s="143">
        <v>9.1999999999999993</v>
      </c>
      <c r="B22" s="89" t="s">
        <v>236</v>
      </c>
      <c r="C22" s="282">
        <v>9372300</v>
      </c>
      <c r="D22" s="144"/>
      <c r="E22" s="8"/>
    </row>
    <row r="23" spans="1:5">
      <c r="A23" s="517">
        <v>9.3000000000000007</v>
      </c>
      <c r="B23" s="518" t="s">
        <v>658</v>
      </c>
      <c r="C23" s="522">
        <v>-1634921</v>
      </c>
      <c r="E23" s="6"/>
    </row>
    <row r="24" spans="1:5" ht="30">
      <c r="A24" s="143">
        <v>9.4</v>
      </c>
      <c r="B24" s="89" t="s">
        <v>235</v>
      </c>
      <c r="C24" s="282">
        <v>57000</v>
      </c>
      <c r="D24" s="144"/>
      <c r="E24" s="8"/>
    </row>
    <row r="25" spans="1:5">
      <c r="A25" s="517">
        <v>9.5</v>
      </c>
      <c r="B25" s="518" t="s">
        <v>659</v>
      </c>
      <c r="C25" s="522">
        <v>-1140</v>
      </c>
      <c r="D25" s="240" t="s">
        <v>656</v>
      </c>
      <c r="E25" s="6"/>
    </row>
    <row r="26" spans="1:5">
      <c r="A26" s="143">
        <v>10</v>
      </c>
      <c r="B26" s="87" t="s">
        <v>164</v>
      </c>
      <c r="C26" s="281">
        <f>'2. RC'!E18</f>
        <v>20545588</v>
      </c>
      <c r="D26" s="144"/>
      <c r="E26" s="8"/>
    </row>
    <row r="27" spans="1:5">
      <c r="A27" s="143">
        <v>10.1</v>
      </c>
      <c r="B27" s="89" t="s">
        <v>234</v>
      </c>
      <c r="C27" s="281">
        <f>'9. Capital'!C15</f>
        <v>4332861</v>
      </c>
      <c r="D27" s="240" t="s">
        <v>441</v>
      </c>
      <c r="E27" s="8"/>
    </row>
    <row r="28" spans="1:5">
      <c r="A28" s="143">
        <v>11</v>
      </c>
      <c r="B28" s="90" t="s">
        <v>165</v>
      </c>
      <c r="C28" s="283">
        <f>'2. RC'!E19-C30-C31</f>
        <v>31614762</v>
      </c>
      <c r="D28" s="146"/>
      <c r="E28" s="8"/>
    </row>
    <row r="29" spans="1:5">
      <c r="A29" s="517">
        <v>11.1</v>
      </c>
      <c r="B29" s="523" t="s">
        <v>660</v>
      </c>
      <c r="C29" s="524">
        <f>'9. Capital'!C20</f>
        <v>2558927.35</v>
      </c>
      <c r="D29" s="240" t="s">
        <v>661</v>
      </c>
      <c r="E29" s="6"/>
    </row>
    <row r="30" spans="1:5">
      <c r="A30" s="517">
        <v>11.2</v>
      </c>
      <c r="B30" s="518" t="s">
        <v>662</v>
      </c>
      <c r="C30" s="522">
        <v>0</v>
      </c>
      <c r="D30" s="240" t="s">
        <v>656</v>
      </c>
      <c r="E30" s="6"/>
    </row>
    <row r="31" spans="1:5">
      <c r="A31" s="517">
        <v>11.3</v>
      </c>
      <c r="B31" s="518" t="s">
        <v>663</v>
      </c>
      <c r="C31" s="522">
        <v>-1975301</v>
      </c>
      <c r="D31" s="144"/>
      <c r="E31" s="6"/>
    </row>
    <row r="32" spans="1:5">
      <c r="A32" s="517"/>
      <c r="B32" s="90" t="s">
        <v>664</v>
      </c>
      <c r="C32" s="525">
        <f>SUM(C28,C30:C31)</f>
        <v>29639461</v>
      </c>
      <c r="D32" s="149"/>
      <c r="E32" s="6"/>
    </row>
    <row r="33" spans="1:5">
      <c r="A33" s="143">
        <v>12</v>
      </c>
      <c r="B33" s="92" t="s">
        <v>166</v>
      </c>
      <c r="C33" s="284">
        <f>SUM(C6:C9,C12,C17:C20,C26,C32)</f>
        <v>1450007257</v>
      </c>
      <c r="D33" s="147"/>
      <c r="E33" s="7"/>
    </row>
    <row r="34" spans="1:5">
      <c r="A34" s="143">
        <v>13</v>
      </c>
      <c r="B34" s="87" t="s">
        <v>167</v>
      </c>
      <c r="C34" s="285">
        <f>'2. RC'!E22</f>
        <v>167439</v>
      </c>
      <c r="D34" s="148"/>
      <c r="E34" s="8"/>
    </row>
    <row r="35" spans="1:5">
      <c r="A35" s="143">
        <v>14</v>
      </c>
      <c r="B35" s="87" t="s">
        <v>168</v>
      </c>
      <c r="C35" s="281">
        <f>'2. RC'!E23</f>
        <v>342808530</v>
      </c>
      <c r="D35" s="144"/>
      <c r="E35" s="8"/>
    </row>
    <row r="36" spans="1:5">
      <c r="A36" s="143">
        <v>15</v>
      </c>
      <c r="B36" s="87" t="s">
        <v>169</v>
      </c>
      <c r="C36" s="281">
        <f>'2. RC'!E24</f>
        <v>85073403</v>
      </c>
      <c r="D36" s="144"/>
      <c r="E36" s="8"/>
    </row>
    <row r="37" spans="1:5">
      <c r="A37" s="143">
        <v>16</v>
      </c>
      <c r="B37" s="87" t="s">
        <v>170</v>
      </c>
      <c r="C37" s="281">
        <f>'2. RC'!E25</f>
        <v>578043939</v>
      </c>
      <c r="D37" s="144"/>
      <c r="E37" s="8"/>
    </row>
    <row r="38" spans="1:5">
      <c r="A38" s="143">
        <v>17</v>
      </c>
      <c r="B38" s="87" t="s">
        <v>171</v>
      </c>
      <c r="C38" s="281">
        <f>'2. RC'!E26</f>
        <v>0</v>
      </c>
      <c r="D38" s="144"/>
      <c r="E38" s="8"/>
    </row>
    <row r="39" spans="1:5">
      <c r="A39" s="143">
        <v>18</v>
      </c>
      <c r="B39" s="87" t="s">
        <v>172</v>
      </c>
      <c r="C39" s="281">
        <f>'2. RC'!E27</f>
        <v>0</v>
      </c>
      <c r="D39" s="144"/>
      <c r="E39" s="8"/>
    </row>
    <row r="40" spans="1:5">
      <c r="A40" s="143">
        <v>19</v>
      </c>
      <c r="B40" s="87" t="s">
        <v>173</v>
      </c>
      <c r="C40" s="281">
        <f>'2. RC'!E28</f>
        <v>15601557</v>
      </c>
      <c r="D40" s="144"/>
      <c r="E40" s="8"/>
    </row>
    <row r="41" spans="1:5">
      <c r="A41" s="143">
        <v>20</v>
      </c>
      <c r="B41" s="87" t="s">
        <v>95</v>
      </c>
      <c r="C41" s="281">
        <f>'2. RC'!E29</f>
        <v>16310024</v>
      </c>
      <c r="D41" s="144"/>
      <c r="E41" s="8"/>
    </row>
    <row r="42" spans="1:5">
      <c r="A42" s="143">
        <v>20.100000000000001</v>
      </c>
      <c r="B42" s="91" t="s">
        <v>487</v>
      </c>
      <c r="C42" s="283">
        <v>629957</v>
      </c>
      <c r="D42" s="240" t="s">
        <v>656</v>
      </c>
      <c r="E42" s="8"/>
    </row>
    <row r="43" spans="1:5">
      <c r="A43" s="143">
        <v>21</v>
      </c>
      <c r="B43" s="90" t="s">
        <v>174</v>
      </c>
      <c r="C43" s="283">
        <f>'2. RC'!E30</f>
        <v>223814080</v>
      </c>
      <c r="D43" s="144"/>
      <c r="E43" s="8"/>
    </row>
    <row r="44" spans="1:5">
      <c r="A44" s="143">
        <v>21.1</v>
      </c>
      <c r="B44" s="91" t="s">
        <v>233</v>
      </c>
      <c r="C44" s="286">
        <f>C43-'9. Capital'!C33</f>
        <v>165813480</v>
      </c>
      <c r="D44" s="240" t="s">
        <v>668</v>
      </c>
      <c r="E44" s="8"/>
    </row>
    <row r="45" spans="1:5">
      <c r="A45" s="143">
        <v>22</v>
      </c>
      <c r="B45" s="92" t="s">
        <v>175</v>
      </c>
      <c r="C45" s="284">
        <f>SUM(C34:C41,C43)</f>
        <v>1261818972</v>
      </c>
      <c r="D45" s="147"/>
      <c r="E45" s="7"/>
    </row>
    <row r="46" spans="1:5">
      <c r="A46" s="143">
        <v>23</v>
      </c>
      <c r="B46" s="90" t="s">
        <v>176</v>
      </c>
      <c r="C46" s="281">
        <f>'2. RC'!E33</f>
        <v>114430000</v>
      </c>
      <c r="D46" s="240" t="s">
        <v>669</v>
      </c>
      <c r="E46" s="8"/>
    </row>
    <row r="47" spans="1:5">
      <c r="A47" s="143">
        <v>24</v>
      </c>
      <c r="B47" s="90" t="s">
        <v>177</v>
      </c>
      <c r="C47" s="281">
        <f>'2. RC'!E34</f>
        <v>0</v>
      </c>
      <c r="D47" s="144"/>
      <c r="E47" s="8"/>
    </row>
    <row r="48" spans="1:5">
      <c r="A48" s="143">
        <v>25</v>
      </c>
      <c r="B48" s="90" t="s">
        <v>232</v>
      </c>
      <c r="C48" s="281">
        <f>'2. RC'!E35</f>
        <v>0</v>
      </c>
      <c r="D48" s="144"/>
      <c r="E48" s="8"/>
    </row>
    <row r="49" spans="1:5">
      <c r="A49" s="143">
        <v>26</v>
      </c>
      <c r="B49" s="90" t="s">
        <v>179</v>
      </c>
      <c r="C49" s="281">
        <f>'2. RC'!E36</f>
        <v>0</v>
      </c>
      <c r="D49" s="144"/>
      <c r="E49" s="8"/>
    </row>
    <row r="50" spans="1:5">
      <c r="A50" s="143">
        <v>27</v>
      </c>
      <c r="B50" s="90" t="s">
        <v>180</v>
      </c>
      <c r="C50" s="281">
        <f>'2. RC'!E37</f>
        <v>7438034</v>
      </c>
      <c r="D50" s="144"/>
      <c r="E50" s="8"/>
    </row>
    <row r="51" spans="1:5">
      <c r="A51" s="517">
        <v>27.1</v>
      </c>
      <c r="B51" s="523" t="s">
        <v>665</v>
      </c>
      <c r="C51" s="522">
        <v>6838034</v>
      </c>
      <c r="D51" s="240" t="s">
        <v>666</v>
      </c>
      <c r="E51" s="6"/>
    </row>
    <row r="52" spans="1:5">
      <c r="A52" s="517">
        <v>27.2</v>
      </c>
      <c r="B52" s="523" t="s">
        <v>667</v>
      </c>
      <c r="C52" s="522">
        <v>600000</v>
      </c>
      <c r="D52" s="240" t="s">
        <v>668</v>
      </c>
      <c r="E52" s="6"/>
    </row>
    <row r="53" spans="1:5">
      <c r="A53" s="143">
        <v>28</v>
      </c>
      <c r="B53" s="90" t="s">
        <v>181</v>
      </c>
      <c r="C53" s="281">
        <f>'2. RC'!E38</f>
        <v>66012224</v>
      </c>
      <c r="D53" s="240" t="s">
        <v>670</v>
      </c>
      <c r="E53" s="8"/>
    </row>
    <row r="54" spans="1:5">
      <c r="A54" s="143">
        <v>29</v>
      </c>
      <c r="B54" s="90" t="s">
        <v>35</v>
      </c>
      <c r="C54" s="281">
        <f>'2. RC'!E39</f>
        <v>308027</v>
      </c>
      <c r="D54" s="144"/>
      <c r="E54" s="8"/>
    </row>
    <row r="55" spans="1:5" ht="16.5" thickBot="1">
      <c r="A55" s="150">
        <v>30</v>
      </c>
      <c r="B55" s="151" t="s">
        <v>182</v>
      </c>
      <c r="C55" s="287">
        <f>SUM(C46:C50,C53:C54)</f>
        <v>188188285</v>
      </c>
      <c r="D55" s="152"/>
      <c r="E5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9.9978637043366805E-2"/>
  </sheetPr>
  <dimension ref="A1:S22"/>
  <sheetViews>
    <sheetView workbookViewId="0">
      <pane xSplit="2" ySplit="7" topLeftCell="C8" activePane="bottomRight" state="frozen"/>
      <selection activeCell="B2" sqref="B2:C2"/>
      <selection pane="topRight" activeCell="B2" sqref="B2:C2"/>
      <selection pane="bottomLeft" activeCell="B2" sqref="B2:C2"/>
      <selection pane="bottomRight" activeCell="C8" sqref="C8"/>
    </sheetView>
  </sheetViews>
  <sheetFormatPr defaultColWidth="9.140625" defaultRowHeight="12.75"/>
  <cols>
    <col min="1" max="1" width="10.5703125" style="2" bestFit="1" customWidth="1"/>
    <col min="2" max="2" width="95" style="2" customWidth="1"/>
    <col min="3" max="18" width="12.140625" style="2" customWidth="1"/>
    <col min="19" max="19" width="26" style="2" customWidth="1"/>
    <col min="20" max="16384" width="9.140625" style="13"/>
  </cols>
  <sheetData>
    <row r="1" spans="1:19">
      <c r="A1" s="2" t="s">
        <v>188</v>
      </c>
      <c r="B1" s="345" t="str">
        <f>Info!C2</f>
        <v>სს "ბანკი ქართუ"</v>
      </c>
    </row>
    <row r="2" spans="1:19">
      <c r="A2" s="2" t="s">
        <v>189</v>
      </c>
      <c r="B2" s="472">
        <f>'1. key ratios'!B2</f>
        <v>44286</v>
      </c>
    </row>
    <row r="4" spans="1:19" ht="39" thickBot="1">
      <c r="A4" s="69" t="s">
        <v>415</v>
      </c>
      <c r="B4" s="316" t="s">
        <v>458</v>
      </c>
    </row>
    <row r="5" spans="1:19">
      <c r="A5" s="132"/>
      <c r="B5" s="134"/>
      <c r="C5" s="118" t="s">
        <v>0</v>
      </c>
      <c r="D5" s="118" t="s">
        <v>1</v>
      </c>
      <c r="E5" s="118" t="s">
        <v>2</v>
      </c>
      <c r="F5" s="118" t="s">
        <v>3</v>
      </c>
      <c r="G5" s="118" t="s">
        <v>4</v>
      </c>
      <c r="H5" s="118" t="s">
        <v>5</v>
      </c>
      <c r="I5" s="118" t="s">
        <v>238</v>
      </c>
      <c r="J5" s="118" t="s">
        <v>239</v>
      </c>
      <c r="K5" s="118" t="s">
        <v>240</v>
      </c>
      <c r="L5" s="118" t="s">
        <v>241</v>
      </c>
      <c r="M5" s="118" t="s">
        <v>242</v>
      </c>
      <c r="N5" s="118" t="s">
        <v>243</v>
      </c>
      <c r="O5" s="118" t="s">
        <v>445</v>
      </c>
      <c r="P5" s="118" t="s">
        <v>446</v>
      </c>
      <c r="Q5" s="118" t="s">
        <v>447</v>
      </c>
      <c r="R5" s="307" t="s">
        <v>448</v>
      </c>
      <c r="S5" s="119" t="s">
        <v>449</v>
      </c>
    </row>
    <row r="6" spans="1:19" ht="52.5" customHeight="1">
      <c r="A6" s="157"/>
      <c r="B6" s="571" t="s">
        <v>450</v>
      </c>
      <c r="C6" s="569">
        <v>0</v>
      </c>
      <c r="D6" s="570"/>
      <c r="E6" s="569">
        <v>0.2</v>
      </c>
      <c r="F6" s="570"/>
      <c r="G6" s="569">
        <v>0.35</v>
      </c>
      <c r="H6" s="570"/>
      <c r="I6" s="569">
        <v>0.5</v>
      </c>
      <c r="J6" s="570"/>
      <c r="K6" s="569">
        <v>0.75</v>
      </c>
      <c r="L6" s="570"/>
      <c r="M6" s="569">
        <v>1</v>
      </c>
      <c r="N6" s="570"/>
      <c r="O6" s="569">
        <v>1.5</v>
      </c>
      <c r="P6" s="570"/>
      <c r="Q6" s="569">
        <v>2.5</v>
      </c>
      <c r="R6" s="570"/>
      <c r="S6" s="567" t="s">
        <v>251</v>
      </c>
    </row>
    <row r="7" spans="1:19">
      <c r="A7" s="157"/>
      <c r="B7" s="572"/>
      <c r="C7" s="315" t="s">
        <v>443</v>
      </c>
      <c r="D7" s="315" t="s">
        <v>444</v>
      </c>
      <c r="E7" s="315" t="s">
        <v>443</v>
      </c>
      <c r="F7" s="315" t="s">
        <v>444</v>
      </c>
      <c r="G7" s="315" t="s">
        <v>443</v>
      </c>
      <c r="H7" s="315" t="s">
        <v>444</v>
      </c>
      <c r="I7" s="315" t="s">
        <v>443</v>
      </c>
      <c r="J7" s="315" t="s">
        <v>444</v>
      </c>
      <c r="K7" s="315" t="s">
        <v>443</v>
      </c>
      <c r="L7" s="315" t="s">
        <v>444</v>
      </c>
      <c r="M7" s="315" t="s">
        <v>443</v>
      </c>
      <c r="N7" s="315" t="s">
        <v>444</v>
      </c>
      <c r="O7" s="315" t="s">
        <v>443</v>
      </c>
      <c r="P7" s="315" t="s">
        <v>444</v>
      </c>
      <c r="Q7" s="315" t="s">
        <v>443</v>
      </c>
      <c r="R7" s="315" t="s">
        <v>444</v>
      </c>
      <c r="S7" s="568"/>
    </row>
    <row r="8" spans="1:19" s="161" customFormat="1">
      <c r="A8" s="122">
        <v>1</v>
      </c>
      <c r="B8" s="179" t="s">
        <v>216</v>
      </c>
      <c r="C8" s="289">
        <v>41144178</v>
      </c>
      <c r="D8" s="289"/>
      <c r="E8" s="289"/>
      <c r="F8" s="308"/>
      <c r="G8" s="289"/>
      <c r="H8" s="289"/>
      <c r="I8" s="289"/>
      <c r="J8" s="289"/>
      <c r="K8" s="289"/>
      <c r="L8" s="289"/>
      <c r="M8" s="289">
        <v>220212777</v>
      </c>
      <c r="N8" s="289"/>
      <c r="O8" s="289"/>
      <c r="P8" s="289"/>
      <c r="Q8" s="289"/>
      <c r="R8" s="308"/>
      <c r="S8" s="321">
        <f>$C$6*SUM(C8:D8)+$E$6*SUM(E8:F8)+$G$6*SUM(G8:H8)+$I$6*SUM(I8:J8)+$K$6*SUM(K8:L8)+$M$6*SUM(M8:N8)+$O$6*SUM(O8:P8)+$Q$6*SUM(Q8:R8)</f>
        <v>220212777</v>
      </c>
    </row>
    <row r="9" spans="1:19" s="161" customFormat="1">
      <c r="A9" s="122">
        <v>2</v>
      </c>
      <c r="B9" s="179" t="s">
        <v>217</v>
      </c>
      <c r="C9" s="289"/>
      <c r="D9" s="289"/>
      <c r="E9" s="289"/>
      <c r="F9" s="289"/>
      <c r="G9" s="289"/>
      <c r="H9" s="289"/>
      <c r="I9" s="289"/>
      <c r="J9" s="289"/>
      <c r="K9" s="289"/>
      <c r="L9" s="289"/>
      <c r="M9" s="289">
        <v>0</v>
      </c>
      <c r="N9" s="289"/>
      <c r="O9" s="289"/>
      <c r="P9" s="289"/>
      <c r="Q9" s="289"/>
      <c r="R9" s="308"/>
      <c r="S9" s="321">
        <f t="shared" ref="S9:S21" si="0">$C$6*SUM(C9:D9)+$E$6*SUM(E9:F9)+$G$6*SUM(G9:H9)+$I$6*SUM(I9:J9)+$K$6*SUM(K9:L9)+$M$6*SUM(M9:N9)+$O$6*SUM(O9:P9)+$Q$6*SUM(Q9:R9)</f>
        <v>0</v>
      </c>
    </row>
    <row r="10" spans="1:19" s="161" customFormat="1">
      <c r="A10" s="122">
        <v>3</v>
      </c>
      <c r="B10" s="179" t="s">
        <v>218</v>
      </c>
      <c r="C10" s="289"/>
      <c r="D10" s="289"/>
      <c r="E10" s="289"/>
      <c r="F10" s="289"/>
      <c r="G10" s="289"/>
      <c r="H10" s="289"/>
      <c r="I10" s="289"/>
      <c r="J10" s="289"/>
      <c r="K10" s="289"/>
      <c r="L10" s="289"/>
      <c r="M10" s="289">
        <v>0</v>
      </c>
      <c r="N10" s="289"/>
      <c r="O10" s="289"/>
      <c r="P10" s="289"/>
      <c r="Q10" s="289"/>
      <c r="R10" s="308"/>
      <c r="S10" s="321">
        <f t="shared" si="0"/>
        <v>0</v>
      </c>
    </row>
    <row r="11" spans="1:19" s="161" customFormat="1">
      <c r="A11" s="122">
        <v>4</v>
      </c>
      <c r="B11" s="179" t="s">
        <v>219</v>
      </c>
      <c r="C11" s="289"/>
      <c r="D11" s="289"/>
      <c r="E11" s="289"/>
      <c r="F11" s="289"/>
      <c r="G11" s="289"/>
      <c r="H11" s="289"/>
      <c r="I11" s="289"/>
      <c r="J11" s="289"/>
      <c r="K11" s="289"/>
      <c r="L11" s="289"/>
      <c r="M11" s="289">
        <v>0</v>
      </c>
      <c r="N11" s="289"/>
      <c r="O11" s="289"/>
      <c r="P11" s="289"/>
      <c r="Q11" s="289"/>
      <c r="R11" s="308"/>
      <c r="S11" s="321">
        <f t="shared" si="0"/>
        <v>0</v>
      </c>
    </row>
    <row r="12" spans="1:19" s="161" customFormat="1">
      <c r="A12" s="122">
        <v>5</v>
      </c>
      <c r="B12" s="179" t="s">
        <v>220</v>
      </c>
      <c r="C12" s="289"/>
      <c r="D12" s="289"/>
      <c r="E12" s="289"/>
      <c r="F12" s="289"/>
      <c r="G12" s="289"/>
      <c r="H12" s="289"/>
      <c r="I12" s="289"/>
      <c r="J12" s="289"/>
      <c r="K12" s="289"/>
      <c r="L12" s="289"/>
      <c r="M12" s="289">
        <v>0</v>
      </c>
      <c r="N12" s="289"/>
      <c r="O12" s="289"/>
      <c r="P12" s="289"/>
      <c r="Q12" s="289"/>
      <c r="R12" s="308"/>
      <c r="S12" s="321">
        <f t="shared" si="0"/>
        <v>0</v>
      </c>
    </row>
    <row r="13" spans="1:19" s="161" customFormat="1">
      <c r="A13" s="122">
        <v>6</v>
      </c>
      <c r="B13" s="179" t="s">
        <v>221</v>
      </c>
      <c r="C13" s="289">
        <v>0</v>
      </c>
      <c r="D13" s="289"/>
      <c r="E13" s="289">
        <v>98130078.969999999</v>
      </c>
      <c r="F13" s="289"/>
      <c r="G13" s="289"/>
      <c r="H13" s="289"/>
      <c r="I13" s="289">
        <v>20419263.739999998</v>
      </c>
      <c r="J13" s="289"/>
      <c r="K13" s="289"/>
      <c r="L13" s="289"/>
      <c r="M13" s="289">
        <v>158280.29000000283</v>
      </c>
      <c r="N13" s="289"/>
      <c r="O13" s="289">
        <v>0</v>
      </c>
      <c r="P13" s="289"/>
      <c r="Q13" s="289"/>
      <c r="R13" s="308"/>
      <c r="S13" s="321">
        <f t="shared" si="0"/>
        <v>29993927.954</v>
      </c>
    </row>
    <row r="14" spans="1:19" s="161" customFormat="1">
      <c r="A14" s="122">
        <v>7</v>
      </c>
      <c r="B14" s="179" t="s">
        <v>73</v>
      </c>
      <c r="C14" s="289"/>
      <c r="D14" s="289"/>
      <c r="E14" s="289"/>
      <c r="F14" s="289"/>
      <c r="G14" s="289"/>
      <c r="H14" s="289"/>
      <c r="I14" s="289"/>
      <c r="J14" s="289"/>
      <c r="K14" s="289"/>
      <c r="L14" s="289"/>
      <c r="M14" s="289">
        <v>730228434.6721952</v>
      </c>
      <c r="N14" s="289">
        <v>32211107.027690068</v>
      </c>
      <c r="O14" s="289">
        <v>58338207.849787995</v>
      </c>
      <c r="P14" s="289"/>
      <c r="Q14" s="289">
        <v>0</v>
      </c>
      <c r="R14" s="308">
        <v>0</v>
      </c>
      <c r="S14" s="321">
        <f t="shared" si="0"/>
        <v>849946853.47456717</v>
      </c>
    </row>
    <row r="15" spans="1:19" s="161" customFormat="1">
      <c r="A15" s="122">
        <v>8</v>
      </c>
      <c r="B15" s="179" t="s">
        <v>74</v>
      </c>
      <c r="C15" s="289"/>
      <c r="D15" s="289"/>
      <c r="E15" s="289"/>
      <c r="F15" s="289"/>
      <c r="G15" s="289"/>
      <c r="H15" s="289"/>
      <c r="I15" s="289"/>
      <c r="J15" s="289"/>
      <c r="K15" s="289"/>
      <c r="L15" s="289"/>
      <c r="M15" s="289"/>
      <c r="N15" s="289"/>
      <c r="O15" s="289"/>
      <c r="P15" s="289"/>
      <c r="Q15" s="289"/>
      <c r="R15" s="308"/>
      <c r="S15" s="321">
        <f t="shared" si="0"/>
        <v>0</v>
      </c>
    </row>
    <row r="16" spans="1:19" s="161" customFormat="1">
      <c r="A16" s="122">
        <v>9</v>
      </c>
      <c r="B16" s="179" t="s">
        <v>75</v>
      </c>
      <c r="C16" s="289"/>
      <c r="D16" s="289"/>
      <c r="E16" s="289"/>
      <c r="F16" s="289"/>
      <c r="G16" s="289"/>
      <c r="H16" s="289"/>
      <c r="I16" s="289"/>
      <c r="J16" s="289"/>
      <c r="K16" s="289"/>
      <c r="L16" s="289"/>
      <c r="M16" s="289">
        <v>0</v>
      </c>
      <c r="N16" s="289"/>
      <c r="O16" s="289"/>
      <c r="P16" s="289"/>
      <c r="Q16" s="289"/>
      <c r="R16" s="308"/>
      <c r="S16" s="321">
        <f t="shared" si="0"/>
        <v>0</v>
      </c>
    </row>
    <row r="17" spans="1:19" s="161" customFormat="1">
      <c r="A17" s="122">
        <v>10</v>
      </c>
      <c r="B17" s="179" t="s">
        <v>69</v>
      </c>
      <c r="C17" s="289"/>
      <c r="D17" s="289"/>
      <c r="E17" s="289"/>
      <c r="F17" s="289"/>
      <c r="G17" s="289"/>
      <c r="H17" s="289"/>
      <c r="I17" s="289"/>
      <c r="J17" s="289"/>
      <c r="K17" s="289"/>
      <c r="L17" s="289"/>
      <c r="M17" s="289">
        <v>171275728.14919388</v>
      </c>
      <c r="N17" s="289">
        <v>346619.56999999285</v>
      </c>
      <c r="O17" s="289">
        <v>0</v>
      </c>
      <c r="P17" s="289"/>
      <c r="Q17" s="289">
        <v>0</v>
      </c>
      <c r="R17" s="308"/>
      <c r="S17" s="321">
        <f t="shared" si="0"/>
        <v>171622347.71919388</v>
      </c>
    </row>
    <row r="18" spans="1:19" s="161" customFormat="1">
      <c r="A18" s="122">
        <v>11</v>
      </c>
      <c r="B18" s="179" t="s">
        <v>70</v>
      </c>
      <c r="C18" s="289"/>
      <c r="D18" s="289"/>
      <c r="E18" s="289"/>
      <c r="F18" s="289"/>
      <c r="G18" s="289"/>
      <c r="H18" s="289"/>
      <c r="I18" s="289"/>
      <c r="J18" s="289"/>
      <c r="K18" s="289"/>
      <c r="L18" s="289"/>
      <c r="M18" s="289">
        <v>0</v>
      </c>
      <c r="N18" s="289"/>
      <c r="O18" s="289"/>
      <c r="P18" s="289"/>
      <c r="Q18" s="289"/>
      <c r="R18" s="308"/>
      <c r="S18" s="321">
        <f t="shared" si="0"/>
        <v>0</v>
      </c>
    </row>
    <row r="19" spans="1:19" s="161" customFormat="1">
      <c r="A19" s="122">
        <v>12</v>
      </c>
      <c r="B19" s="179" t="s">
        <v>71</v>
      </c>
      <c r="C19" s="289"/>
      <c r="D19" s="289"/>
      <c r="E19" s="289"/>
      <c r="F19" s="289"/>
      <c r="G19" s="289"/>
      <c r="H19" s="289"/>
      <c r="I19" s="289"/>
      <c r="J19" s="289"/>
      <c r="K19" s="289"/>
      <c r="L19" s="289"/>
      <c r="M19" s="289">
        <v>0</v>
      </c>
      <c r="N19" s="289"/>
      <c r="O19" s="289"/>
      <c r="P19" s="289"/>
      <c r="Q19" s="289"/>
      <c r="R19" s="308"/>
      <c r="S19" s="321">
        <f t="shared" si="0"/>
        <v>0</v>
      </c>
    </row>
    <row r="20" spans="1:19" s="161" customFormat="1">
      <c r="A20" s="122">
        <v>13</v>
      </c>
      <c r="B20" s="179" t="s">
        <v>72</v>
      </c>
      <c r="C20" s="289"/>
      <c r="D20" s="289"/>
      <c r="E20" s="289"/>
      <c r="F20" s="289"/>
      <c r="G20" s="289"/>
      <c r="H20" s="289"/>
      <c r="I20" s="289"/>
      <c r="J20" s="289"/>
      <c r="K20" s="289"/>
      <c r="L20" s="289"/>
      <c r="M20" s="289">
        <v>0</v>
      </c>
      <c r="N20" s="289"/>
      <c r="O20" s="289"/>
      <c r="P20" s="289"/>
      <c r="Q20" s="289"/>
      <c r="R20" s="308"/>
      <c r="S20" s="321">
        <f t="shared" si="0"/>
        <v>0</v>
      </c>
    </row>
    <row r="21" spans="1:19" s="161" customFormat="1">
      <c r="A21" s="122">
        <v>14</v>
      </c>
      <c r="B21" s="179" t="s">
        <v>249</v>
      </c>
      <c r="C21" s="289">
        <v>39935773</v>
      </c>
      <c r="D21" s="289"/>
      <c r="E21" s="289">
        <v>0</v>
      </c>
      <c r="F21" s="289"/>
      <c r="G21" s="289"/>
      <c r="H21" s="289">
        <v>0</v>
      </c>
      <c r="I21" s="289">
        <v>0</v>
      </c>
      <c r="J21" s="289"/>
      <c r="K21" s="289"/>
      <c r="L21" s="289"/>
      <c r="M21" s="289">
        <v>59676133.896190979</v>
      </c>
      <c r="N21" s="289">
        <v>703033.46464999975</v>
      </c>
      <c r="O21" s="289">
        <v>0</v>
      </c>
      <c r="P21" s="289"/>
      <c r="Q21" s="289">
        <v>17430576.322999999</v>
      </c>
      <c r="R21" s="308"/>
      <c r="S21" s="321">
        <f t="shared" si="0"/>
        <v>103955608.16834098</v>
      </c>
    </row>
    <row r="22" spans="1:19" ht="13.5" thickBot="1">
      <c r="A22" s="104"/>
      <c r="B22" s="163" t="s">
        <v>68</v>
      </c>
      <c r="C22" s="290">
        <f>SUM(C8:C21)</f>
        <v>81079951</v>
      </c>
      <c r="D22" s="290">
        <f t="shared" ref="D22:S22" si="1">SUM(D8:D21)</f>
        <v>0</v>
      </c>
      <c r="E22" s="290">
        <f t="shared" si="1"/>
        <v>98130078.969999999</v>
      </c>
      <c r="F22" s="290">
        <f t="shared" si="1"/>
        <v>0</v>
      </c>
      <c r="G22" s="290">
        <f t="shared" si="1"/>
        <v>0</v>
      </c>
      <c r="H22" s="290">
        <f t="shared" si="1"/>
        <v>0</v>
      </c>
      <c r="I22" s="290">
        <f t="shared" si="1"/>
        <v>20419263.739999998</v>
      </c>
      <c r="J22" s="290">
        <f t="shared" si="1"/>
        <v>0</v>
      </c>
      <c r="K22" s="290">
        <f t="shared" si="1"/>
        <v>0</v>
      </c>
      <c r="L22" s="290">
        <f t="shared" si="1"/>
        <v>0</v>
      </c>
      <c r="M22" s="290">
        <f t="shared" si="1"/>
        <v>1181551354.00758</v>
      </c>
      <c r="N22" s="290">
        <f t="shared" si="1"/>
        <v>33260760.062340062</v>
      </c>
      <c r="O22" s="290">
        <f t="shared" si="1"/>
        <v>58338207.849787995</v>
      </c>
      <c r="P22" s="290">
        <f t="shared" si="1"/>
        <v>0</v>
      </c>
      <c r="Q22" s="290">
        <f t="shared" si="1"/>
        <v>17430576.322999999</v>
      </c>
      <c r="R22" s="290">
        <f t="shared" si="1"/>
        <v>0</v>
      </c>
      <c r="S22" s="527">
        <f t="shared" si="1"/>
        <v>1375731514.316102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tint="-9.9978637043366805E-2"/>
  </sheetPr>
  <dimension ref="A1:V28"/>
  <sheetViews>
    <sheetView workbookViewId="0">
      <pane xSplit="2" ySplit="6" topLeftCell="T16" activePane="bottomRight" state="frozen"/>
      <selection activeCell="B2" sqref="B2:C2"/>
      <selection pane="topRight" activeCell="B2" sqref="B2:C2"/>
      <selection pane="bottomLeft" activeCell="B2" sqref="B2:C2"/>
      <selection pane="bottomRight" activeCell="V21" sqref="V21"/>
    </sheetView>
  </sheetViews>
  <sheetFormatPr defaultColWidth="9.140625" defaultRowHeight="12.75"/>
  <cols>
    <col min="1" max="1" width="10.5703125" style="2" bestFit="1" customWidth="1"/>
    <col min="2" max="2" width="94.1406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188</v>
      </c>
      <c r="B1" s="345" t="str">
        <f>Info!C2</f>
        <v>სს "ბანკი ქართუ"</v>
      </c>
    </row>
    <row r="2" spans="1:22">
      <c r="A2" s="2" t="s">
        <v>189</v>
      </c>
      <c r="B2" s="472">
        <f>'1. key ratios'!B2</f>
        <v>44286</v>
      </c>
    </row>
    <row r="4" spans="1:22" ht="27.75" thickBot="1">
      <c r="A4" s="2" t="s">
        <v>416</v>
      </c>
      <c r="B4" s="317" t="s">
        <v>459</v>
      </c>
      <c r="V4" s="204" t="s">
        <v>93</v>
      </c>
    </row>
    <row r="5" spans="1:22">
      <c r="A5" s="102"/>
      <c r="B5" s="103"/>
      <c r="C5" s="573" t="s">
        <v>198</v>
      </c>
      <c r="D5" s="574"/>
      <c r="E5" s="574"/>
      <c r="F5" s="574"/>
      <c r="G5" s="574"/>
      <c r="H5" s="574"/>
      <c r="I5" s="574"/>
      <c r="J5" s="574"/>
      <c r="K5" s="574"/>
      <c r="L5" s="575"/>
      <c r="M5" s="573" t="s">
        <v>199</v>
      </c>
      <c r="N5" s="574"/>
      <c r="O5" s="574"/>
      <c r="P5" s="574"/>
      <c r="Q5" s="574"/>
      <c r="R5" s="574"/>
      <c r="S5" s="575"/>
      <c r="T5" s="578" t="s">
        <v>457</v>
      </c>
      <c r="U5" s="578" t="s">
        <v>456</v>
      </c>
      <c r="V5" s="576" t="s">
        <v>200</v>
      </c>
    </row>
    <row r="6" spans="1:22" s="69" customFormat="1" ht="140.25">
      <c r="A6" s="120"/>
      <c r="B6" s="181"/>
      <c r="C6" s="100" t="s">
        <v>201</v>
      </c>
      <c r="D6" s="99" t="s">
        <v>202</v>
      </c>
      <c r="E6" s="96" t="s">
        <v>203</v>
      </c>
      <c r="F6" s="318" t="s">
        <v>451</v>
      </c>
      <c r="G6" s="99" t="s">
        <v>204</v>
      </c>
      <c r="H6" s="99" t="s">
        <v>205</v>
      </c>
      <c r="I6" s="99" t="s">
        <v>206</v>
      </c>
      <c r="J6" s="99" t="s">
        <v>248</v>
      </c>
      <c r="K6" s="99" t="s">
        <v>207</v>
      </c>
      <c r="L6" s="101" t="s">
        <v>208</v>
      </c>
      <c r="M6" s="100" t="s">
        <v>209</v>
      </c>
      <c r="N6" s="99" t="s">
        <v>210</v>
      </c>
      <c r="O6" s="99" t="s">
        <v>211</v>
      </c>
      <c r="P6" s="99" t="s">
        <v>212</v>
      </c>
      <c r="Q6" s="99" t="s">
        <v>213</v>
      </c>
      <c r="R6" s="99" t="s">
        <v>214</v>
      </c>
      <c r="S6" s="101" t="s">
        <v>215</v>
      </c>
      <c r="T6" s="579"/>
      <c r="U6" s="579"/>
      <c r="V6" s="577"/>
    </row>
    <row r="7" spans="1:22" s="161" customFormat="1">
      <c r="A7" s="162">
        <v>1</v>
      </c>
      <c r="B7" s="160" t="s">
        <v>216</v>
      </c>
      <c r="C7" s="291"/>
      <c r="D7" s="289"/>
      <c r="E7" s="289"/>
      <c r="F7" s="289"/>
      <c r="G7" s="289"/>
      <c r="H7" s="289"/>
      <c r="I7" s="289"/>
      <c r="J7" s="289"/>
      <c r="K7" s="289"/>
      <c r="L7" s="292"/>
      <c r="M7" s="291"/>
      <c r="N7" s="289"/>
      <c r="O7" s="289"/>
      <c r="P7" s="289"/>
      <c r="Q7" s="289"/>
      <c r="R7" s="289"/>
      <c r="S7" s="292"/>
      <c r="T7" s="312"/>
      <c r="U7" s="311"/>
      <c r="V7" s="293">
        <f>SUM(C7:S7)</f>
        <v>0</v>
      </c>
    </row>
    <row r="8" spans="1:22" s="161" customFormat="1">
      <c r="A8" s="162">
        <v>2</v>
      </c>
      <c r="B8" s="160" t="s">
        <v>217</v>
      </c>
      <c r="C8" s="291"/>
      <c r="D8" s="289"/>
      <c r="E8" s="289"/>
      <c r="F8" s="289"/>
      <c r="G8" s="289"/>
      <c r="H8" s="289"/>
      <c r="I8" s="289"/>
      <c r="J8" s="289"/>
      <c r="K8" s="289"/>
      <c r="L8" s="292"/>
      <c r="M8" s="291"/>
      <c r="N8" s="289"/>
      <c r="O8" s="289"/>
      <c r="P8" s="289"/>
      <c r="Q8" s="289"/>
      <c r="R8" s="289"/>
      <c r="S8" s="292"/>
      <c r="T8" s="311"/>
      <c r="U8" s="311"/>
      <c r="V8" s="293">
        <f t="shared" ref="V8:V20" si="0">SUM(C8:S8)</f>
        <v>0</v>
      </c>
    </row>
    <row r="9" spans="1:22" s="161" customFormat="1">
      <c r="A9" s="162">
        <v>3</v>
      </c>
      <c r="B9" s="160" t="s">
        <v>218</v>
      </c>
      <c r="C9" s="291"/>
      <c r="D9" s="289"/>
      <c r="E9" s="289"/>
      <c r="F9" s="289"/>
      <c r="G9" s="289"/>
      <c r="H9" s="289"/>
      <c r="I9" s="289"/>
      <c r="J9" s="289"/>
      <c r="K9" s="289"/>
      <c r="L9" s="292"/>
      <c r="M9" s="291"/>
      <c r="N9" s="289"/>
      <c r="O9" s="289"/>
      <c r="P9" s="289"/>
      <c r="Q9" s="289"/>
      <c r="R9" s="289"/>
      <c r="S9" s="292"/>
      <c r="T9" s="311"/>
      <c r="U9" s="311"/>
      <c r="V9" s="293">
        <f>SUM(C9:S9)</f>
        <v>0</v>
      </c>
    </row>
    <row r="10" spans="1:22" s="161" customFormat="1">
      <c r="A10" s="162">
        <v>4</v>
      </c>
      <c r="B10" s="160" t="s">
        <v>219</v>
      </c>
      <c r="C10" s="291"/>
      <c r="D10" s="289"/>
      <c r="E10" s="289"/>
      <c r="F10" s="289"/>
      <c r="G10" s="289"/>
      <c r="H10" s="289"/>
      <c r="I10" s="289"/>
      <c r="J10" s="289"/>
      <c r="K10" s="289"/>
      <c r="L10" s="292"/>
      <c r="M10" s="291"/>
      <c r="N10" s="289"/>
      <c r="O10" s="289"/>
      <c r="P10" s="289"/>
      <c r="Q10" s="289"/>
      <c r="R10" s="289"/>
      <c r="S10" s="292"/>
      <c r="T10" s="311"/>
      <c r="U10" s="311"/>
      <c r="V10" s="293">
        <f t="shared" si="0"/>
        <v>0</v>
      </c>
    </row>
    <row r="11" spans="1:22" s="161" customFormat="1">
      <c r="A11" s="162">
        <v>5</v>
      </c>
      <c r="B11" s="160" t="s">
        <v>220</v>
      </c>
      <c r="C11" s="291"/>
      <c r="D11" s="289"/>
      <c r="E11" s="289"/>
      <c r="F11" s="289"/>
      <c r="G11" s="289"/>
      <c r="H11" s="289"/>
      <c r="I11" s="289"/>
      <c r="J11" s="289"/>
      <c r="K11" s="289"/>
      <c r="L11" s="292"/>
      <c r="M11" s="291"/>
      <c r="N11" s="289"/>
      <c r="O11" s="289"/>
      <c r="P11" s="289"/>
      <c r="Q11" s="289"/>
      <c r="R11" s="289"/>
      <c r="S11" s="292"/>
      <c r="T11" s="311"/>
      <c r="U11" s="311"/>
      <c r="V11" s="293">
        <f t="shared" si="0"/>
        <v>0</v>
      </c>
    </row>
    <row r="12" spans="1:22" s="161" customFormat="1">
      <c r="A12" s="162">
        <v>6</v>
      </c>
      <c r="B12" s="160" t="s">
        <v>221</v>
      </c>
      <c r="C12" s="291"/>
      <c r="D12" s="289"/>
      <c r="E12" s="289"/>
      <c r="F12" s="289"/>
      <c r="G12" s="289"/>
      <c r="H12" s="289"/>
      <c r="I12" s="289"/>
      <c r="J12" s="289"/>
      <c r="K12" s="289"/>
      <c r="L12" s="292"/>
      <c r="M12" s="291"/>
      <c r="N12" s="289"/>
      <c r="O12" s="289"/>
      <c r="P12" s="289"/>
      <c r="Q12" s="289"/>
      <c r="R12" s="289"/>
      <c r="S12" s="292"/>
      <c r="T12" s="311"/>
      <c r="U12" s="311"/>
      <c r="V12" s="293">
        <f t="shared" si="0"/>
        <v>0</v>
      </c>
    </row>
    <row r="13" spans="1:22" s="161" customFormat="1">
      <c r="A13" s="162">
        <v>7</v>
      </c>
      <c r="B13" s="160" t="s">
        <v>73</v>
      </c>
      <c r="C13" s="291"/>
      <c r="D13" s="289">
        <v>31330754.538479049</v>
      </c>
      <c r="E13" s="289"/>
      <c r="F13" s="289"/>
      <c r="G13" s="289"/>
      <c r="H13" s="289"/>
      <c r="I13" s="289"/>
      <c r="J13" s="289"/>
      <c r="K13" s="289"/>
      <c r="L13" s="292"/>
      <c r="M13" s="291"/>
      <c r="N13" s="289"/>
      <c r="O13" s="289"/>
      <c r="P13" s="289"/>
      <c r="Q13" s="289"/>
      <c r="R13" s="289"/>
      <c r="S13" s="292"/>
      <c r="T13" s="311">
        <v>29480687.401730992</v>
      </c>
      <c r="U13" s="311">
        <v>1850067.1367480564</v>
      </c>
      <c r="V13" s="293">
        <f t="shared" si="0"/>
        <v>31330754.538479049</v>
      </c>
    </row>
    <row r="14" spans="1:22" s="161" customFormat="1">
      <c r="A14" s="162">
        <v>8</v>
      </c>
      <c r="B14" s="160" t="s">
        <v>74</v>
      </c>
      <c r="C14" s="291"/>
      <c r="D14" s="289"/>
      <c r="E14" s="289"/>
      <c r="F14" s="289"/>
      <c r="G14" s="289"/>
      <c r="H14" s="289"/>
      <c r="I14" s="289"/>
      <c r="J14" s="289"/>
      <c r="K14" s="289"/>
      <c r="L14" s="292"/>
      <c r="M14" s="291"/>
      <c r="N14" s="289"/>
      <c r="O14" s="289"/>
      <c r="P14" s="289"/>
      <c r="Q14" s="289"/>
      <c r="R14" s="289"/>
      <c r="S14" s="292"/>
      <c r="T14" s="311"/>
      <c r="U14" s="311"/>
      <c r="V14" s="293">
        <f t="shared" si="0"/>
        <v>0</v>
      </c>
    </row>
    <row r="15" spans="1:22" s="161" customFormat="1">
      <c r="A15" s="162">
        <v>9</v>
      </c>
      <c r="B15" s="160" t="s">
        <v>75</v>
      </c>
      <c r="C15" s="291"/>
      <c r="D15" s="289"/>
      <c r="E15" s="289"/>
      <c r="F15" s="289"/>
      <c r="G15" s="289"/>
      <c r="H15" s="289"/>
      <c r="I15" s="289"/>
      <c r="J15" s="289"/>
      <c r="K15" s="289"/>
      <c r="L15" s="292"/>
      <c r="M15" s="291"/>
      <c r="N15" s="289"/>
      <c r="O15" s="289"/>
      <c r="P15" s="289"/>
      <c r="Q15" s="289"/>
      <c r="R15" s="289"/>
      <c r="S15" s="292"/>
      <c r="T15" s="311"/>
      <c r="U15" s="311"/>
      <c r="V15" s="293">
        <f t="shared" si="0"/>
        <v>0</v>
      </c>
    </row>
    <row r="16" spans="1:22" s="161" customFormat="1">
      <c r="A16" s="162">
        <v>10</v>
      </c>
      <c r="B16" s="160" t="s">
        <v>69</v>
      </c>
      <c r="C16" s="291"/>
      <c r="D16" s="289">
        <v>8002.3533690995018</v>
      </c>
      <c r="E16" s="289"/>
      <c r="F16" s="289"/>
      <c r="G16" s="289"/>
      <c r="H16" s="289"/>
      <c r="I16" s="289"/>
      <c r="J16" s="289"/>
      <c r="K16" s="289"/>
      <c r="L16" s="292"/>
      <c r="M16" s="291"/>
      <c r="N16" s="289"/>
      <c r="O16" s="289"/>
      <c r="P16" s="289"/>
      <c r="Q16" s="289"/>
      <c r="R16" s="289"/>
      <c r="S16" s="292"/>
      <c r="T16" s="311">
        <v>8002.3533690995018</v>
      </c>
      <c r="U16" s="311"/>
      <c r="V16" s="293">
        <f t="shared" si="0"/>
        <v>8002.3533690995018</v>
      </c>
    </row>
    <row r="17" spans="1:22" s="161" customFormat="1">
      <c r="A17" s="162">
        <v>11</v>
      </c>
      <c r="B17" s="160" t="s">
        <v>70</v>
      </c>
      <c r="C17" s="291"/>
      <c r="D17" s="289"/>
      <c r="E17" s="289"/>
      <c r="F17" s="289"/>
      <c r="G17" s="289"/>
      <c r="H17" s="289"/>
      <c r="I17" s="289"/>
      <c r="J17" s="289"/>
      <c r="K17" s="289"/>
      <c r="L17" s="292"/>
      <c r="M17" s="291"/>
      <c r="N17" s="289"/>
      <c r="O17" s="289"/>
      <c r="P17" s="289"/>
      <c r="Q17" s="289"/>
      <c r="R17" s="289"/>
      <c r="S17" s="292"/>
      <c r="T17" s="311"/>
      <c r="U17" s="311"/>
      <c r="V17" s="293">
        <f t="shared" si="0"/>
        <v>0</v>
      </c>
    </row>
    <row r="18" spans="1:22" s="161" customFormat="1">
      <c r="A18" s="162">
        <v>12</v>
      </c>
      <c r="B18" s="160" t="s">
        <v>71</v>
      </c>
      <c r="C18" s="291"/>
      <c r="D18" s="289"/>
      <c r="E18" s="289"/>
      <c r="F18" s="289"/>
      <c r="G18" s="289"/>
      <c r="H18" s="289"/>
      <c r="I18" s="289"/>
      <c r="J18" s="289"/>
      <c r="K18" s="289"/>
      <c r="L18" s="292"/>
      <c r="M18" s="291"/>
      <c r="N18" s="289"/>
      <c r="O18" s="289"/>
      <c r="P18" s="289"/>
      <c r="Q18" s="289"/>
      <c r="R18" s="289"/>
      <c r="S18" s="292"/>
      <c r="T18" s="311"/>
      <c r="U18" s="311"/>
      <c r="V18" s="293">
        <f t="shared" si="0"/>
        <v>0</v>
      </c>
    </row>
    <row r="19" spans="1:22" s="161" customFormat="1">
      <c r="A19" s="162">
        <v>13</v>
      </c>
      <c r="B19" s="160" t="s">
        <v>72</v>
      </c>
      <c r="C19" s="291"/>
      <c r="D19" s="289"/>
      <c r="E19" s="289"/>
      <c r="F19" s="289"/>
      <c r="G19" s="289"/>
      <c r="H19" s="289"/>
      <c r="I19" s="289"/>
      <c r="J19" s="289"/>
      <c r="K19" s="289"/>
      <c r="L19" s="292"/>
      <c r="M19" s="291"/>
      <c r="N19" s="289"/>
      <c r="O19" s="289"/>
      <c r="P19" s="289"/>
      <c r="Q19" s="289"/>
      <c r="R19" s="289"/>
      <c r="S19" s="292"/>
      <c r="T19" s="311"/>
      <c r="U19" s="311"/>
      <c r="V19" s="293">
        <f t="shared" si="0"/>
        <v>0</v>
      </c>
    </row>
    <row r="20" spans="1:22" s="161" customFormat="1">
      <c r="A20" s="162">
        <v>14</v>
      </c>
      <c r="B20" s="160" t="s">
        <v>249</v>
      </c>
      <c r="C20" s="291"/>
      <c r="D20" s="289">
        <v>2511004.4310820969</v>
      </c>
      <c r="E20" s="289"/>
      <c r="F20" s="289"/>
      <c r="G20" s="289"/>
      <c r="H20" s="289"/>
      <c r="I20" s="289"/>
      <c r="J20" s="289"/>
      <c r="K20" s="289"/>
      <c r="L20" s="292"/>
      <c r="M20" s="291"/>
      <c r="N20" s="289"/>
      <c r="O20" s="289"/>
      <c r="P20" s="289"/>
      <c r="Q20" s="289"/>
      <c r="R20" s="289"/>
      <c r="S20" s="292"/>
      <c r="T20" s="311">
        <v>2510504.3060820969</v>
      </c>
      <c r="U20" s="311">
        <v>500.125</v>
      </c>
      <c r="V20" s="293">
        <f t="shared" si="0"/>
        <v>2511004.4310820969</v>
      </c>
    </row>
    <row r="21" spans="1:22" ht="13.5" thickBot="1">
      <c r="A21" s="104"/>
      <c r="B21" s="105" t="s">
        <v>68</v>
      </c>
      <c r="C21" s="294">
        <f>SUM(C7:C20)</f>
        <v>0</v>
      </c>
      <c r="D21" s="290">
        <f t="shared" ref="D21:V21" si="1">SUM(D7:D20)</f>
        <v>33849761.322930247</v>
      </c>
      <c r="E21" s="290">
        <f t="shared" si="1"/>
        <v>0</v>
      </c>
      <c r="F21" s="290">
        <f t="shared" si="1"/>
        <v>0</v>
      </c>
      <c r="G21" s="290">
        <f t="shared" si="1"/>
        <v>0</v>
      </c>
      <c r="H21" s="290">
        <f t="shared" si="1"/>
        <v>0</v>
      </c>
      <c r="I21" s="290">
        <f t="shared" si="1"/>
        <v>0</v>
      </c>
      <c r="J21" s="290">
        <f t="shared" si="1"/>
        <v>0</v>
      </c>
      <c r="K21" s="290">
        <f t="shared" si="1"/>
        <v>0</v>
      </c>
      <c r="L21" s="295">
        <f t="shared" si="1"/>
        <v>0</v>
      </c>
      <c r="M21" s="294">
        <f t="shared" si="1"/>
        <v>0</v>
      </c>
      <c r="N21" s="290">
        <f t="shared" si="1"/>
        <v>0</v>
      </c>
      <c r="O21" s="290">
        <f t="shared" si="1"/>
        <v>0</v>
      </c>
      <c r="P21" s="290">
        <f t="shared" si="1"/>
        <v>0</v>
      </c>
      <c r="Q21" s="290">
        <f t="shared" si="1"/>
        <v>0</v>
      </c>
      <c r="R21" s="290">
        <f t="shared" si="1"/>
        <v>0</v>
      </c>
      <c r="S21" s="295">
        <f t="shared" si="1"/>
        <v>0</v>
      </c>
      <c r="T21" s="295">
        <f>SUM(T7:T20)</f>
        <v>31999194.061182186</v>
      </c>
      <c r="U21" s="295">
        <f t="shared" si="1"/>
        <v>1850567.2617480564</v>
      </c>
      <c r="V21" s="296">
        <f t="shared" si="1"/>
        <v>33849761.322930247</v>
      </c>
    </row>
    <row r="24" spans="1:22">
      <c r="A24" s="19"/>
      <c r="B24" s="19"/>
      <c r="C24" s="73"/>
      <c r="D24" s="73"/>
      <c r="E24" s="73"/>
    </row>
    <row r="25" spans="1:22">
      <c r="A25" s="97"/>
      <c r="B25" s="97"/>
      <c r="C25" s="19"/>
      <c r="D25" s="73"/>
      <c r="E25" s="73"/>
    </row>
    <row r="26" spans="1:22">
      <c r="A26" s="97"/>
      <c r="B26" s="98"/>
      <c r="C26" s="19"/>
      <c r="D26" s="73"/>
      <c r="E26" s="73"/>
    </row>
    <row r="27" spans="1:22">
      <c r="A27" s="97"/>
      <c r="B27" s="97"/>
      <c r="C27" s="19"/>
      <c r="D27" s="73"/>
      <c r="E27" s="73"/>
    </row>
    <row r="28" spans="1:22">
      <c r="A28" s="97"/>
      <c r="B28" s="98"/>
      <c r="C28" s="19"/>
      <c r="D28" s="73"/>
      <c r="E28" s="7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tint="-9.9978637043366805E-2"/>
  </sheetPr>
  <dimension ref="A1:I28"/>
  <sheetViews>
    <sheetView zoomScaleNormal="100" workbookViewId="0">
      <pane xSplit="1" ySplit="7" topLeftCell="B8" activePane="bottomRight" state="frozen"/>
      <selection activeCell="B2" sqref="B2:C2"/>
      <selection pane="topRight" activeCell="B2" sqref="B2:C2"/>
      <selection pane="bottomLeft" activeCell="B2" sqref="B2:C2"/>
      <selection pane="bottomRight" activeCell="B8" sqref="B8"/>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188</v>
      </c>
      <c r="B1" s="345" t="str">
        <f>Info!C2</f>
        <v>სს "ბანკი ქართუ"</v>
      </c>
    </row>
    <row r="2" spans="1:9">
      <c r="A2" s="2" t="s">
        <v>189</v>
      </c>
      <c r="B2" s="472">
        <f>'1. key ratios'!B2</f>
        <v>44286</v>
      </c>
    </row>
    <row r="4" spans="1:9" ht="13.5" thickBot="1">
      <c r="A4" s="2" t="s">
        <v>417</v>
      </c>
      <c r="B4" s="314" t="s">
        <v>460</v>
      </c>
    </row>
    <row r="5" spans="1:9">
      <c r="A5" s="102"/>
      <c r="B5" s="158"/>
      <c r="C5" s="164" t="s">
        <v>0</v>
      </c>
      <c r="D5" s="164" t="s">
        <v>1</v>
      </c>
      <c r="E5" s="164" t="s">
        <v>2</v>
      </c>
      <c r="F5" s="164" t="s">
        <v>3</v>
      </c>
      <c r="G5" s="309" t="s">
        <v>4</v>
      </c>
      <c r="H5" s="165" t="s">
        <v>5</v>
      </c>
      <c r="I5" s="25"/>
    </row>
    <row r="6" spans="1:9" ht="15" customHeight="1">
      <c r="A6" s="157"/>
      <c r="B6" s="23"/>
      <c r="C6" s="580" t="s">
        <v>452</v>
      </c>
      <c r="D6" s="584" t="s">
        <v>473</v>
      </c>
      <c r="E6" s="585"/>
      <c r="F6" s="580" t="s">
        <v>479</v>
      </c>
      <c r="G6" s="580" t="s">
        <v>480</v>
      </c>
      <c r="H6" s="582" t="s">
        <v>454</v>
      </c>
      <c r="I6" s="25"/>
    </row>
    <row r="7" spans="1:9" ht="76.5">
      <c r="A7" s="157"/>
      <c r="B7" s="23"/>
      <c r="C7" s="581"/>
      <c r="D7" s="313" t="s">
        <v>455</v>
      </c>
      <c r="E7" s="313" t="s">
        <v>453</v>
      </c>
      <c r="F7" s="581"/>
      <c r="G7" s="581"/>
      <c r="H7" s="583"/>
      <c r="I7" s="25"/>
    </row>
    <row r="8" spans="1:9">
      <c r="A8" s="93">
        <v>1</v>
      </c>
      <c r="B8" s="75" t="s">
        <v>216</v>
      </c>
      <c r="C8" s="297">
        <v>261356955</v>
      </c>
      <c r="D8" s="298"/>
      <c r="E8" s="297"/>
      <c r="F8" s="297">
        <v>220212777</v>
      </c>
      <c r="G8" s="310">
        <v>220212777</v>
      </c>
      <c r="H8" s="319">
        <f>IFERROR(G8/(C8+E8),0)</f>
        <v>0.84257477288102012</v>
      </c>
    </row>
    <row r="9" spans="1:9" ht="15" customHeight="1">
      <c r="A9" s="93">
        <v>2</v>
      </c>
      <c r="B9" s="75" t="s">
        <v>217</v>
      </c>
      <c r="C9" s="297">
        <v>0</v>
      </c>
      <c r="D9" s="298"/>
      <c r="E9" s="297"/>
      <c r="F9" s="297">
        <v>0</v>
      </c>
      <c r="G9" s="310">
        <v>0</v>
      </c>
      <c r="H9" s="319">
        <f t="shared" ref="H9:H22" si="0">IFERROR(G9/(C9+E9),0)</f>
        <v>0</v>
      </c>
    </row>
    <row r="10" spans="1:9">
      <c r="A10" s="93">
        <v>3</v>
      </c>
      <c r="B10" s="75" t="s">
        <v>218</v>
      </c>
      <c r="C10" s="297">
        <v>0</v>
      </c>
      <c r="D10" s="298"/>
      <c r="E10" s="297"/>
      <c r="F10" s="297">
        <v>0</v>
      </c>
      <c r="G10" s="310">
        <v>0</v>
      </c>
      <c r="H10" s="319">
        <f t="shared" si="0"/>
        <v>0</v>
      </c>
    </row>
    <row r="11" spans="1:9">
      <c r="A11" s="93">
        <v>4</v>
      </c>
      <c r="B11" s="75" t="s">
        <v>219</v>
      </c>
      <c r="C11" s="297">
        <v>0</v>
      </c>
      <c r="D11" s="298"/>
      <c r="E11" s="297"/>
      <c r="F11" s="297">
        <v>0</v>
      </c>
      <c r="G11" s="310">
        <v>0</v>
      </c>
      <c r="H11" s="319">
        <f t="shared" si="0"/>
        <v>0</v>
      </c>
    </row>
    <row r="12" spans="1:9">
      <c r="A12" s="93">
        <v>5</v>
      </c>
      <c r="B12" s="75" t="s">
        <v>220</v>
      </c>
      <c r="C12" s="297">
        <v>0</v>
      </c>
      <c r="D12" s="298"/>
      <c r="E12" s="297"/>
      <c r="F12" s="297">
        <v>0</v>
      </c>
      <c r="G12" s="310">
        <v>0</v>
      </c>
      <c r="H12" s="319">
        <f t="shared" si="0"/>
        <v>0</v>
      </c>
    </row>
    <row r="13" spans="1:9">
      <c r="A13" s="93">
        <v>6</v>
      </c>
      <c r="B13" s="75" t="s">
        <v>221</v>
      </c>
      <c r="C13" s="297">
        <v>118707623</v>
      </c>
      <c r="D13" s="298"/>
      <c r="E13" s="297"/>
      <c r="F13" s="297">
        <v>29993927.954</v>
      </c>
      <c r="G13" s="310">
        <v>29993927.954</v>
      </c>
      <c r="H13" s="319">
        <f t="shared" si="0"/>
        <v>0.25267061369765614</v>
      </c>
    </row>
    <row r="14" spans="1:9">
      <c r="A14" s="93">
        <v>7</v>
      </c>
      <c r="B14" s="75" t="s">
        <v>73</v>
      </c>
      <c r="C14" s="297">
        <v>788566642.52198315</v>
      </c>
      <c r="D14" s="298">
        <v>71216985.590107352</v>
      </c>
      <c r="E14" s="297">
        <v>32211107.027690068</v>
      </c>
      <c r="F14" s="298">
        <v>849946853.47456717</v>
      </c>
      <c r="G14" s="357">
        <v>818616098.93608809</v>
      </c>
      <c r="H14" s="319">
        <f t="shared" si="0"/>
        <v>0.9973663386772228</v>
      </c>
    </row>
    <row r="15" spans="1:9">
      <c r="A15" s="93">
        <v>8</v>
      </c>
      <c r="B15" s="75" t="s">
        <v>74</v>
      </c>
      <c r="C15" s="297">
        <v>0</v>
      </c>
      <c r="D15" s="298"/>
      <c r="E15" s="297">
        <v>0</v>
      </c>
      <c r="F15" s="298">
        <v>0</v>
      </c>
      <c r="G15" s="357">
        <v>0</v>
      </c>
      <c r="H15" s="319">
        <f t="shared" si="0"/>
        <v>0</v>
      </c>
    </row>
    <row r="16" spans="1:9">
      <c r="A16" s="93">
        <v>9</v>
      </c>
      <c r="B16" s="75" t="s">
        <v>75</v>
      </c>
      <c r="C16" s="297">
        <v>0</v>
      </c>
      <c r="D16" s="298"/>
      <c r="E16" s="297">
        <v>0</v>
      </c>
      <c r="F16" s="298">
        <v>0</v>
      </c>
      <c r="G16" s="357">
        <v>0</v>
      </c>
      <c r="H16" s="319">
        <f t="shared" si="0"/>
        <v>0</v>
      </c>
    </row>
    <row r="17" spans="1:8">
      <c r="A17" s="93">
        <v>10</v>
      </c>
      <c r="B17" s="75" t="s">
        <v>69</v>
      </c>
      <c r="C17" s="297">
        <v>171275728.14919388</v>
      </c>
      <c r="D17" s="298">
        <v>608239.13999998569</v>
      </c>
      <c r="E17" s="297">
        <v>346619.56999999285</v>
      </c>
      <c r="F17" s="298">
        <v>171622347.71919388</v>
      </c>
      <c r="G17" s="357">
        <v>171614345.36582479</v>
      </c>
      <c r="H17" s="319">
        <f t="shared" si="0"/>
        <v>0.99995337231150005</v>
      </c>
    </row>
    <row r="18" spans="1:8">
      <c r="A18" s="93">
        <v>11</v>
      </c>
      <c r="B18" s="75" t="s">
        <v>70</v>
      </c>
      <c r="C18" s="297">
        <v>0</v>
      </c>
      <c r="D18" s="298"/>
      <c r="E18" s="297">
        <v>0</v>
      </c>
      <c r="F18" s="298">
        <v>0</v>
      </c>
      <c r="G18" s="357">
        <v>0</v>
      </c>
      <c r="H18" s="319">
        <f t="shared" si="0"/>
        <v>0</v>
      </c>
    </row>
    <row r="19" spans="1:8">
      <c r="A19" s="93">
        <v>12</v>
      </c>
      <c r="B19" s="75" t="s">
        <v>71</v>
      </c>
      <c r="C19" s="297">
        <v>0</v>
      </c>
      <c r="D19" s="298"/>
      <c r="E19" s="297">
        <v>0</v>
      </c>
      <c r="F19" s="298">
        <v>0</v>
      </c>
      <c r="G19" s="357">
        <v>0</v>
      </c>
      <c r="H19" s="319">
        <f t="shared" si="0"/>
        <v>0</v>
      </c>
    </row>
    <row r="20" spans="1:8">
      <c r="A20" s="93">
        <v>13</v>
      </c>
      <c r="B20" s="75" t="s">
        <v>72</v>
      </c>
      <c r="C20" s="297">
        <v>0</v>
      </c>
      <c r="D20" s="298"/>
      <c r="E20" s="297">
        <v>0</v>
      </c>
      <c r="F20" s="298">
        <v>0</v>
      </c>
      <c r="G20" s="357">
        <v>0</v>
      </c>
      <c r="H20" s="319">
        <f t="shared" si="0"/>
        <v>0</v>
      </c>
    </row>
    <row r="21" spans="1:8">
      <c r="A21" s="93">
        <v>14</v>
      </c>
      <c r="B21" s="75" t="s">
        <v>249</v>
      </c>
      <c r="C21" s="297">
        <v>117042483.21919097</v>
      </c>
      <c r="D21" s="298">
        <v>1406066.9292999995</v>
      </c>
      <c r="E21" s="297">
        <v>703033.46464999975</v>
      </c>
      <c r="F21" s="298">
        <v>103955608.16834098</v>
      </c>
      <c r="G21" s="357">
        <v>101444603.73725888</v>
      </c>
      <c r="H21" s="319">
        <f t="shared" si="0"/>
        <v>0.86155810084598172</v>
      </c>
    </row>
    <row r="22" spans="1:8" ht="13.5" thickBot="1">
      <c r="A22" s="159"/>
      <c r="B22" s="166" t="s">
        <v>68</v>
      </c>
      <c r="C22" s="290">
        <f>SUM(C8:C21)</f>
        <v>1456949431.890368</v>
      </c>
      <c r="D22" s="290">
        <f>SUM(D8:D21)</f>
        <v>73231291.659407333</v>
      </c>
      <c r="E22" s="290">
        <f>SUM(E8:E21)</f>
        <v>33260760.062340062</v>
      </c>
      <c r="F22" s="290">
        <f>SUM(F8:F21)</f>
        <v>1375731514.316102</v>
      </c>
      <c r="G22" s="290">
        <f>SUM(G8:G21)</f>
        <v>1341881752.9931717</v>
      </c>
      <c r="H22" s="320">
        <f t="shared" si="0"/>
        <v>0.90046475338812904</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tint="-9.9978637043366805E-2"/>
  </sheetPr>
  <dimension ref="A1:K28"/>
  <sheetViews>
    <sheetView zoomScale="90" zoomScaleNormal="90" workbookViewId="0">
      <pane xSplit="2" ySplit="6" topLeftCell="C7" activePane="bottomRight" state="frozen"/>
      <selection activeCell="B2" sqref="B2:C2"/>
      <selection pane="topRight" activeCell="B2" sqref="B2:C2"/>
      <selection pane="bottomLeft" activeCell="B2" sqref="B2:C2"/>
      <selection pane="bottomRight" activeCell="C7" sqref="C7"/>
    </sheetView>
  </sheetViews>
  <sheetFormatPr defaultColWidth="9.140625" defaultRowHeight="12.75"/>
  <cols>
    <col min="1" max="1" width="10.5703125" style="345" bestFit="1" customWidth="1"/>
    <col min="2" max="2" width="93.140625" style="345" customWidth="1"/>
    <col min="3" max="5" width="13.28515625" style="345" customWidth="1"/>
    <col min="6" max="11" width="12.7109375" style="345" customWidth="1"/>
    <col min="12" max="16384" width="9.140625" style="345"/>
  </cols>
  <sheetData>
    <row r="1" spans="1:11">
      <c r="A1" s="345" t="s">
        <v>188</v>
      </c>
      <c r="B1" s="345" t="str">
        <f>Info!C2</f>
        <v>სს "ბანკი ქართუ"</v>
      </c>
    </row>
    <row r="2" spans="1:11">
      <c r="A2" s="345" t="s">
        <v>189</v>
      </c>
      <c r="B2" s="472">
        <f>'1. key ratios'!B2</f>
        <v>44286</v>
      </c>
      <c r="C2" s="346"/>
      <c r="D2" s="346"/>
    </row>
    <row r="3" spans="1:11">
      <c r="B3" s="346"/>
      <c r="C3" s="346"/>
      <c r="D3" s="346"/>
    </row>
    <row r="4" spans="1:11" ht="13.5" thickBot="1">
      <c r="A4" s="345" t="s">
        <v>522</v>
      </c>
      <c r="B4" s="314" t="s">
        <v>521</v>
      </c>
      <c r="C4" s="346"/>
      <c r="D4" s="346"/>
    </row>
    <row r="5" spans="1:11" ht="30" customHeight="1">
      <c r="A5" s="589"/>
      <c r="B5" s="590"/>
      <c r="C5" s="591" t="s">
        <v>554</v>
      </c>
      <c r="D5" s="591"/>
      <c r="E5" s="591"/>
      <c r="F5" s="591" t="s">
        <v>555</v>
      </c>
      <c r="G5" s="591"/>
      <c r="H5" s="591"/>
      <c r="I5" s="591" t="s">
        <v>556</v>
      </c>
      <c r="J5" s="591"/>
      <c r="K5" s="592"/>
    </row>
    <row r="6" spans="1:11">
      <c r="A6" s="343"/>
      <c r="B6" s="344"/>
      <c r="C6" s="347" t="s">
        <v>27</v>
      </c>
      <c r="D6" s="347" t="s">
        <v>96</v>
      </c>
      <c r="E6" s="347" t="s">
        <v>68</v>
      </c>
      <c r="F6" s="347" t="s">
        <v>27</v>
      </c>
      <c r="G6" s="347" t="s">
        <v>96</v>
      </c>
      <c r="H6" s="347" t="s">
        <v>68</v>
      </c>
      <c r="I6" s="347" t="s">
        <v>27</v>
      </c>
      <c r="J6" s="347" t="s">
        <v>96</v>
      </c>
      <c r="K6" s="349" t="s">
        <v>68</v>
      </c>
    </row>
    <row r="7" spans="1:11">
      <c r="A7" s="350" t="s">
        <v>492</v>
      </c>
      <c r="B7" s="342"/>
      <c r="C7" s="342"/>
      <c r="D7" s="342"/>
      <c r="E7" s="342"/>
      <c r="F7" s="342"/>
      <c r="G7" s="342"/>
      <c r="H7" s="342"/>
      <c r="I7" s="342"/>
      <c r="J7" s="342"/>
      <c r="K7" s="351"/>
    </row>
    <row r="8" spans="1:11">
      <c r="A8" s="341">
        <v>1</v>
      </c>
      <c r="B8" s="327" t="s">
        <v>492</v>
      </c>
      <c r="C8" s="485"/>
      <c r="D8" s="485"/>
      <c r="E8" s="485"/>
      <c r="F8" s="528">
        <v>72397266.178651676</v>
      </c>
      <c r="G8" s="529">
        <v>329532619.44295526</v>
      </c>
      <c r="H8" s="529">
        <v>401929885.62160707</v>
      </c>
      <c r="I8" s="529">
        <v>58610577.279438213</v>
      </c>
      <c r="J8" s="529">
        <v>232139177.35857323</v>
      </c>
      <c r="K8" s="530">
        <v>290749754.6380114</v>
      </c>
    </row>
    <row r="9" spans="1:11">
      <c r="A9" s="350" t="s">
        <v>493</v>
      </c>
      <c r="B9" s="342"/>
      <c r="C9" s="342"/>
      <c r="D9" s="342"/>
      <c r="E9" s="342"/>
      <c r="F9" s="342"/>
      <c r="G9" s="342"/>
      <c r="H9" s="342"/>
      <c r="I9" s="342"/>
      <c r="J9" s="342"/>
      <c r="K9" s="351"/>
    </row>
    <row r="10" spans="1:11">
      <c r="A10" s="352">
        <v>2</v>
      </c>
      <c r="B10" s="328" t="s">
        <v>494</v>
      </c>
      <c r="C10" s="528">
        <v>16227190.54731459</v>
      </c>
      <c r="D10" s="529">
        <v>258791760.90817526</v>
      </c>
      <c r="E10" s="529">
        <v>275018951.45548987</v>
      </c>
      <c r="F10" s="528">
        <v>2992203.2786370772</v>
      </c>
      <c r="G10" s="529">
        <v>29930109.676493384</v>
      </c>
      <c r="H10" s="529">
        <v>32922312.955130432</v>
      </c>
      <c r="I10" s="528">
        <v>668987.07265786512</v>
      </c>
      <c r="J10" s="529">
        <v>3780021.0645465958</v>
      </c>
      <c r="K10" s="530">
        <v>4449008.1372044599</v>
      </c>
    </row>
    <row r="11" spans="1:11">
      <c r="A11" s="352">
        <v>3</v>
      </c>
      <c r="B11" s="328" t="s">
        <v>495</v>
      </c>
      <c r="C11" s="528">
        <v>103611084.82004495</v>
      </c>
      <c r="D11" s="529">
        <v>811957977.43075728</v>
      </c>
      <c r="E11" s="529">
        <v>915569062.25080216</v>
      </c>
      <c r="F11" s="528">
        <v>20996767.167449448</v>
      </c>
      <c r="G11" s="529">
        <v>153720496.03559476</v>
      </c>
      <c r="H11" s="529">
        <v>174717263.20304418</v>
      </c>
      <c r="I11" s="528">
        <v>17707125.490011234</v>
      </c>
      <c r="J11" s="529">
        <v>79289794.134888783</v>
      </c>
      <c r="K11" s="530">
        <v>96996919.624900073</v>
      </c>
    </row>
    <row r="12" spans="1:11">
      <c r="A12" s="352">
        <v>4</v>
      </c>
      <c r="B12" s="328" t="s">
        <v>496</v>
      </c>
      <c r="C12" s="528">
        <v>0</v>
      </c>
      <c r="D12" s="529">
        <v>0</v>
      </c>
      <c r="E12" s="529">
        <v>0</v>
      </c>
      <c r="F12" s="528">
        <v>0</v>
      </c>
      <c r="G12" s="529">
        <v>0</v>
      </c>
      <c r="H12" s="529">
        <v>0</v>
      </c>
      <c r="I12" s="528">
        <v>0</v>
      </c>
      <c r="J12" s="529">
        <v>0</v>
      </c>
      <c r="K12" s="530">
        <v>0</v>
      </c>
    </row>
    <row r="13" spans="1:11">
      <c r="A13" s="352">
        <v>5</v>
      </c>
      <c r="B13" s="328" t="s">
        <v>497</v>
      </c>
      <c r="C13" s="528">
        <v>42555776.42100402</v>
      </c>
      <c r="D13" s="529">
        <v>33104037.825009678</v>
      </c>
      <c r="E13" s="529">
        <v>75659814.246013731</v>
      </c>
      <c r="F13" s="528">
        <v>6639469.2832712308</v>
      </c>
      <c r="G13" s="529">
        <v>9032269.3768641632</v>
      </c>
      <c r="H13" s="529">
        <v>15671738.660135398</v>
      </c>
      <c r="I13" s="528">
        <v>2658679.466774561</v>
      </c>
      <c r="J13" s="529">
        <v>2859736.7986790789</v>
      </c>
      <c r="K13" s="530">
        <v>5518416.2654536376</v>
      </c>
    </row>
    <row r="14" spans="1:11">
      <c r="A14" s="352">
        <v>6</v>
      </c>
      <c r="B14" s="328" t="s">
        <v>512</v>
      </c>
      <c r="C14" s="528"/>
      <c r="D14" s="529"/>
      <c r="E14" s="529"/>
      <c r="F14" s="528"/>
      <c r="G14" s="529"/>
      <c r="H14" s="529"/>
      <c r="I14" s="528"/>
      <c r="J14" s="529"/>
      <c r="K14" s="530"/>
    </row>
    <row r="15" spans="1:11">
      <c r="A15" s="352">
        <v>7</v>
      </c>
      <c r="B15" s="328" t="s">
        <v>499</v>
      </c>
      <c r="C15" s="528">
        <v>13307846.362053255</v>
      </c>
      <c r="D15" s="529">
        <v>54613192.78157305</v>
      </c>
      <c r="E15" s="529">
        <v>67921039.143626273</v>
      </c>
      <c r="F15" s="528">
        <v>5124164.7255038181</v>
      </c>
      <c r="G15" s="529">
        <v>18781065.958589446</v>
      </c>
      <c r="H15" s="529">
        <v>23905230.684093256</v>
      </c>
      <c r="I15" s="528">
        <v>5124164.7255038181</v>
      </c>
      <c r="J15" s="529">
        <v>18781065.958589446</v>
      </c>
      <c r="K15" s="530">
        <v>23905230.684093256</v>
      </c>
    </row>
    <row r="16" spans="1:11">
      <c r="A16" s="352">
        <v>8</v>
      </c>
      <c r="B16" s="329" t="s">
        <v>500</v>
      </c>
      <c r="C16" s="531">
        <f>SUM(C10:C15)</f>
        <v>175701898.15041679</v>
      </c>
      <c r="D16" s="531">
        <f t="shared" ref="D16:K16" si="0">SUM(D10:D15)</f>
        <v>1158466968.9455152</v>
      </c>
      <c r="E16" s="531">
        <f t="shared" si="0"/>
        <v>1334168867.095932</v>
      </c>
      <c r="F16" s="531">
        <f t="shared" si="0"/>
        <v>35752604.454861574</v>
      </c>
      <c r="G16" s="531">
        <f t="shared" si="0"/>
        <v>211463941.04754174</v>
      </c>
      <c r="H16" s="531">
        <f t="shared" si="0"/>
        <v>247216545.50240326</v>
      </c>
      <c r="I16" s="531">
        <f t="shared" si="0"/>
        <v>26158956.754947476</v>
      </c>
      <c r="J16" s="531">
        <f t="shared" si="0"/>
        <v>104710617.95670392</v>
      </c>
      <c r="K16" s="532">
        <f t="shared" si="0"/>
        <v>130869574.71165141</v>
      </c>
    </row>
    <row r="17" spans="1:11">
      <c r="A17" s="350" t="s">
        <v>501</v>
      </c>
      <c r="B17" s="342"/>
      <c r="C17" s="528"/>
      <c r="D17" s="529"/>
      <c r="E17" s="529"/>
      <c r="F17" s="528"/>
      <c r="G17" s="529"/>
      <c r="H17" s="529"/>
      <c r="I17" s="528"/>
      <c r="J17" s="529"/>
      <c r="K17" s="530"/>
    </row>
    <row r="18" spans="1:11">
      <c r="A18" s="352">
        <v>9</v>
      </c>
      <c r="B18" s="328" t="s">
        <v>502</v>
      </c>
      <c r="C18" s="528">
        <v>0</v>
      </c>
      <c r="D18" s="529">
        <v>0</v>
      </c>
      <c r="E18" s="529">
        <v>0</v>
      </c>
      <c r="F18" s="528">
        <v>0</v>
      </c>
      <c r="G18" s="529">
        <v>0</v>
      </c>
      <c r="H18" s="529">
        <v>0</v>
      </c>
      <c r="I18" s="528">
        <v>0</v>
      </c>
      <c r="J18" s="529">
        <v>0</v>
      </c>
      <c r="K18" s="530">
        <v>0</v>
      </c>
    </row>
    <row r="19" spans="1:11">
      <c r="A19" s="352">
        <v>10</v>
      </c>
      <c r="B19" s="328" t="s">
        <v>503</v>
      </c>
      <c r="C19" s="528">
        <v>219306005.34382141</v>
      </c>
      <c r="D19" s="529">
        <v>543496312.62905645</v>
      </c>
      <c r="E19" s="529">
        <v>762802317.97287798</v>
      </c>
      <c r="F19" s="528">
        <v>20871621.264743067</v>
      </c>
      <c r="G19" s="529">
        <v>15265026.794463059</v>
      </c>
      <c r="H19" s="529">
        <v>36136648.059206113</v>
      </c>
      <c r="I19" s="528">
        <v>34731999.206990264</v>
      </c>
      <c r="J19" s="529">
        <v>116314749.70704737</v>
      </c>
      <c r="K19" s="530">
        <v>151046748.91403753</v>
      </c>
    </row>
    <row r="20" spans="1:11">
      <c r="A20" s="352">
        <v>11</v>
      </c>
      <c r="B20" s="328" t="s">
        <v>504</v>
      </c>
      <c r="C20" s="528">
        <v>7342281.9953655554</v>
      </c>
      <c r="D20" s="529">
        <v>58949864.146984719</v>
      </c>
      <c r="E20" s="529">
        <v>66292146.142350286</v>
      </c>
      <c r="F20" s="528">
        <v>300929.97955056187</v>
      </c>
      <c r="G20" s="529">
        <v>15856199.36287641</v>
      </c>
      <c r="H20" s="529">
        <v>16157129.342426974</v>
      </c>
      <c r="I20" s="528">
        <v>300929.97955056187</v>
      </c>
      <c r="J20" s="529">
        <v>15856199.36287641</v>
      </c>
      <c r="K20" s="530">
        <v>16157129.342426974</v>
      </c>
    </row>
    <row r="21" spans="1:11" ht="13.5" thickBot="1">
      <c r="A21" s="223">
        <v>12</v>
      </c>
      <c r="B21" s="353" t="s">
        <v>505</v>
      </c>
      <c r="C21" s="533">
        <f>SUM(C18:C20)</f>
        <v>226648287.33918697</v>
      </c>
      <c r="D21" s="533">
        <f t="shared" ref="D21:K21" si="1">SUM(D18:D20)</f>
        <v>602446176.77604115</v>
      </c>
      <c r="E21" s="533">
        <f t="shared" si="1"/>
        <v>829094464.1152283</v>
      </c>
      <c r="F21" s="533">
        <f t="shared" si="1"/>
        <v>21172551.24429363</v>
      </c>
      <c r="G21" s="533">
        <f t="shared" si="1"/>
        <v>31121226.157339469</v>
      </c>
      <c r="H21" s="533">
        <f t="shared" si="1"/>
        <v>52293777.401633084</v>
      </c>
      <c r="I21" s="533">
        <f t="shared" si="1"/>
        <v>35032929.186540827</v>
      </c>
      <c r="J21" s="533">
        <f t="shared" si="1"/>
        <v>132170949.06992379</v>
      </c>
      <c r="K21" s="534">
        <f t="shared" si="1"/>
        <v>167203878.25646451</v>
      </c>
    </row>
    <row r="22" spans="1:11" ht="38.25" customHeight="1" thickBot="1">
      <c r="A22" s="339"/>
      <c r="B22" s="340"/>
      <c r="C22" s="535"/>
      <c r="D22" s="535"/>
      <c r="E22" s="535"/>
      <c r="F22" s="586" t="s">
        <v>506</v>
      </c>
      <c r="G22" s="587"/>
      <c r="H22" s="587"/>
      <c r="I22" s="586" t="s">
        <v>507</v>
      </c>
      <c r="J22" s="587"/>
      <c r="K22" s="588"/>
    </row>
    <row r="23" spans="1:11">
      <c r="A23" s="333">
        <v>13</v>
      </c>
      <c r="B23" s="330" t="s">
        <v>492</v>
      </c>
      <c r="C23" s="338"/>
      <c r="D23" s="338"/>
      <c r="E23" s="338"/>
      <c r="F23" s="536">
        <f>F8</f>
        <v>72397266.178651676</v>
      </c>
      <c r="G23" s="536">
        <f t="shared" ref="G23:K23" si="2">G8</f>
        <v>329532619.44295526</v>
      </c>
      <c r="H23" s="536">
        <f t="shared" si="2"/>
        <v>401929885.62160707</v>
      </c>
      <c r="I23" s="536">
        <f t="shared" si="2"/>
        <v>58610577.279438213</v>
      </c>
      <c r="J23" s="536">
        <f t="shared" si="2"/>
        <v>232139177.35857323</v>
      </c>
      <c r="K23" s="537">
        <f t="shared" si="2"/>
        <v>290749754.6380114</v>
      </c>
    </row>
    <row r="24" spans="1:11" ht="13.5" thickBot="1">
      <c r="A24" s="334">
        <v>14</v>
      </c>
      <c r="B24" s="331" t="s">
        <v>508</v>
      </c>
      <c r="C24" s="354"/>
      <c r="D24" s="337"/>
      <c r="E24" s="538"/>
      <c r="F24" s="539">
        <f>MAX(F16-F21,F16*0.25)</f>
        <v>14580053.210567944</v>
      </c>
      <c r="G24" s="539">
        <f t="shared" ref="G24:K24" si="3">MAX(G16-G21,G16*0.25)</f>
        <v>180342714.89020228</v>
      </c>
      <c r="H24" s="539">
        <f t="shared" si="3"/>
        <v>194922768.10077018</v>
      </c>
      <c r="I24" s="539">
        <f t="shared" si="3"/>
        <v>6539739.188736869</v>
      </c>
      <c r="J24" s="539">
        <f t="shared" si="3"/>
        <v>26177654.489175979</v>
      </c>
      <c r="K24" s="540">
        <f t="shared" si="3"/>
        <v>32717393.677912854</v>
      </c>
    </row>
    <row r="25" spans="1:11" ht="13.5" thickBot="1">
      <c r="A25" s="335">
        <v>15</v>
      </c>
      <c r="B25" s="332" t="s">
        <v>509</v>
      </c>
      <c r="C25" s="336"/>
      <c r="D25" s="336"/>
      <c r="E25" s="336"/>
      <c r="F25" s="541">
        <f>F23/F24</f>
        <v>4.9655008204069206</v>
      </c>
      <c r="G25" s="541">
        <f t="shared" ref="G25:K25" si="4">G23/G24</f>
        <v>1.8272577278410385</v>
      </c>
      <c r="H25" s="541">
        <f t="shared" si="4"/>
        <v>2.0619955766984561</v>
      </c>
      <c r="I25" s="541">
        <f t="shared" si="4"/>
        <v>8.962219377246857</v>
      </c>
      <c r="J25" s="541">
        <f t="shared" si="4"/>
        <v>8.8678371645006955</v>
      </c>
      <c r="K25" s="542">
        <f t="shared" si="4"/>
        <v>8.8867028193108588</v>
      </c>
    </row>
    <row r="28" spans="1:11" ht="38.25">
      <c r="B28" s="24" t="s">
        <v>553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2" tint="-9.9978637043366805E-2"/>
  </sheetPr>
  <dimension ref="A1:N22"/>
  <sheetViews>
    <sheetView workbookViewId="0">
      <pane xSplit="1" ySplit="5" topLeftCell="B6" activePane="bottomRight" state="frozen"/>
      <selection activeCell="B2" sqref="B2:C2"/>
      <selection pane="topRight" activeCell="B2" sqref="B2:C2"/>
      <selection pane="bottomLeft" activeCell="B2" sqref="B2:C2"/>
      <selection pane="bottomRight" activeCell="B6" sqref="B6"/>
    </sheetView>
  </sheetViews>
  <sheetFormatPr defaultColWidth="9.140625" defaultRowHeight="15"/>
  <cols>
    <col min="1" max="1" width="10.5703125" style="70" bestFit="1" customWidth="1"/>
    <col min="2" max="2" width="95" style="70" customWidth="1"/>
    <col min="3" max="3" width="12.5703125" style="70" bestFit="1" customWidth="1"/>
    <col min="4" max="4" width="10" style="70" bestFit="1" customWidth="1"/>
    <col min="5" max="5" width="18.28515625" style="70" bestFit="1" customWidth="1"/>
    <col min="6" max="13" width="10.7109375" style="70" customWidth="1"/>
    <col min="14" max="14" width="31" style="70" bestFit="1" customWidth="1"/>
    <col min="15" max="16384" width="9.140625" style="13"/>
  </cols>
  <sheetData>
    <row r="1" spans="1:14">
      <c r="A1" s="5" t="s">
        <v>188</v>
      </c>
      <c r="B1" s="70" t="str">
        <f>Info!C2</f>
        <v>სს "ბანკი ქართუ"</v>
      </c>
    </row>
    <row r="2" spans="1:14" ht="14.25" customHeight="1">
      <c r="A2" s="70" t="s">
        <v>189</v>
      </c>
      <c r="B2" s="472">
        <f>'1. key ratios'!B2</f>
        <v>44286</v>
      </c>
    </row>
    <row r="3" spans="1:14" ht="14.25" customHeight="1"/>
    <row r="4" spans="1:14" ht="15.75" thickBot="1">
      <c r="A4" s="2" t="s">
        <v>418</v>
      </c>
      <c r="B4" s="95" t="s">
        <v>77</v>
      </c>
    </row>
    <row r="5" spans="1:14" s="26" customFormat="1" ht="12.75">
      <c r="A5" s="175"/>
      <c r="B5" s="176"/>
      <c r="C5" s="177" t="s">
        <v>0</v>
      </c>
      <c r="D5" s="177" t="s">
        <v>1</v>
      </c>
      <c r="E5" s="177" t="s">
        <v>2</v>
      </c>
      <c r="F5" s="177" t="s">
        <v>3</v>
      </c>
      <c r="G5" s="177" t="s">
        <v>4</v>
      </c>
      <c r="H5" s="177" t="s">
        <v>5</v>
      </c>
      <c r="I5" s="177" t="s">
        <v>238</v>
      </c>
      <c r="J5" s="177" t="s">
        <v>239</v>
      </c>
      <c r="K5" s="177" t="s">
        <v>240</v>
      </c>
      <c r="L5" s="177" t="s">
        <v>241</v>
      </c>
      <c r="M5" s="177" t="s">
        <v>242</v>
      </c>
      <c r="N5" s="178" t="s">
        <v>243</v>
      </c>
    </row>
    <row r="6" spans="1:14" ht="45">
      <c r="A6" s="167"/>
      <c r="B6" s="107"/>
      <c r="C6" s="108" t="s">
        <v>87</v>
      </c>
      <c r="D6" s="109" t="s">
        <v>76</v>
      </c>
      <c r="E6" s="110" t="s">
        <v>86</v>
      </c>
      <c r="F6" s="111">
        <v>0</v>
      </c>
      <c r="G6" s="111">
        <v>0.2</v>
      </c>
      <c r="H6" s="111">
        <v>0.35</v>
      </c>
      <c r="I6" s="111">
        <v>0.5</v>
      </c>
      <c r="J6" s="111">
        <v>0.75</v>
      </c>
      <c r="K6" s="111">
        <v>1</v>
      </c>
      <c r="L6" s="111">
        <v>1.5</v>
      </c>
      <c r="M6" s="111">
        <v>2.5</v>
      </c>
      <c r="N6" s="168" t="s">
        <v>77</v>
      </c>
    </row>
    <row r="7" spans="1:14">
      <c r="A7" s="169">
        <v>1</v>
      </c>
      <c r="B7" s="112" t="s">
        <v>78</v>
      </c>
      <c r="C7" s="299">
        <f>SUM(C8:C13)</f>
        <v>20022000</v>
      </c>
      <c r="D7" s="107"/>
      <c r="E7" s="302">
        <f t="shared" ref="E7:M7" si="0">SUM(E8:E13)</f>
        <v>400440</v>
      </c>
      <c r="F7" s="299">
        <f>SUM(F8:F13)</f>
        <v>0</v>
      </c>
      <c r="G7" s="299">
        <f t="shared" si="0"/>
        <v>0</v>
      </c>
      <c r="H7" s="299">
        <f t="shared" si="0"/>
        <v>0</v>
      </c>
      <c r="I7" s="299">
        <f t="shared" si="0"/>
        <v>0</v>
      </c>
      <c r="J7" s="299">
        <f t="shared" si="0"/>
        <v>0</v>
      </c>
      <c r="K7" s="299">
        <f t="shared" si="0"/>
        <v>400440</v>
      </c>
      <c r="L7" s="299">
        <f t="shared" si="0"/>
        <v>0</v>
      </c>
      <c r="M7" s="299">
        <f t="shared" si="0"/>
        <v>0</v>
      </c>
      <c r="N7" s="170">
        <f>SUM(N8:N13)</f>
        <v>400440</v>
      </c>
    </row>
    <row r="8" spans="1:14">
      <c r="A8" s="169">
        <v>1.1000000000000001</v>
      </c>
      <c r="B8" s="113" t="s">
        <v>79</v>
      </c>
      <c r="C8" s="300">
        <v>20022000</v>
      </c>
      <c r="D8" s="114">
        <v>0.02</v>
      </c>
      <c r="E8" s="302">
        <f>C8*D8</f>
        <v>400440</v>
      </c>
      <c r="F8" s="300"/>
      <c r="G8" s="300"/>
      <c r="H8" s="300"/>
      <c r="I8" s="300"/>
      <c r="J8" s="300"/>
      <c r="K8" s="300">
        <v>400440</v>
      </c>
      <c r="L8" s="300"/>
      <c r="M8" s="300"/>
      <c r="N8" s="170">
        <f>SUMPRODUCT($F$6:$M$6,F8:M8)</f>
        <v>400440</v>
      </c>
    </row>
    <row r="9" spans="1:14">
      <c r="A9" s="169">
        <v>1.2</v>
      </c>
      <c r="B9" s="113" t="s">
        <v>80</v>
      </c>
      <c r="C9" s="300">
        <v>0</v>
      </c>
      <c r="D9" s="114">
        <v>0.05</v>
      </c>
      <c r="E9" s="302">
        <f>C9*D9</f>
        <v>0</v>
      </c>
      <c r="F9" s="300"/>
      <c r="G9" s="300"/>
      <c r="H9" s="300"/>
      <c r="I9" s="300"/>
      <c r="J9" s="300"/>
      <c r="K9" s="300"/>
      <c r="L9" s="300"/>
      <c r="M9" s="300"/>
      <c r="N9" s="170">
        <f t="shared" ref="N9:N12" si="1">SUMPRODUCT($F$6:$M$6,F9:M9)</f>
        <v>0</v>
      </c>
    </row>
    <row r="10" spans="1:14">
      <c r="A10" s="169">
        <v>1.3</v>
      </c>
      <c r="B10" s="113" t="s">
        <v>81</v>
      </c>
      <c r="C10" s="300">
        <v>0</v>
      </c>
      <c r="D10" s="114">
        <v>0.08</v>
      </c>
      <c r="E10" s="302">
        <f>C10*D10</f>
        <v>0</v>
      </c>
      <c r="F10" s="300"/>
      <c r="G10" s="300"/>
      <c r="H10" s="300"/>
      <c r="I10" s="300"/>
      <c r="J10" s="300"/>
      <c r="K10" s="300"/>
      <c r="L10" s="300"/>
      <c r="M10" s="300"/>
      <c r="N10" s="170">
        <f>SUMPRODUCT($F$6:$M$6,F10:M10)</f>
        <v>0</v>
      </c>
    </row>
    <row r="11" spans="1:14">
      <c r="A11" s="169">
        <v>1.4</v>
      </c>
      <c r="B11" s="113" t="s">
        <v>82</v>
      </c>
      <c r="C11" s="300">
        <v>0</v>
      </c>
      <c r="D11" s="114">
        <v>0.11</v>
      </c>
      <c r="E11" s="302">
        <f>C11*D11</f>
        <v>0</v>
      </c>
      <c r="F11" s="300"/>
      <c r="G11" s="300"/>
      <c r="H11" s="300"/>
      <c r="I11" s="300"/>
      <c r="J11" s="300"/>
      <c r="K11" s="300"/>
      <c r="L11" s="300"/>
      <c r="M11" s="300"/>
      <c r="N11" s="170">
        <f t="shared" si="1"/>
        <v>0</v>
      </c>
    </row>
    <row r="12" spans="1:14">
      <c r="A12" s="169">
        <v>1.5</v>
      </c>
      <c r="B12" s="113" t="s">
        <v>83</v>
      </c>
      <c r="C12" s="300">
        <v>0</v>
      </c>
      <c r="D12" s="114">
        <v>0.14000000000000001</v>
      </c>
      <c r="E12" s="302">
        <f>C12*D12</f>
        <v>0</v>
      </c>
      <c r="F12" s="300"/>
      <c r="G12" s="300"/>
      <c r="H12" s="300"/>
      <c r="I12" s="300"/>
      <c r="J12" s="300"/>
      <c r="K12" s="300"/>
      <c r="L12" s="300"/>
      <c r="M12" s="300"/>
      <c r="N12" s="170">
        <f t="shared" si="1"/>
        <v>0</v>
      </c>
    </row>
    <row r="13" spans="1:14">
      <c r="A13" s="169">
        <v>1.6</v>
      </c>
      <c r="B13" s="115" t="s">
        <v>84</v>
      </c>
      <c r="C13" s="300">
        <v>0</v>
      </c>
      <c r="D13" s="116"/>
      <c r="E13" s="300"/>
      <c r="F13" s="300"/>
      <c r="G13" s="300"/>
      <c r="H13" s="300"/>
      <c r="I13" s="300"/>
      <c r="J13" s="300"/>
      <c r="K13" s="300"/>
      <c r="L13" s="300"/>
      <c r="M13" s="300"/>
      <c r="N13" s="170">
        <f>SUMPRODUCT($F$6:$M$6,F13:M13)</f>
        <v>0</v>
      </c>
    </row>
    <row r="14" spans="1:14">
      <c r="A14" s="169">
        <v>2</v>
      </c>
      <c r="B14" s="117" t="s">
        <v>85</v>
      </c>
      <c r="C14" s="299">
        <f>SUM(C15:C20)</f>
        <v>0</v>
      </c>
      <c r="D14" s="107"/>
      <c r="E14" s="302">
        <f t="shared" ref="E14:M14" si="2">SUM(E15:E20)</f>
        <v>0</v>
      </c>
      <c r="F14" s="300">
        <f t="shared" si="2"/>
        <v>0</v>
      </c>
      <c r="G14" s="300">
        <f t="shared" si="2"/>
        <v>0</v>
      </c>
      <c r="H14" s="300">
        <f t="shared" si="2"/>
        <v>0</v>
      </c>
      <c r="I14" s="300">
        <f t="shared" si="2"/>
        <v>0</v>
      </c>
      <c r="J14" s="300">
        <f t="shared" si="2"/>
        <v>0</v>
      </c>
      <c r="K14" s="300">
        <f t="shared" si="2"/>
        <v>0</v>
      </c>
      <c r="L14" s="300">
        <f t="shared" si="2"/>
        <v>0</v>
      </c>
      <c r="M14" s="300">
        <f t="shared" si="2"/>
        <v>0</v>
      </c>
      <c r="N14" s="170">
        <f>SUM(N15:N20)</f>
        <v>0</v>
      </c>
    </row>
    <row r="15" spans="1:14">
      <c r="A15" s="169">
        <v>2.1</v>
      </c>
      <c r="B15" s="115" t="s">
        <v>79</v>
      </c>
      <c r="C15" s="300"/>
      <c r="D15" s="114">
        <v>5.0000000000000001E-3</v>
      </c>
      <c r="E15" s="302">
        <f>C15*D15</f>
        <v>0</v>
      </c>
      <c r="F15" s="300"/>
      <c r="G15" s="300"/>
      <c r="H15" s="300"/>
      <c r="I15" s="300"/>
      <c r="J15" s="300"/>
      <c r="K15" s="300"/>
      <c r="L15" s="300"/>
      <c r="M15" s="300"/>
      <c r="N15" s="170">
        <f>SUMPRODUCT($F$6:$M$6,F15:M15)</f>
        <v>0</v>
      </c>
    </row>
    <row r="16" spans="1:14">
      <c r="A16" s="169">
        <v>2.2000000000000002</v>
      </c>
      <c r="B16" s="115" t="s">
        <v>80</v>
      </c>
      <c r="C16" s="300"/>
      <c r="D16" s="114">
        <v>0.01</v>
      </c>
      <c r="E16" s="302">
        <f>C16*D16</f>
        <v>0</v>
      </c>
      <c r="F16" s="300"/>
      <c r="G16" s="300"/>
      <c r="H16" s="300"/>
      <c r="I16" s="300"/>
      <c r="J16" s="300"/>
      <c r="K16" s="300"/>
      <c r="L16" s="300"/>
      <c r="M16" s="300"/>
      <c r="N16" s="170">
        <f t="shared" ref="N16:N20" si="3">SUMPRODUCT($F$6:$M$6,F16:M16)</f>
        <v>0</v>
      </c>
    </row>
    <row r="17" spans="1:14">
      <c r="A17" s="169">
        <v>2.2999999999999998</v>
      </c>
      <c r="B17" s="115" t="s">
        <v>81</v>
      </c>
      <c r="C17" s="300"/>
      <c r="D17" s="114">
        <v>0.02</v>
      </c>
      <c r="E17" s="302">
        <f>C17*D17</f>
        <v>0</v>
      </c>
      <c r="F17" s="300"/>
      <c r="G17" s="300"/>
      <c r="H17" s="300"/>
      <c r="I17" s="300"/>
      <c r="J17" s="300"/>
      <c r="K17" s="300"/>
      <c r="L17" s="300"/>
      <c r="M17" s="300"/>
      <c r="N17" s="170">
        <f t="shared" si="3"/>
        <v>0</v>
      </c>
    </row>
    <row r="18" spans="1:14">
      <c r="A18" s="169">
        <v>2.4</v>
      </c>
      <c r="B18" s="115" t="s">
        <v>82</v>
      </c>
      <c r="C18" s="300"/>
      <c r="D18" s="114">
        <v>0.03</v>
      </c>
      <c r="E18" s="302">
        <f>C18*D18</f>
        <v>0</v>
      </c>
      <c r="F18" s="300"/>
      <c r="G18" s="300"/>
      <c r="H18" s="300"/>
      <c r="I18" s="300"/>
      <c r="J18" s="300"/>
      <c r="K18" s="300"/>
      <c r="L18" s="300"/>
      <c r="M18" s="300"/>
      <c r="N18" s="170">
        <f t="shared" si="3"/>
        <v>0</v>
      </c>
    </row>
    <row r="19" spans="1:14">
      <c r="A19" s="169">
        <v>2.5</v>
      </c>
      <c r="B19" s="115" t="s">
        <v>83</v>
      </c>
      <c r="C19" s="300"/>
      <c r="D19" s="114">
        <v>0.04</v>
      </c>
      <c r="E19" s="302">
        <f>C19*D19</f>
        <v>0</v>
      </c>
      <c r="F19" s="300"/>
      <c r="G19" s="300"/>
      <c r="H19" s="300"/>
      <c r="I19" s="300"/>
      <c r="J19" s="300"/>
      <c r="K19" s="300"/>
      <c r="L19" s="300"/>
      <c r="M19" s="300"/>
      <c r="N19" s="170">
        <f t="shared" si="3"/>
        <v>0</v>
      </c>
    </row>
    <row r="20" spans="1:14">
      <c r="A20" s="169">
        <v>2.6</v>
      </c>
      <c r="B20" s="115" t="s">
        <v>84</v>
      </c>
      <c r="C20" s="300"/>
      <c r="D20" s="116"/>
      <c r="E20" s="303"/>
      <c r="F20" s="300"/>
      <c r="G20" s="300"/>
      <c r="H20" s="300"/>
      <c r="I20" s="300"/>
      <c r="J20" s="300"/>
      <c r="K20" s="300"/>
      <c r="L20" s="300"/>
      <c r="M20" s="300"/>
      <c r="N20" s="170">
        <f t="shared" si="3"/>
        <v>0</v>
      </c>
    </row>
    <row r="21" spans="1:14" ht="15.75" thickBot="1">
      <c r="A21" s="171">
        <v>3</v>
      </c>
      <c r="B21" s="172" t="s">
        <v>68</v>
      </c>
      <c r="C21" s="301">
        <f>C14+C7</f>
        <v>20022000</v>
      </c>
      <c r="D21" s="173"/>
      <c r="E21" s="304">
        <f>E14+E7</f>
        <v>400440</v>
      </c>
      <c r="F21" s="305">
        <f>F7+F14</f>
        <v>0</v>
      </c>
      <c r="G21" s="305">
        <f t="shared" ref="G21:L21" si="4">G7+G14</f>
        <v>0</v>
      </c>
      <c r="H21" s="305">
        <f t="shared" si="4"/>
        <v>0</v>
      </c>
      <c r="I21" s="305">
        <f t="shared" si="4"/>
        <v>0</v>
      </c>
      <c r="J21" s="305">
        <f t="shared" si="4"/>
        <v>0</v>
      </c>
      <c r="K21" s="305">
        <f t="shared" si="4"/>
        <v>400440</v>
      </c>
      <c r="L21" s="305">
        <f t="shared" si="4"/>
        <v>0</v>
      </c>
      <c r="M21" s="305">
        <f>M7+M14</f>
        <v>0</v>
      </c>
      <c r="N21" s="174">
        <f>N14+N7</f>
        <v>400440</v>
      </c>
    </row>
    <row r="22" spans="1:14">
      <c r="E22" s="306"/>
      <c r="F22" s="306"/>
      <c r="G22" s="306"/>
      <c r="H22" s="306"/>
      <c r="I22" s="306"/>
      <c r="J22" s="306"/>
      <c r="K22" s="306"/>
      <c r="L22" s="306"/>
      <c r="M22" s="306"/>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2" tint="-9.9978637043366805E-2"/>
  </sheetPr>
  <dimension ref="A1:C43"/>
  <sheetViews>
    <sheetView topLeftCell="A25" workbookViewId="0">
      <selection activeCell="C38" sqref="C38"/>
    </sheetView>
  </sheetViews>
  <sheetFormatPr defaultRowHeight="15"/>
  <cols>
    <col min="1" max="1" width="11.42578125" customWidth="1"/>
    <col min="2" max="2" width="76.85546875" style="4" customWidth="1"/>
    <col min="3" max="3" width="22.85546875" customWidth="1"/>
  </cols>
  <sheetData>
    <row r="1" spans="1:3">
      <c r="A1" s="345" t="s">
        <v>188</v>
      </c>
      <c r="B1" t="str">
        <f>Info!C2</f>
        <v>სს "ბანკი ქართუ"</v>
      </c>
    </row>
    <row r="2" spans="1:3">
      <c r="A2" s="345" t="s">
        <v>189</v>
      </c>
      <c r="B2" s="472">
        <f>'1. key ratios'!B2</f>
        <v>44286</v>
      </c>
    </row>
    <row r="3" spans="1:3">
      <c r="A3" s="345"/>
      <c r="B3"/>
    </row>
    <row r="4" spans="1:3">
      <c r="A4" s="345" t="s">
        <v>598</v>
      </c>
      <c r="B4" t="s">
        <v>557</v>
      </c>
    </row>
    <row r="5" spans="1:3">
      <c r="A5" s="406"/>
      <c r="B5" s="406" t="s">
        <v>558</v>
      </c>
      <c r="C5" s="418"/>
    </row>
    <row r="6" spans="1:3">
      <c r="A6" s="407">
        <v>1</v>
      </c>
      <c r="B6" s="419" t="s">
        <v>610</v>
      </c>
      <c r="C6" s="420">
        <v>1463786334.9104457</v>
      </c>
    </row>
    <row r="7" spans="1:3">
      <c r="A7" s="407">
        <v>2</v>
      </c>
      <c r="B7" s="419" t="s">
        <v>559</v>
      </c>
      <c r="C7" s="420">
        <v>-6891788.3499999996</v>
      </c>
    </row>
    <row r="8" spans="1:3">
      <c r="A8" s="408">
        <v>3</v>
      </c>
      <c r="B8" s="421" t="s">
        <v>560</v>
      </c>
      <c r="C8" s="422">
        <f>C6+C7</f>
        <v>1456894546.5604458</v>
      </c>
    </row>
    <row r="9" spans="1:3">
      <c r="A9" s="409"/>
      <c r="B9" s="409" t="s">
        <v>561</v>
      </c>
      <c r="C9" s="423"/>
    </row>
    <row r="10" spans="1:3">
      <c r="A10" s="410">
        <v>4</v>
      </c>
      <c r="B10" s="424" t="s">
        <v>562</v>
      </c>
      <c r="C10" s="420"/>
    </row>
    <row r="11" spans="1:3">
      <c r="A11" s="410">
        <v>5</v>
      </c>
      <c r="B11" s="425" t="s">
        <v>563</v>
      </c>
      <c r="C11" s="420"/>
    </row>
    <row r="12" spans="1:3">
      <c r="A12" s="410" t="s">
        <v>564</v>
      </c>
      <c r="B12" s="419" t="s">
        <v>565</v>
      </c>
      <c r="C12" s="422">
        <f>'15. CCR'!E21</f>
        <v>400440</v>
      </c>
    </row>
    <row r="13" spans="1:3">
      <c r="A13" s="411">
        <v>6</v>
      </c>
      <c r="B13" s="426" t="s">
        <v>566</v>
      </c>
      <c r="C13" s="420"/>
    </row>
    <row r="14" spans="1:3">
      <c r="A14" s="411">
        <v>7</v>
      </c>
      <c r="B14" s="427" t="s">
        <v>567</v>
      </c>
      <c r="C14" s="420"/>
    </row>
    <row r="15" spans="1:3">
      <c r="A15" s="412">
        <v>8</v>
      </c>
      <c r="B15" s="419" t="s">
        <v>568</v>
      </c>
      <c r="C15" s="420"/>
    </row>
    <row r="16" spans="1:3" ht="24">
      <c r="A16" s="411">
        <v>9</v>
      </c>
      <c r="B16" s="427" t="s">
        <v>569</v>
      </c>
      <c r="C16" s="420"/>
    </row>
    <row r="17" spans="1:3">
      <c r="A17" s="411">
        <v>10</v>
      </c>
      <c r="B17" s="427" t="s">
        <v>570</v>
      </c>
      <c r="C17" s="420"/>
    </row>
    <row r="18" spans="1:3">
      <c r="A18" s="413">
        <v>11</v>
      </c>
      <c r="B18" s="428" t="s">
        <v>571</v>
      </c>
      <c r="C18" s="422">
        <f>SUM(C10:C17)</f>
        <v>400440</v>
      </c>
    </row>
    <row r="19" spans="1:3">
      <c r="A19" s="409"/>
      <c r="B19" s="409" t="s">
        <v>572</v>
      </c>
      <c r="C19" s="429"/>
    </row>
    <row r="20" spans="1:3">
      <c r="A20" s="411">
        <v>12</v>
      </c>
      <c r="B20" s="424" t="s">
        <v>573</v>
      </c>
      <c r="C20" s="420"/>
    </row>
    <row r="21" spans="1:3">
      <c r="A21" s="411">
        <v>13</v>
      </c>
      <c r="B21" s="424" t="s">
        <v>574</v>
      </c>
      <c r="C21" s="420"/>
    </row>
    <row r="22" spans="1:3">
      <c r="A22" s="411">
        <v>14</v>
      </c>
      <c r="B22" s="424" t="s">
        <v>575</v>
      </c>
      <c r="C22" s="420"/>
    </row>
    <row r="23" spans="1:3" ht="24">
      <c r="A23" s="411" t="s">
        <v>576</v>
      </c>
      <c r="B23" s="424" t="s">
        <v>577</v>
      </c>
      <c r="C23" s="420"/>
    </row>
    <row r="24" spans="1:3">
      <c r="A24" s="411">
        <v>15</v>
      </c>
      <c r="B24" s="424" t="s">
        <v>578</v>
      </c>
      <c r="C24" s="420"/>
    </row>
    <row r="25" spans="1:3">
      <c r="A25" s="411" t="s">
        <v>579</v>
      </c>
      <c r="B25" s="419" t="s">
        <v>580</v>
      </c>
      <c r="C25" s="420"/>
    </row>
    <row r="26" spans="1:3">
      <c r="A26" s="413">
        <v>16</v>
      </c>
      <c r="B26" s="428" t="s">
        <v>581</v>
      </c>
      <c r="C26" s="422">
        <f>SUM(C20:C25)</f>
        <v>0</v>
      </c>
    </row>
    <row r="27" spans="1:3">
      <c r="A27" s="409"/>
      <c r="B27" s="409" t="s">
        <v>582</v>
      </c>
      <c r="C27" s="423"/>
    </row>
    <row r="28" spans="1:3">
      <c r="A28" s="410">
        <v>17</v>
      </c>
      <c r="B28" s="419" t="s">
        <v>583</v>
      </c>
      <c r="C28" s="420">
        <v>60314220.91883187</v>
      </c>
    </row>
    <row r="29" spans="1:3">
      <c r="A29" s="410">
        <v>18</v>
      </c>
      <c r="B29" s="419" t="s">
        <v>584</v>
      </c>
      <c r="C29" s="420">
        <v>-27053460.856491942</v>
      </c>
    </row>
    <row r="30" spans="1:3">
      <c r="A30" s="413">
        <v>19</v>
      </c>
      <c r="B30" s="428" t="s">
        <v>585</v>
      </c>
      <c r="C30" s="422">
        <f>C28+C29</f>
        <v>33260760.062339928</v>
      </c>
    </row>
    <row r="31" spans="1:3">
      <c r="A31" s="414"/>
      <c r="B31" s="409" t="s">
        <v>586</v>
      </c>
      <c r="C31" s="423"/>
    </row>
    <row r="32" spans="1:3">
      <c r="A32" s="410" t="s">
        <v>587</v>
      </c>
      <c r="B32" s="424" t="s">
        <v>588</v>
      </c>
      <c r="C32" s="430"/>
    </row>
    <row r="33" spans="1:3">
      <c r="A33" s="410" t="s">
        <v>589</v>
      </c>
      <c r="B33" s="425" t="s">
        <v>590</v>
      </c>
      <c r="C33" s="430"/>
    </row>
    <row r="34" spans="1:3">
      <c r="A34" s="409"/>
      <c r="B34" s="409" t="s">
        <v>591</v>
      </c>
      <c r="C34" s="423"/>
    </row>
    <row r="35" spans="1:3">
      <c r="A35" s="413">
        <v>20</v>
      </c>
      <c r="B35" s="428" t="s">
        <v>89</v>
      </c>
      <c r="C35" s="422">
        <f>'1. key ratios'!C9</f>
        <v>238389069.65000001</v>
      </c>
    </row>
    <row r="36" spans="1:3">
      <c r="A36" s="413">
        <v>21</v>
      </c>
      <c r="B36" s="428" t="s">
        <v>592</v>
      </c>
      <c r="C36" s="422">
        <f>C8+C18+C26+C30</f>
        <v>1490555746.6227858</v>
      </c>
    </row>
    <row r="37" spans="1:3">
      <c r="A37" s="415"/>
      <c r="B37" s="415" t="s">
        <v>557</v>
      </c>
      <c r="C37" s="423"/>
    </row>
    <row r="38" spans="1:3">
      <c r="A38" s="413">
        <v>22</v>
      </c>
      <c r="B38" s="428" t="s">
        <v>557</v>
      </c>
      <c r="C38" s="543">
        <f>IFERROR(C35/C36,0)</f>
        <v>0.15993301169052418</v>
      </c>
    </row>
    <row r="39" spans="1:3">
      <c r="A39" s="415"/>
      <c r="B39" s="415" t="s">
        <v>593</v>
      </c>
      <c r="C39" s="423"/>
    </row>
    <row r="40" spans="1:3">
      <c r="A40" s="416" t="s">
        <v>594</v>
      </c>
      <c r="B40" s="424" t="s">
        <v>595</v>
      </c>
      <c r="C40" s="430"/>
    </row>
    <row r="41" spans="1:3">
      <c r="A41" s="417" t="s">
        <v>596</v>
      </c>
      <c r="B41" s="425" t="s">
        <v>597</v>
      </c>
      <c r="C41" s="430"/>
    </row>
    <row r="43" spans="1:3">
      <c r="B43" s="433" t="s">
        <v>611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C106"/>
  <sheetViews>
    <sheetView topLeftCell="A93" zoomScale="115" zoomScaleNormal="115" workbookViewId="0">
      <selection activeCell="B2" sqref="B2:C2"/>
    </sheetView>
  </sheetViews>
  <sheetFormatPr defaultColWidth="43.5703125" defaultRowHeight="11.25"/>
  <cols>
    <col min="1" max="1" width="5.28515625" style="232" customWidth="1"/>
    <col min="2" max="2" width="66.140625" style="233" customWidth="1"/>
    <col min="3" max="3" width="131.42578125" style="234" customWidth="1"/>
    <col min="4" max="5" width="10.28515625" style="225" customWidth="1"/>
    <col min="6" max="16384" width="43.5703125" style="225"/>
  </cols>
  <sheetData>
    <row r="1" spans="1:3" ht="12.75" thickTop="1" thickBot="1">
      <c r="A1" s="627" t="s">
        <v>326</v>
      </c>
      <c r="B1" s="628"/>
      <c r="C1" s="629"/>
    </row>
    <row r="2" spans="1:3" ht="26.25" customHeight="1">
      <c r="A2" s="481"/>
      <c r="B2" s="630" t="s">
        <v>327</v>
      </c>
      <c r="C2" s="630"/>
    </row>
    <row r="3" spans="1:3" s="230" customFormat="1" ht="11.25" customHeight="1">
      <c r="A3" s="229"/>
      <c r="B3" s="630" t="s">
        <v>419</v>
      </c>
      <c r="C3" s="630"/>
    </row>
    <row r="4" spans="1:3" ht="12" customHeight="1" thickBot="1">
      <c r="A4" s="606" t="s">
        <v>423</v>
      </c>
      <c r="B4" s="607"/>
      <c r="C4" s="608"/>
    </row>
    <row r="5" spans="1:3" ht="12" thickTop="1">
      <c r="A5" s="226"/>
      <c r="B5" s="609" t="s">
        <v>328</v>
      </c>
      <c r="C5" s="610"/>
    </row>
    <row r="6" spans="1:3">
      <c r="A6" s="481"/>
      <c r="B6" s="597" t="s">
        <v>420</v>
      </c>
      <c r="C6" s="598"/>
    </row>
    <row r="7" spans="1:3">
      <c r="A7" s="481"/>
      <c r="B7" s="597" t="s">
        <v>329</v>
      </c>
      <c r="C7" s="598"/>
    </row>
    <row r="8" spans="1:3">
      <c r="A8" s="481"/>
      <c r="B8" s="597" t="s">
        <v>421</v>
      </c>
      <c r="C8" s="598"/>
    </row>
    <row r="9" spans="1:3">
      <c r="A9" s="481"/>
      <c r="B9" s="625" t="s">
        <v>422</v>
      </c>
      <c r="C9" s="626"/>
    </row>
    <row r="10" spans="1:3">
      <c r="A10" s="481"/>
      <c r="B10" s="615" t="s">
        <v>330</v>
      </c>
      <c r="C10" s="616" t="s">
        <v>330</v>
      </c>
    </row>
    <row r="11" spans="1:3">
      <c r="A11" s="481"/>
      <c r="B11" s="615" t="s">
        <v>331</v>
      </c>
      <c r="C11" s="616" t="s">
        <v>331</v>
      </c>
    </row>
    <row r="12" spans="1:3">
      <c r="A12" s="481"/>
      <c r="B12" s="615" t="s">
        <v>332</v>
      </c>
      <c r="C12" s="616" t="s">
        <v>332</v>
      </c>
    </row>
    <row r="13" spans="1:3">
      <c r="A13" s="481"/>
      <c r="B13" s="615" t="s">
        <v>333</v>
      </c>
      <c r="C13" s="616" t="s">
        <v>333</v>
      </c>
    </row>
    <row r="14" spans="1:3">
      <c r="A14" s="481"/>
      <c r="B14" s="615" t="s">
        <v>334</v>
      </c>
      <c r="C14" s="616" t="s">
        <v>334</v>
      </c>
    </row>
    <row r="15" spans="1:3" ht="21.75" customHeight="1">
      <c r="A15" s="481"/>
      <c r="B15" s="615" t="s">
        <v>335</v>
      </c>
      <c r="C15" s="616" t="s">
        <v>335</v>
      </c>
    </row>
    <row r="16" spans="1:3">
      <c r="A16" s="481"/>
      <c r="B16" s="615" t="s">
        <v>336</v>
      </c>
      <c r="C16" s="616" t="s">
        <v>337</v>
      </c>
    </row>
    <row r="17" spans="1:3">
      <c r="A17" s="481"/>
      <c r="B17" s="615" t="s">
        <v>338</v>
      </c>
      <c r="C17" s="616" t="s">
        <v>339</v>
      </c>
    </row>
    <row r="18" spans="1:3">
      <c r="A18" s="481"/>
      <c r="B18" s="615" t="s">
        <v>340</v>
      </c>
      <c r="C18" s="616" t="s">
        <v>341</v>
      </c>
    </row>
    <row r="19" spans="1:3">
      <c r="A19" s="481"/>
      <c r="B19" s="615" t="s">
        <v>342</v>
      </c>
      <c r="C19" s="616" t="s">
        <v>342</v>
      </c>
    </row>
    <row r="20" spans="1:3">
      <c r="A20" s="481"/>
      <c r="B20" s="615" t="s">
        <v>343</v>
      </c>
      <c r="C20" s="616" t="s">
        <v>343</v>
      </c>
    </row>
    <row r="21" spans="1:3">
      <c r="A21" s="481"/>
      <c r="B21" s="615" t="s">
        <v>344</v>
      </c>
      <c r="C21" s="616" t="s">
        <v>344</v>
      </c>
    </row>
    <row r="22" spans="1:3" ht="23.25" customHeight="1">
      <c r="A22" s="481"/>
      <c r="B22" s="615" t="s">
        <v>345</v>
      </c>
      <c r="C22" s="616" t="s">
        <v>346</v>
      </c>
    </row>
    <row r="23" spans="1:3">
      <c r="A23" s="481"/>
      <c r="B23" s="615" t="s">
        <v>347</v>
      </c>
      <c r="C23" s="616" t="s">
        <v>347</v>
      </c>
    </row>
    <row r="24" spans="1:3">
      <c r="A24" s="481"/>
      <c r="B24" s="615" t="s">
        <v>348</v>
      </c>
      <c r="C24" s="616" t="s">
        <v>349</v>
      </c>
    </row>
    <row r="25" spans="1:3" ht="12" thickBot="1">
      <c r="A25" s="227"/>
      <c r="B25" s="619" t="s">
        <v>350</v>
      </c>
      <c r="C25" s="620"/>
    </row>
    <row r="26" spans="1:3" ht="12.75" thickTop="1" thickBot="1">
      <c r="A26" s="606" t="s">
        <v>433</v>
      </c>
      <c r="B26" s="607"/>
      <c r="C26" s="608"/>
    </row>
    <row r="27" spans="1:3" ht="12.75" thickTop="1" thickBot="1">
      <c r="A27" s="228"/>
      <c r="B27" s="621" t="s">
        <v>351</v>
      </c>
      <c r="C27" s="622"/>
    </row>
    <row r="28" spans="1:3" ht="12.75" thickTop="1" thickBot="1">
      <c r="A28" s="606" t="s">
        <v>424</v>
      </c>
      <c r="B28" s="607"/>
      <c r="C28" s="608"/>
    </row>
    <row r="29" spans="1:3" ht="12" thickTop="1">
      <c r="A29" s="226"/>
      <c r="B29" s="623" t="s">
        <v>352</v>
      </c>
      <c r="C29" s="624" t="s">
        <v>353</v>
      </c>
    </row>
    <row r="30" spans="1:3">
      <c r="A30" s="481"/>
      <c r="B30" s="601" t="s">
        <v>354</v>
      </c>
      <c r="C30" s="602" t="s">
        <v>355</v>
      </c>
    </row>
    <row r="31" spans="1:3">
      <c r="A31" s="481"/>
      <c r="B31" s="601" t="s">
        <v>356</v>
      </c>
      <c r="C31" s="602" t="s">
        <v>357</v>
      </c>
    </row>
    <row r="32" spans="1:3">
      <c r="A32" s="481"/>
      <c r="B32" s="601" t="s">
        <v>358</v>
      </c>
      <c r="C32" s="602" t="s">
        <v>359</v>
      </c>
    </row>
    <row r="33" spans="1:3">
      <c r="A33" s="481"/>
      <c r="B33" s="601" t="s">
        <v>360</v>
      </c>
      <c r="C33" s="602" t="s">
        <v>361</v>
      </c>
    </row>
    <row r="34" spans="1:3">
      <c r="A34" s="481"/>
      <c r="B34" s="601" t="s">
        <v>362</v>
      </c>
      <c r="C34" s="602" t="s">
        <v>363</v>
      </c>
    </row>
    <row r="35" spans="1:3" ht="23.25" customHeight="1">
      <c r="A35" s="481"/>
      <c r="B35" s="601" t="s">
        <v>364</v>
      </c>
      <c r="C35" s="602" t="s">
        <v>365</v>
      </c>
    </row>
    <row r="36" spans="1:3" ht="24" customHeight="1">
      <c r="A36" s="481"/>
      <c r="B36" s="601" t="s">
        <v>366</v>
      </c>
      <c r="C36" s="602" t="s">
        <v>367</v>
      </c>
    </row>
    <row r="37" spans="1:3" ht="24.75" customHeight="1">
      <c r="A37" s="481"/>
      <c r="B37" s="601" t="s">
        <v>368</v>
      </c>
      <c r="C37" s="602" t="s">
        <v>369</v>
      </c>
    </row>
    <row r="38" spans="1:3" ht="23.25" customHeight="1">
      <c r="A38" s="481"/>
      <c r="B38" s="601" t="s">
        <v>425</v>
      </c>
      <c r="C38" s="602" t="s">
        <v>370</v>
      </c>
    </row>
    <row r="39" spans="1:3" ht="39.75" customHeight="1">
      <c r="A39" s="481"/>
      <c r="B39" s="615" t="s">
        <v>440</v>
      </c>
      <c r="C39" s="616" t="s">
        <v>371</v>
      </c>
    </row>
    <row r="40" spans="1:3" ht="12" customHeight="1">
      <c r="A40" s="481"/>
      <c r="B40" s="601" t="s">
        <v>372</v>
      </c>
      <c r="C40" s="602" t="s">
        <v>373</v>
      </c>
    </row>
    <row r="41" spans="1:3" ht="27" customHeight="1" thickBot="1">
      <c r="A41" s="227"/>
      <c r="B41" s="617" t="s">
        <v>374</v>
      </c>
      <c r="C41" s="618" t="s">
        <v>375</v>
      </c>
    </row>
    <row r="42" spans="1:3" ht="12.75" thickTop="1" thickBot="1">
      <c r="A42" s="606" t="s">
        <v>426</v>
      </c>
      <c r="B42" s="607"/>
      <c r="C42" s="608"/>
    </row>
    <row r="43" spans="1:3" ht="12" thickTop="1">
      <c r="A43" s="226"/>
      <c r="B43" s="609" t="s">
        <v>463</v>
      </c>
      <c r="C43" s="610" t="s">
        <v>376</v>
      </c>
    </row>
    <row r="44" spans="1:3">
      <c r="A44" s="481"/>
      <c r="B44" s="597" t="s">
        <v>462</v>
      </c>
      <c r="C44" s="598"/>
    </row>
    <row r="45" spans="1:3" ht="23.25" customHeight="1" thickBot="1">
      <c r="A45" s="227"/>
      <c r="B45" s="613" t="s">
        <v>377</v>
      </c>
      <c r="C45" s="614" t="s">
        <v>378</v>
      </c>
    </row>
    <row r="46" spans="1:3" ht="11.25" customHeight="1" thickTop="1" thickBot="1">
      <c r="A46" s="606" t="s">
        <v>427</v>
      </c>
      <c r="B46" s="607"/>
      <c r="C46" s="608"/>
    </row>
    <row r="47" spans="1:3" ht="26.25" customHeight="1" thickTop="1">
      <c r="A47" s="481"/>
      <c r="B47" s="597" t="s">
        <v>428</v>
      </c>
      <c r="C47" s="598"/>
    </row>
    <row r="48" spans="1:3" ht="12" thickBot="1">
      <c r="A48" s="606" t="s">
        <v>429</v>
      </c>
      <c r="B48" s="607"/>
      <c r="C48" s="608"/>
    </row>
    <row r="49" spans="1:3" ht="12" thickTop="1">
      <c r="A49" s="226"/>
      <c r="B49" s="609" t="s">
        <v>379</v>
      </c>
      <c r="C49" s="610" t="s">
        <v>379</v>
      </c>
    </row>
    <row r="50" spans="1:3" ht="11.25" customHeight="1">
      <c r="A50" s="481"/>
      <c r="B50" s="597" t="s">
        <v>380</v>
      </c>
      <c r="C50" s="598" t="s">
        <v>380</v>
      </c>
    </row>
    <row r="51" spans="1:3">
      <c r="A51" s="481"/>
      <c r="B51" s="597" t="s">
        <v>381</v>
      </c>
      <c r="C51" s="598" t="s">
        <v>381</v>
      </c>
    </row>
    <row r="52" spans="1:3" ht="11.25" customHeight="1">
      <c r="A52" s="481"/>
      <c r="B52" s="597" t="s">
        <v>490</v>
      </c>
      <c r="C52" s="598" t="s">
        <v>382</v>
      </c>
    </row>
    <row r="53" spans="1:3" ht="33.6" customHeight="1">
      <c r="A53" s="481"/>
      <c r="B53" s="597" t="s">
        <v>383</v>
      </c>
      <c r="C53" s="598" t="s">
        <v>383</v>
      </c>
    </row>
    <row r="54" spans="1:3" ht="11.25" customHeight="1">
      <c r="A54" s="481"/>
      <c r="B54" s="597" t="s">
        <v>483</v>
      </c>
      <c r="C54" s="598" t="s">
        <v>384</v>
      </c>
    </row>
    <row r="55" spans="1:3" ht="11.25" customHeight="1" thickBot="1">
      <c r="A55" s="606" t="s">
        <v>430</v>
      </c>
      <c r="B55" s="607"/>
      <c r="C55" s="608"/>
    </row>
    <row r="56" spans="1:3" ht="12" thickTop="1">
      <c r="A56" s="226"/>
      <c r="B56" s="609" t="s">
        <v>379</v>
      </c>
      <c r="C56" s="610" t="s">
        <v>379</v>
      </c>
    </row>
    <row r="57" spans="1:3">
      <c r="A57" s="481"/>
      <c r="B57" s="597" t="s">
        <v>385</v>
      </c>
      <c r="C57" s="598" t="s">
        <v>385</v>
      </c>
    </row>
    <row r="58" spans="1:3">
      <c r="A58" s="481"/>
      <c r="B58" s="597" t="s">
        <v>436</v>
      </c>
      <c r="C58" s="598" t="s">
        <v>386</v>
      </c>
    </row>
    <row r="59" spans="1:3">
      <c r="A59" s="481"/>
      <c r="B59" s="597" t="s">
        <v>387</v>
      </c>
      <c r="C59" s="598" t="s">
        <v>387</v>
      </c>
    </row>
    <row r="60" spans="1:3">
      <c r="A60" s="481"/>
      <c r="B60" s="597" t="s">
        <v>388</v>
      </c>
      <c r="C60" s="598" t="s">
        <v>388</v>
      </c>
    </row>
    <row r="61" spans="1:3">
      <c r="A61" s="481"/>
      <c r="B61" s="597" t="s">
        <v>389</v>
      </c>
      <c r="C61" s="598" t="s">
        <v>389</v>
      </c>
    </row>
    <row r="62" spans="1:3">
      <c r="A62" s="481"/>
      <c r="B62" s="597" t="s">
        <v>437</v>
      </c>
      <c r="C62" s="598" t="s">
        <v>390</v>
      </c>
    </row>
    <row r="63" spans="1:3">
      <c r="A63" s="481"/>
      <c r="B63" s="597" t="s">
        <v>391</v>
      </c>
      <c r="C63" s="598" t="s">
        <v>391</v>
      </c>
    </row>
    <row r="64" spans="1:3" ht="12" thickBot="1">
      <c r="A64" s="227"/>
      <c r="B64" s="613" t="s">
        <v>392</v>
      </c>
      <c r="C64" s="614" t="s">
        <v>392</v>
      </c>
    </row>
    <row r="65" spans="1:3" ht="11.25" customHeight="1" thickTop="1">
      <c r="A65" s="594" t="s">
        <v>431</v>
      </c>
      <c r="B65" s="595"/>
      <c r="C65" s="596"/>
    </row>
    <row r="66" spans="1:3" ht="12" thickBot="1">
      <c r="A66" s="227"/>
      <c r="B66" s="613" t="s">
        <v>393</v>
      </c>
      <c r="C66" s="614" t="s">
        <v>393</v>
      </c>
    </row>
    <row r="67" spans="1:3" ht="11.25" customHeight="1" thickTop="1" thickBot="1">
      <c r="A67" s="606" t="s">
        <v>432</v>
      </c>
      <c r="B67" s="607"/>
      <c r="C67" s="608"/>
    </row>
    <row r="68" spans="1:3" ht="12" thickTop="1">
      <c r="A68" s="226"/>
      <c r="B68" s="609" t="s">
        <v>394</v>
      </c>
      <c r="C68" s="610" t="s">
        <v>394</v>
      </c>
    </row>
    <row r="69" spans="1:3">
      <c r="A69" s="481"/>
      <c r="B69" s="597" t="s">
        <v>395</v>
      </c>
      <c r="C69" s="598" t="s">
        <v>395</v>
      </c>
    </row>
    <row r="70" spans="1:3">
      <c r="A70" s="481"/>
      <c r="B70" s="597" t="s">
        <v>396</v>
      </c>
      <c r="C70" s="598" t="s">
        <v>396</v>
      </c>
    </row>
    <row r="71" spans="1:3" ht="38.25" customHeight="1">
      <c r="A71" s="481"/>
      <c r="B71" s="611" t="s">
        <v>439</v>
      </c>
      <c r="C71" s="612" t="s">
        <v>397</v>
      </c>
    </row>
    <row r="72" spans="1:3" ht="33.75" customHeight="1">
      <c r="A72" s="481"/>
      <c r="B72" s="611" t="s">
        <v>442</v>
      </c>
      <c r="C72" s="612" t="s">
        <v>398</v>
      </c>
    </row>
    <row r="73" spans="1:3" ht="15.75" customHeight="1">
      <c r="A73" s="481"/>
      <c r="B73" s="611" t="s">
        <v>438</v>
      </c>
      <c r="C73" s="612" t="s">
        <v>399</v>
      </c>
    </row>
    <row r="74" spans="1:3">
      <c r="A74" s="481"/>
      <c r="B74" s="597" t="s">
        <v>400</v>
      </c>
      <c r="C74" s="598" t="s">
        <v>400</v>
      </c>
    </row>
    <row r="75" spans="1:3" ht="12" thickBot="1">
      <c r="A75" s="227"/>
      <c r="B75" s="613" t="s">
        <v>401</v>
      </c>
      <c r="C75" s="614" t="s">
        <v>401</v>
      </c>
    </row>
    <row r="76" spans="1:3" ht="12" thickTop="1">
      <c r="A76" s="594" t="s">
        <v>466</v>
      </c>
      <c r="B76" s="595"/>
      <c r="C76" s="596"/>
    </row>
    <row r="77" spans="1:3">
      <c r="A77" s="481"/>
      <c r="B77" s="597" t="s">
        <v>393</v>
      </c>
      <c r="C77" s="598"/>
    </row>
    <row r="78" spans="1:3">
      <c r="A78" s="481"/>
      <c r="B78" s="597" t="s">
        <v>464</v>
      </c>
      <c r="C78" s="598"/>
    </row>
    <row r="79" spans="1:3">
      <c r="A79" s="481"/>
      <c r="B79" s="597" t="s">
        <v>465</v>
      </c>
      <c r="C79" s="598"/>
    </row>
    <row r="80" spans="1:3">
      <c r="A80" s="594" t="s">
        <v>467</v>
      </c>
      <c r="B80" s="595"/>
      <c r="C80" s="596"/>
    </row>
    <row r="81" spans="1:3">
      <c r="A81" s="481"/>
      <c r="B81" s="597" t="s">
        <v>393</v>
      </c>
      <c r="C81" s="598"/>
    </row>
    <row r="82" spans="1:3">
      <c r="A82" s="481"/>
      <c r="B82" s="597" t="s">
        <v>468</v>
      </c>
      <c r="C82" s="598"/>
    </row>
    <row r="83" spans="1:3" ht="76.5" customHeight="1">
      <c r="A83" s="481"/>
      <c r="B83" s="597" t="s">
        <v>482</v>
      </c>
      <c r="C83" s="598"/>
    </row>
    <row r="84" spans="1:3" ht="53.25" customHeight="1">
      <c r="A84" s="481"/>
      <c r="B84" s="597" t="s">
        <v>481</v>
      </c>
      <c r="C84" s="598"/>
    </row>
    <row r="85" spans="1:3">
      <c r="A85" s="481"/>
      <c r="B85" s="597" t="s">
        <v>469</v>
      </c>
      <c r="C85" s="598"/>
    </row>
    <row r="86" spans="1:3">
      <c r="A86" s="481"/>
      <c r="B86" s="597" t="s">
        <v>470</v>
      </c>
      <c r="C86" s="598"/>
    </row>
    <row r="87" spans="1:3">
      <c r="A87" s="481"/>
      <c r="B87" s="597" t="s">
        <v>471</v>
      </c>
      <c r="C87" s="598"/>
    </row>
    <row r="88" spans="1:3">
      <c r="A88" s="594" t="s">
        <v>472</v>
      </c>
      <c r="B88" s="595"/>
      <c r="C88" s="596"/>
    </row>
    <row r="89" spans="1:3">
      <c r="A89" s="481"/>
      <c r="B89" s="597" t="s">
        <v>393</v>
      </c>
      <c r="C89" s="598"/>
    </row>
    <row r="90" spans="1:3">
      <c r="A90" s="481"/>
      <c r="B90" s="597" t="s">
        <v>474</v>
      </c>
      <c r="C90" s="598"/>
    </row>
    <row r="91" spans="1:3" ht="12" customHeight="1">
      <c r="A91" s="481"/>
      <c r="B91" s="597" t="s">
        <v>475</v>
      </c>
      <c r="C91" s="598"/>
    </row>
    <row r="92" spans="1:3">
      <c r="A92" s="481"/>
      <c r="B92" s="597" t="s">
        <v>476</v>
      </c>
      <c r="C92" s="598"/>
    </row>
    <row r="93" spans="1:3" ht="24.75" customHeight="1">
      <c r="A93" s="481"/>
      <c r="B93" s="599" t="s">
        <v>518</v>
      </c>
      <c r="C93" s="600"/>
    </row>
    <row r="94" spans="1:3" ht="24" customHeight="1">
      <c r="A94" s="481"/>
      <c r="B94" s="599" t="s">
        <v>519</v>
      </c>
      <c r="C94" s="600"/>
    </row>
    <row r="95" spans="1:3" ht="13.5" customHeight="1">
      <c r="A95" s="481"/>
      <c r="B95" s="601" t="s">
        <v>477</v>
      </c>
      <c r="C95" s="602"/>
    </row>
    <row r="96" spans="1:3" ht="11.25" customHeight="1" thickBot="1">
      <c r="A96" s="603" t="s">
        <v>514</v>
      </c>
      <c r="B96" s="604"/>
      <c r="C96" s="605"/>
    </row>
    <row r="97" spans="1:3" ht="12.75" thickTop="1" thickBot="1">
      <c r="A97" s="593" t="s">
        <v>402</v>
      </c>
      <c r="B97" s="593"/>
      <c r="C97" s="593"/>
    </row>
    <row r="98" spans="1:3">
      <c r="A98" s="348">
        <v>2</v>
      </c>
      <c r="B98" s="478" t="s">
        <v>494</v>
      </c>
      <c r="C98" s="478" t="s">
        <v>515</v>
      </c>
    </row>
    <row r="99" spans="1:3">
      <c r="A99" s="231">
        <v>3</v>
      </c>
      <c r="B99" s="479" t="s">
        <v>495</v>
      </c>
      <c r="C99" s="480" t="s">
        <v>516</v>
      </c>
    </row>
    <row r="100" spans="1:3">
      <c r="A100" s="231">
        <v>4</v>
      </c>
      <c r="B100" s="479" t="s">
        <v>496</v>
      </c>
      <c r="C100" s="480" t="s">
        <v>520</v>
      </c>
    </row>
    <row r="101" spans="1:3" ht="11.25" customHeight="1">
      <c r="A101" s="231">
        <v>5</v>
      </c>
      <c r="B101" s="479" t="s">
        <v>497</v>
      </c>
      <c r="C101" s="480" t="s">
        <v>517</v>
      </c>
    </row>
    <row r="102" spans="1:3" ht="12" customHeight="1">
      <c r="A102" s="231">
        <v>6</v>
      </c>
      <c r="B102" s="479" t="s">
        <v>512</v>
      </c>
      <c r="C102" s="480" t="s">
        <v>498</v>
      </c>
    </row>
    <row r="103" spans="1:3" ht="12" customHeight="1">
      <c r="A103" s="231">
        <v>7</v>
      </c>
      <c r="B103" s="479" t="s">
        <v>499</v>
      </c>
      <c r="C103" s="480" t="s">
        <v>513</v>
      </c>
    </row>
    <row r="104" spans="1:3">
      <c r="A104" s="231">
        <v>8</v>
      </c>
      <c r="B104" s="479" t="s">
        <v>504</v>
      </c>
      <c r="C104" s="480" t="s">
        <v>524</v>
      </c>
    </row>
    <row r="105" spans="1:3" ht="11.25" customHeight="1">
      <c r="A105" s="594" t="s">
        <v>478</v>
      </c>
      <c r="B105" s="595"/>
      <c r="C105" s="596"/>
    </row>
    <row r="106" spans="1:3" ht="12" customHeight="1">
      <c r="A106" s="481"/>
      <c r="B106" s="597" t="s">
        <v>393</v>
      </c>
      <c r="C106" s="598"/>
    </row>
  </sheetData>
  <mergeCells count="99">
    <mergeCell ref="B6:C6"/>
    <mergeCell ref="A1:C1"/>
    <mergeCell ref="B2:C2"/>
    <mergeCell ref="B3:C3"/>
    <mergeCell ref="A4:C4"/>
    <mergeCell ref="B5:C5"/>
    <mergeCell ref="B18:C18"/>
    <mergeCell ref="B7:C7"/>
    <mergeCell ref="B8:C8"/>
    <mergeCell ref="B9:C9"/>
    <mergeCell ref="B10:C10"/>
    <mergeCell ref="B11:C11"/>
    <mergeCell ref="B12:C12"/>
    <mergeCell ref="B13:C13"/>
    <mergeCell ref="B14:C14"/>
    <mergeCell ref="B15:C15"/>
    <mergeCell ref="B16:C16"/>
    <mergeCell ref="B17:C17"/>
    <mergeCell ref="B30:C30"/>
    <mergeCell ref="B19:C19"/>
    <mergeCell ref="B20:C20"/>
    <mergeCell ref="B21:C21"/>
    <mergeCell ref="B22:C22"/>
    <mergeCell ref="B23:C23"/>
    <mergeCell ref="B24:C24"/>
    <mergeCell ref="B25:C25"/>
    <mergeCell ref="A26:C26"/>
    <mergeCell ref="B27:C27"/>
    <mergeCell ref="A28:C28"/>
    <mergeCell ref="B29:C29"/>
    <mergeCell ref="A42:C42"/>
    <mergeCell ref="B31:C31"/>
    <mergeCell ref="B32:C32"/>
    <mergeCell ref="B33:C33"/>
    <mergeCell ref="B34:C34"/>
    <mergeCell ref="B35:C35"/>
    <mergeCell ref="B36:C36"/>
    <mergeCell ref="B37:C37"/>
    <mergeCell ref="B38:C38"/>
    <mergeCell ref="B39:C39"/>
    <mergeCell ref="B40:C40"/>
    <mergeCell ref="B41:C41"/>
    <mergeCell ref="B54:C54"/>
    <mergeCell ref="B43:C43"/>
    <mergeCell ref="B44:C44"/>
    <mergeCell ref="B45:C45"/>
    <mergeCell ref="A46:C46"/>
    <mergeCell ref="B47:C47"/>
    <mergeCell ref="A48:C48"/>
    <mergeCell ref="B49:C49"/>
    <mergeCell ref="B50:C50"/>
    <mergeCell ref="B51:C51"/>
    <mergeCell ref="B52:C52"/>
    <mergeCell ref="B53:C53"/>
    <mergeCell ref="B66:C66"/>
    <mergeCell ref="A55:C55"/>
    <mergeCell ref="B56:C56"/>
    <mergeCell ref="B57:C57"/>
    <mergeCell ref="B58:C58"/>
    <mergeCell ref="B59:C59"/>
    <mergeCell ref="B60:C60"/>
    <mergeCell ref="B61:C61"/>
    <mergeCell ref="B62:C62"/>
    <mergeCell ref="B63:C63"/>
    <mergeCell ref="B64:C64"/>
    <mergeCell ref="A65:C65"/>
    <mergeCell ref="B78:C78"/>
    <mergeCell ref="A67:C67"/>
    <mergeCell ref="B68:C68"/>
    <mergeCell ref="B69:C69"/>
    <mergeCell ref="B70:C70"/>
    <mergeCell ref="B71:C71"/>
    <mergeCell ref="B72:C72"/>
    <mergeCell ref="B73:C73"/>
    <mergeCell ref="B74:C74"/>
    <mergeCell ref="B75:C75"/>
    <mergeCell ref="A76:C76"/>
    <mergeCell ref="B77:C77"/>
    <mergeCell ref="B90:C90"/>
    <mergeCell ref="B79:C79"/>
    <mergeCell ref="A80:C80"/>
    <mergeCell ref="B81:C81"/>
    <mergeCell ref="B82:C82"/>
    <mergeCell ref="B83:C83"/>
    <mergeCell ref="B84:C84"/>
    <mergeCell ref="B85:C85"/>
    <mergeCell ref="B86:C86"/>
    <mergeCell ref="B87:C87"/>
    <mergeCell ref="A88:C88"/>
    <mergeCell ref="B89:C89"/>
    <mergeCell ref="A97:C97"/>
    <mergeCell ref="A105:C105"/>
    <mergeCell ref="B106:C106"/>
    <mergeCell ref="B91:C91"/>
    <mergeCell ref="B92:C92"/>
    <mergeCell ref="B93:C93"/>
    <mergeCell ref="B94:C94"/>
    <mergeCell ref="B95:C95"/>
    <mergeCell ref="A96:C96"/>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9.9978637043366805E-2"/>
  </sheetPr>
  <dimension ref="A1:H51"/>
  <sheetViews>
    <sheetView tabSelected="1" zoomScaleNormal="100" workbookViewId="0">
      <pane xSplit="1" ySplit="5" topLeftCell="B6" activePane="bottomRight" state="frozen"/>
      <selection activeCell="B2" sqref="B2:C2"/>
      <selection pane="topRight" activeCell="B2" sqref="B2:C2"/>
      <selection pane="bottomLeft" activeCell="B2" sqref="B2:C2"/>
      <selection pane="bottomRight" activeCell="B2" sqref="B2"/>
    </sheetView>
  </sheetViews>
  <sheetFormatPr defaultRowHeight="15.75"/>
  <cols>
    <col min="1" max="1" width="9.5703125" style="20" bestFit="1" customWidth="1"/>
    <col min="2" max="2" width="88.42578125" style="17" customWidth="1"/>
    <col min="3" max="3" width="12.7109375" style="17" customWidth="1"/>
    <col min="4" max="7" width="12.7109375" style="2" customWidth="1"/>
    <col min="8" max="13" width="6.7109375" customWidth="1"/>
  </cols>
  <sheetData>
    <row r="1" spans="1:8">
      <c r="A1" s="18" t="s">
        <v>188</v>
      </c>
      <c r="B1" s="432" t="str">
        <f>Info!C2</f>
        <v>სს "ბანკი ქართუ"</v>
      </c>
    </row>
    <row r="2" spans="1:8">
      <c r="A2" s="18" t="s">
        <v>189</v>
      </c>
      <c r="B2" s="456">
        <v>44286</v>
      </c>
      <c r="C2" s="30"/>
      <c r="D2" s="19"/>
      <c r="E2" s="19"/>
      <c r="F2" s="19"/>
      <c r="G2" s="19"/>
      <c r="H2" s="1"/>
    </row>
    <row r="3" spans="1:8">
      <c r="A3" s="18"/>
      <c r="C3" s="30"/>
      <c r="D3" s="19"/>
      <c r="E3" s="19"/>
      <c r="F3" s="19"/>
      <c r="G3" s="19"/>
      <c r="H3" s="1"/>
    </row>
    <row r="4" spans="1:8" ht="16.5" thickBot="1">
      <c r="A4" s="71" t="s">
        <v>405</v>
      </c>
      <c r="B4" s="207" t="s">
        <v>223</v>
      </c>
      <c r="C4" s="208"/>
      <c r="D4" s="209"/>
      <c r="E4" s="209"/>
      <c r="F4" s="209"/>
      <c r="G4" s="209"/>
      <c r="H4" s="1"/>
    </row>
    <row r="5" spans="1:8" ht="15">
      <c r="A5" s="323" t="s">
        <v>26</v>
      </c>
      <c r="B5" s="324"/>
      <c r="C5" s="457" t="str">
        <f>INT((MONTH($B$2))/3)&amp;"Q"&amp;"-"&amp;YEAR($B$2)</f>
        <v>1Q-2021</v>
      </c>
      <c r="D5" s="457" t="str">
        <f>IF(INT(MONTH($B$2))=3, "4"&amp;"Q"&amp;"-"&amp;YEAR($B$2)-1, IF(INT(MONTH($B$2))=6, "1"&amp;"Q"&amp;"-"&amp;YEAR($B$2), IF(INT(MONTH($B$2))=9, "2"&amp;"Q"&amp;"-"&amp;YEAR($B$2),IF(INT(MONTH($B$2))=12, "3"&amp;"Q"&amp;"-"&amp;YEAR($B$2), 0))))</f>
        <v>4Q-2020</v>
      </c>
      <c r="E5" s="457" t="str">
        <f>IF(INT(MONTH($B$2))=3, "3"&amp;"Q"&amp;"-"&amp;YEAR($B$2)-1, IF(INT(MONTH($B$2))=6, "4"&amp;"Q"&amp;"-"&amp;YEAR($B$2)-1, IF(INT(MONTH($B$2))=9, "1"&amp;"Q"&amp;"-"&amp;YEAR($B$2),IF(INT(MONTH($B$2))=12, "2"&amp;"Q"&amp;"-"&amp;YEAR($B$2), 0))))</f>
        <v>3Q-2020</v>
      </c>
      <c r="F5" s="457" t="str">
        <f>IF(INT(MONTH($B$2))=3, "2"&amp;"Q"&amp;"-"&amp;YEAR($B$2)-1, IF(INT(MONTH($B$2))=6, "3"&amp;"Q"&amp;"-"&amp;YEAR($B$2)-1, IF(INT(MONTH($B$2))=9, "4"&amp;"Q"&amp;"-"&amp;YEAR($B$2)-1,IF(INT(MONTH($B$2))=12, "1"&amp;"Q"&amp;"-"&amp;YEAR($B$2), 0))))</f>
        <v>2Q-2020</v>
      </c>
      <c r="G5" s="458" t="str">
        <f>IF(INT(MONTH($B$2))=3, "1"&amp;"Q"&amp;"-"&amp;YEAR($B$2)-1, IF(INT(MONTH($B$2))=6, "2"&amp;"Q"&amp;"-"&amp;YEAR($B$2)-1, IF(INT(MONTH($B$2))=9, "3"&amp;"Q"&amp;"-"&amp;YEAR($B$2)-1,IF(INT(MONTH($B$2))=12, "4"&amp;"Q"&amp;"-"&amp;YEAR($B$2)-1, 0))))</f>
        <v>1Q-2020</v>
      </c>
    </row>
    <row r="6" spans="1:8" ht="15">
      <c r="A6" s="459"/>
      <c r="B6" s="460" t="s">
        <v>186</v>
      </c>
      <c r="C6" s="325"/>
      <c r="D6" s="325"/>
      <c r="E6" s="325"/>
      <c r="F6" s="325"/>
      <c r="G6" s="326"/>
    </row>
    <row r="7" spans="1:8" ht="15">
      <c r="A7" s="459"/>
      <c r="B7" s="461" t="s">
        <v>190</v>
      </c>
      <c r="C7" s="325"/>
      <c r="D7" s="325"/>
      <c r="E7" s="325"/>
      <c r="F7" s="325"/>
      <c r="G7" s="326"/>
    </row>
    <row r="8" spans="1:8" ht="15">
      <c r="A8" s="437">
        <v>1</v>
      </c>
      <c r="B8" s="438" t="s">
        <v>23</v>
      </c>
      <c r="C8" s="462">
        <v>180388469.65000001</v>
      </c>
      <c r="D8" s="462">
        <v>171026077</v>
      </c>
      <c r="E8" s="462">
        <v>164116199</v>
      </c>
      <c r="F8" s="462">
        <v>167969628</v>
      </c>
      <c r="G8" s="463">
        <v>159299161</v>
      </c>
    </row>
    <row r="9" spans="1:8" ht="15">
      <c r="A9" s="437">
        <v>2</v>
      </c>
      <c r="B9" s="438" t="s">
        <v>89</v>
      </c>
      <c r="C9" s="462">
        <v>238389069.65000001</v>
      </c>
      <c r="D9" s="462">
        <v>226728277</v>
      </c>
      <c r="E9" s="462">
        <v>187130799</v>
      </c>
      <c r="F9" s="462">
        <v>189356028</v>
      </c>
      <c r="G9" s="463">
        <v>182290661</v>
      </c>
    </row>
    <row r="10" spans="1:8" ht="15">
      <c r="A10" s="437">
        <v>3</v>
      </c>
      <c r="B10" s="438" t="s">
        <v>88</v>
      </c>
      <c r="C10" s="462">
        <v>419211592.64999998</v>
      </c>
      <c r="D10" s="462">
        <v>400582803</v>
      </c>
      <c r="E10" s="462">
        <v>425737869</v>
      </c>
      <c r="F10" s="462">
        <v>411644701</v>
      </c>
      <c r="G10" s="463">
        <v>420404542</v>
      </c>
    </row>
    <row r="11" spans="1:8" ht="15">
      <c r="A11" s="437">
        <v>4</v>
      </c>
      <c r="B11" s="438" t="s">
        <v>616</v>
      </c>
      <c r="C11" s="462">
        <v>159279293.63442346</v>
      </c>
      <c r="D11" s="462">
        <v>140186595.68914956</v>
      </c>
      <c r="E11" s="462">
        <v>88331728.488419667</v>
      </c>
      <c r="F11" s="462">
        <v>85828162.422011659</v>
      </c>
      <c r="G11" s="463">
        <v>91509005.016969308</v>
      </c>
    </row>
    <row r="12" spans="1:8" ht="15">
      <c r="A12" s="437">
        <v>5</v>
      </c>
      <c r="B12" s="438" t="s">
        <v>617</v>
      </c>
      <c r="C12" s="462">
        <v>200349795.65585443</v>
      </c>
      <c r="D12" s="462">
        <v>174966591.98411831</v>
      </c>
      <c r="E12" s="462">
        <v>117813197.48385058</v>
      </c>
      <c r="F12" s="462">
        <v>114473193.44822226</v>
      </c>
      <c r="G12" s="463">
        <v>122051736.86201726</v>
      </c>
    </row>
    <row r="13" spans="1:8" ht="15">
      <c r="A13" s="437">
        <v>6</v>
      </c>
      <c r="B13" s="438" t="s">
        <v>618</v>
      </c>
      <c r="C13" s="462">
        <v>310509572.82126808</v>
      </c>
      <c r="D13" s="462">
        <v>310408552.82748038</v>
      </c>
      <c r="E13" s="462">
        <v>238598136.8853966</v>
      </c>
      <c r="F13" s="462">
        <v>230848413.88465124</v>
      </c>
      <c r="G13" s="463">
        <v>244994664.96188772</v>
      </c>
    </row>
    <row r="14" spans="1:8" ht="15">
      <c r="A14" s="459"/>
      <c r="B14" s="460" t="s">
        <v>620</v>
      </c>
      <c r="C14" s="325"/>
      <c r="D14" s="325"/>
      <c r="E14" s="325"/>
      <c r="F14" s="325"/>
      <c r="G14" s="326"/>
    </row>
    <row r="15" spans="1:8" ht="25.5">
      <c r="A15" s="437">
        <v>7</v>
      </c>
      <c r="B15" s="438" t="s">
        <v>619</v>
      </c>
      <c r="C15" s="462">
        <v>1458081188.9781187</v>
      </c>
      <c r="D15" s="462">
        <v>1448539441.0368302</v>
      </c>
      <c r="E15" s="462">
        <v>1452187561.9034677</v>
      </c>
      <c r="F15" s="462">
        <v>1418689194.4814458</v>
      </c>
      <c r="G15" s="463">
        <v>1511302849.3190932</v>
      </c>
    </row>
    <row r="16" spans="1:8" ht="15">
      <c r="A16" s="459"/>
      <c r="B16" s="460" t="s">
        <v>624</v>
      </c>
      <c r="C16" s="325"/>
      <c r="D16" s="325"/>
      <c r="E16" s="325"/>
      <c r="F16" s="325"/>
      <c r="G16" s="326"/>
    </row>
    <row r="17" spans="1:7" s="3" customFormat="1" ht="15">
      <c r="A17" s="437"/>
      <c r="B17" s="461" t="s">
        <v>605</v>
      </c>
      <c r="C17" s="325"/>
      <c r="D17" s="325"/>
      <c r="E17" s="325"/>
      <c r="F17" s="325"/>
      <c r="G17" s="326"/>
    </row>
    <row r="18" spans="1:7" ht="15">
      <c r="A18" s="436">
        <v>8</v>
      </c>
      <c r="B18" s="464" t="s">
        <v>614</v>
      </c>
      <c r="C18" s="473">
        <v>0.1237163410471151</v>
      </c>
      <c r="D18" s="473">
        <v>0.11806794634296157</v>
      </c>
      <c r="E18" s="473">
        <v>0.11301308681151576</v>
      </c>
      <c r="F18" s="473">
        <v>0.1183977636915714</v>
      </c>
      <c r="G18" s="474">
        <v>0.10540518802817787</v>
      </c>
    </row>
    <row r="19" spans="1:7" ht="15" customHeight="1">
      <c r="A19" s="436">
        <v>9</v>
      </c>
      <c r="B19" s="464" t="s">
        <v>613</v>
      </c>
      <c r="C19" s="473">
        <v>0.16349505874708703</v>
      </c>
      <c r="D19" s="473">
        <v>0.15652199075622911</v>
      </c>
      <c r="E19" s="473">
        <v>0.12886131510086524</v>
      </c>
      <c r="F19" s="473">
        <v>0.1334725243108747</v>
      </c>
      <c r="G19" s="474">
        <v>0.12061822094898436</v>
      </c>
    </row>
    <row r="20" spans="1:7" ht="15">
      <c r="A20" s="436">
        <v>10</v>
      </c>
      <c r="B20" s="464" t="s">
        <v>615</v>
      </c>
      <c r="C20" s="473">
        <v>0.28750908784702184</v>
      </c>
      <c r="D20" s="473">
        <v>0.27654255842234599</v>
      </c>
      <c r="E20" s="473">
        <v>0.29317002856157254</v>
      </c>
      <c r="F20" s="473">
        <v>0.29015848051938037</v>
      </c>
      <c r="G20" s="474">
        <v>0.27817359187102059</v>
      </c>
    </row>
    <row r="21" spans="1:7" ht="15">
      <c r="A21" s="436">
        <v>11</v>
      </c>
      <c r="B21" s="438" t="s">
        <v>616</v>
      </c>
      <c r="C21" s="482">
        <v>0.10923897437155247</v>
      </c>
      <c r="D21" s="482">
        <v>9.6777893454393846E-2</v>
      </c>
      <c r="E21" s="482">
        <v>6.0826666475946173E-2</v>
      </c>
      <c r="F21" s="482">
        <v>6.0498213954031883E-2</v>
      </c>
      <c r="G21" s="483">
        <v>6.0549746900959024E-2</v>
      </c>
    </row>
    <row r="22" spans="1:7" ht="15">
      <c r="A22" s="436">
        <v>12</v>
      </c>
      <c r="B22" s="438" t="s">
        <v>617</v>
      </c>
      <c r="C22" s="482">
        <v>0.13740647446132101</v>
      </c>
      <c r="D22" s="482">
        <v>0.12078828303003016</v>
      </c>
      <c r="E22" s="482">
        <v>8.1128086050692994E-2</v>
      </c>
      <c r="F22" s="482">
        <v>8.0689409557435934E-2</v>
      </c>
      <c r="G22" s="483">
        <v>8.0759284558357583E-2</v>
      </c>
    </row>
    <row r="23" spans="1:7" ht="15">
      <c r="A23" s="436">
        <v>13</v>
      </c>
      <c r="B23" s="438" t="s">
        <v>618</v>
      </c>
      <c r="C23" s="482">
        <v>0.21295767009989722</v>
      </c>
      <c r="D23" s="482">
        <v>0.21429071520848428</v>
      </c>
      <c r="E23" s="482">
        <v>0.16430256197254023</v>
      </c>
      <c r="F23" s="482">
        <v>0.16271951233760551</v>
      </c>
      <c r="G23" s="483">
        <v>0.16210825320171157</v>
      </c>
    </row>
    <row r="24" spans="1:7" ht="15">
      <c r="A24" s="459"/>
      <c r="B24" s="460" t="s">
        <v>6</v>
      </c>
      <c r="C24" s="325"/>
      <c r="D24" s="325"/>
      <c r="E24" s="325"/>
      <c r="F24" s="325"/>
      <c r="G24" s="326"/>
    </row>
    <row r="25" spans="1:7" ht="15" customHeight="1">
      <c r="A25" s="465">
        <v>14</v>
      </c>
      <c r="B25" s="466" t="s">
        <v>7</v>
      </c>
      <c r="C25" s="473">
        <v>4.9308039280143698E-2</v>
      </c>
      <c r="D25" s="473">
        <v>5.7798008621737444E-2</v>
      </c>
      <c r="E25" s="473">
        <v>5.7254344290042912E-2</v>
      </c>
      <c r="F25" s="473">
        <v>5.4625367345239012E-2</v>
      </c>
      <c r="G25" s="484">
        <v>6.1053834010515812E-2</v>
      </c>
    </row>
    <row r="26" spans="1:7" ht="15">
      <c r="A26" s="465">
        <v>15</v>
      </c>
      <c r="B26" s="466" t="s">
        <v>8</v>
      </c>
      <c r="C26" s="473">
        <v>2.5907335762192122E-2</v>
      </c>
      <c r="D26" s="473">
        <v>2.6432057290733939E-2</v>
      </c>
      <c r="E26" s="473">
        <v>2.6058620101981084E-2</v>
      </c>
      <c r="F26" s="473">
        <v>2.4816611277254756E-2</v>
      </c>
      <c r="G26" s="484">
        <v>2.3100862838908012E-2</v>
      </c>
    </row>
    <row r="27" spans="1:7" ht="15">
      <c r="A27" s="465">
        <v>16</v>
      </c>
      <c r="B27" s="466" t="s">
        <v>9</v>
      </c>
      <c r="C27" s="473">
        <v>2.7599250829665765E-2</v>
      </c>
      <c r="D27" s="473">
        <v>1.7974020495611802E-2</v>
      </c>
      <c r="E27" s="473">
        <v>1.7390057315518369E-2</v>
      </c>
      <c r="F27" s="473">
        <v>1.6478752011488611E-2</v>
      </c>
      <c r="G27" s="484">
        <v>2.705207760897814E-2</v>
      </c>
    </row>
    <row r="28" spans="1:7" ht="15">
      <c r="A28" s="465">
        <v>17</v>
      </c>
      <c r="B28" s="466" t="s">
        <v>224</v>
      </c>
      <c r="C28" s="473">
        <v>2.3400703517951572E-2</v>
      </c>
      <c r="D28" s="473">
        <v>3.1365951331003505E-2</v>
      </c>
      <c r="E28" s="473">
        <v>3.1195724188061824E-2</v>
      </c>
      <c r="F28" s="473">
        <v>2.9808756067984256E-2</v>
      </c>
      <c r="G28" s="484">
        <v>3.7952971171607799E-2</v>
      </c>
    </row>
    <row r="29" spans="1:7" ht="15">
      <c r="A29" s="465">
        <v>18</v>
      </c>
      <c r="B29" s="466" t="s">
        <v>10</v>
      </c>
      <c r="C29" s="473">
        <v>2.4210249063772265E-2</v>
      </c>
      <c r="D29" s="473">
        <v>-1.895280121225831E-2</v>
      </c>
      <c r="E29" s="473">
        <v>-3.1113725196758139E-2</v>
      </c>
      <c r="F29" s="473">
        <v>-4.2533664394970722E-2</v>
      </c>
      <c r="G29" s="484">
        <v>-0.12896922677632647</v>
      </c>
    </row>
    <row r="30" spans="1:7" ht="15">
      <c r="A30" s="465">
        <v>19</v>
      </c>
      <c r="B30" s="466" t="s">
        <v>11</v>
      </c>
      <c r="C30" s="473">
        <v>0.18932634371953191</v>
      </c>
      <c r="D30" s="473">
        <v>-0.13653204235450236</v>
      </c>
      <c r="E30" s="473">
        <v>-0.21923859389273789</v>
      </c>
      <c r="F30" s="473">
        <v>-0.28962992689378836</v>
      </c>
      <c r="G30" s="484">
        <v>-0.81729106984194966</v>
      </c>
    </row>
    <row r="31" spans="1:7" ht="15">
      <c r="A31" s="459"/>
      <c r="B31" s="460" t="s">
        <v>12</v>
      </c>
      <c r="C31" s="325"/>
      <c r="D31" s="325"/>
      <c r="E31" s="325"/>
      <c r="F31" s="325"/>
      <c r="G31" s="326"/>
    </row>
    <row r="32" spans="1:7" ht="15">
      <c r="A32" s="465">
        <v>20</v>
      </c>
      <c r="B32" s="466" t="s">
        <v>13</v>
      </c>
      <c r="C32" s="473">
        <v>0.34742919152744028</v>
      </c>
      <c r="D32" s="473">
        <v>0.34985489375950574</v>
      </c>
      <c r="E32" s="473">
        <v>0.3667970977145078</v>
      </c>
      <c r="F32" s="473">
        <v>0.36456460284047221</v>
      </c>
      <c r="G32" s="484">
        <v>0.32063760838106115</v>
      </c>
    </row>
    <row r="33" spans="1:7" ht="15" customHeight="1">
      <c r="A33" s="465">
        <v>21</v>
      </c>
      <c r="B33" s="466" t="s">
        <v>14</v>
      </c>
      <c r="C33" s="473">
        <v>0.16016029623217928</v>
      </c>
      <c r="D33" s="473">
        <v>0.16101958424404253</v>
      </c>
      <c r="E33" s="473">
        <v>0.17179922339227699</v>
      </c>
      <c r="F33" s="473">
        <v>0.16971871851103956</v>
      </c>
      <c r="G33" s="484">
        <v>0.17585986955554778</v>
      </c>
    </row>
    <row r="34" spans="1:7" ht="15">
      <c r="A34" s="465">
        <v>22</v>
      </c>
      <c r="B34" s="466" t="s">
        <v>15</v>
      </c>
      <c r="C34" s="473">
        <v>0.68939866376839776</v>
      </c>
      <c r="D34" s="473">
        <v>0.6614950302500493</v>
      </c>
      <c r="E34" s="473">
        <v>0.67483223056505193</v>
      </c>
      <c r="F34" s="473">
        <v>0.68376783921838447</v>
      </c>
      <c r="G34" s="484">
        <v>0.71526156266547436</v>
      </c>
    </row>
    <row r="35" spans="1:7" ht="15" customHeight="1">
      <c r="A35" s="465">
        <v>23</v>
      </c>
      <c r="B35" s="466" t="s">
        <v>16</v>
      </c>
      <c r="C35" s="473">
        <v>0.70344948211524705</v>
      </c>
      <c r="D35" s="473">
        <v>0.67343143849694653</v>
      </c>
      <c r="E35" s="473">
        <v>0.68508977678245853</v>
      </c>
      <c r="F35" s="473">
        <v>0.68099733447949529</v>
      </c>
      <c r="G35" s="484">
        <v>0.72110461914764334</v>
      </c>
    </row>
    <row r="36" spans="1:7" ht="15">
      <c r="A36" s="465">
        <v>24</v>
      </c>
      <c r="B36" s="466" t="s">
        <v>17</v>
      </c>
      <c r="C36" s="473">
        <v>2.670841919251421E-2</v>
      </c>
      <c r="D36" s="473">
        <v>0.18752038665288917</v>
      </c>
      <c r="E36" s="473">
        <v>0.12519015126108557</v>
      </c>
      <c r="F36" s="473">
        <v>8.5001158221147843E-2</v>
      </c>
      <c r="G36" s="484">
        <v>0.13092959709379248</v>
      </c>
    </row>
    <row r="37" spans="1:7" ht="15" customHeight="1">
      <c r="A37" s="459"/>
      <c r="B37" s="460" t="s">
        <v>18</v>
      </c>
      <c r="C37" s="485"/>
      <c r="D37" s="485"/>
      <c r="E37" s="485"/>
      <c r="F37" s="485"/>
      <c r="G37" s="326"/>
    </row>
    <row r="38" spans="1:7" ht="15" customHeight="1">
      <c r="A38" s="465">
        <v>25</v>
      </c>
      <c r="B38" s="466" t="s">
        <v>19</v>
      </c>
      <c r="C38" s="473">
        <v>0.28325995888446787</v>
      </c>
      <c r="D38" s="473">
        <v>0.27347141396724822</v>
      </c>
      <c r="E38" s="473">
        <v>0.3086875655424145</v>
      </c>
      <c r="F38" s="473">
        <v>0.23563597768205205</v>
      </c>
      <c r="G38" s="484">
        <v>0.29656619117139454</v>
      </c>
    </row>
    <row r="39" spans="1:7" ht="15" customHeight="1">
      <c r="A39" s="465">
        <v>26</v>
      </c>
      <c r="B39" s="466" t="s">
        <v>20</v>
      </c>
      <c r="C39" s="473">
        <v>0.88554498687629501</v>
      </c>
      <c r="D39" s="473">
        <v>0.8639255370211254</v>
      </c>
      <c r="E39" s="473">
        <v>0.85640675493683238</v>
      </c>
      <c r="F39" s="473">
        <v>0.87773726841368005</v>
      </c>
      <c r="G39" s="484">
        <v>0.90733955948230816</v>
      </c>
    </row>
    <row r="40" spans="1:7" ht="15" customHeight="1">
      <c r="A40" s="465">
        <v>27</v>
      </c>
      <c r="B40" s="467" t="s">
        <v>21</v>
      </c>
      <c r="C40" s="473">
        <v>0.29508951140373502</v>
      </c>
      <c r="D40" s="473">
        <v>0.31707029103061257</v>
      </c>
      <c r="E40" s="473">
        <v>0.32613572964272519</v>
      </c>
      <c r="F40" s="473">
        <v>0.34007535685738693</v>
      </c>
      <c r="G40" s="484">
        <v>0.38198219172940984</v>
      </c>
    </row>
    <row r="41" spans="1:7" ht="15" customHeight="1">
      <c r="A41" s="471"/>
      <c r="B41" s="460" t="s">
        <v>526</v>
      </c>
      <c r="C41" s="485"/>
      <c r="D41" s="485"/>
      <c r="E41" s="485"/>
      <c r="F41" s="485"/>
      <c r="G41" s="326"/>
    </row>
    <row r="42" spans="1:7" ht="15" customHeight="1">
      <c r="A42" s="465">
        <v>28</v>
      </c>
      <c r="B42" s="477" t="s">
        <v>510</v>
      </c>
      <c r="C42" s="467">
        <v>401929885.62160707</v>
      </c>
      <c r="D42" s="467">
        <v>364179944.89409655</v>
      </c>
      <c r="E42" s="467">
        <v>353567646.6511544</v>
      </c>
      <c r="F42" s="467">
        <v>354174094.01967555</v>
      </c>
      <c r="G42" s="470">
        <v>327940947.81004167</v>
      </c>
    </row>
    <row r="43" spans="1:7" ht="15">
      <c r="A43" s="465">
        <v>29</v>
      </c>
      <c r="B43" s="466" t="s">
        <v>511</v>
      </c>
      <c r="C43" s="468">
        <v>194922768.10077018</v>
      </c>
      <c r="D43" s="468">
        <v>195000359.53773654</v>
      </c>
      <c r="E43" s="468">
        <v>191701831.13834506</v>
      </c>
      <c r="F43" s="468">
        <v>215853593.25725913</v>
      </c>
      <c r="G43" s="469">
        <v>161624105.84783745</v>
      </c>
    </row>
    <row r="44" spans="1:7" thickBot="1">
      <c r="A44" s="475">
        <v>30</v>
      </c>
      <c r="B44" s="476" t="s">
        <v>509</v>
      </c>
      <c r="C44" s="486">
        <v>2.0619955766984561</v>
      </c>
      <c r="D44" s="486">
        <v>1.8675860175715231</v>
      </c>
      <c r="E44" s="486">
        <v>1.8443623858553337</v>
      </c>
      <c r="F44" s="486">
        <v>1.6408070334857152</v>
      </c>
      <c r="G44" s="487">
        <v>2.0290348775001719</v>
      </c>
    </row>
    <row r="45" spans="1:7" ht="15">
      <c r="A45" s="475"/>
      <c r="B45" s="460" t="s">
        <v>625</v>
      </c>
      <c r="C45" s="325"/>
      <c r="D45" s="325"/>
      <c r="E45" s="325"/>
      <c r="F45" s="325"/>
      <c r="G45" s="326"/>
    </row>
    <row r="46" spans="1:7" ht="15">
      <c r="A46" s="475">
        <v>31</v>
      </c>
      <c r="B46" s="476" t="s">
        <v>626</v>
      </c>
      <c r="C46" s="488">
        <v>1060644682.2611049</v>
      </c>
      <c r="D46" s="488">
        <v>1034490332.6695256</v>
      </c>
      <c r="E46" s="488">
        <v>1039782890.381465</v>
      </c>
      <c r="F46" s="488">
        <v>980910570.39182425</v>
      </c>
      <c r="G46" s="489">
        <v>1041130789.6264694</v>
      </c>
    </row>
    <row r="47" spans="1:7" ht="15">
      <c r="A47" s="475">
        <v>32</v>
      </c>
      <c r="B47" s="476" t="s">
        <v>627</v>
      </c>
      <c r="C47" s="490">
        <v>808096025.73969662</v>
      </c>
      <c r="D47" s="490">
        <v>832092658.43730593</v>
      </c>
      <c r="E47" s="490">
        <v>761299444.62701607</v>
      </c>
      <c r="F47" s="490">
        <v>742990970.45915425</v>
      </c>
      <c r="G47" s="491">
        <v>772656785.10727072</v>
      </c>
    </row>
    <row r="48" spans="1:7" thickBot="1">
      <c r="A48" s="123">
        <v>33</v>
      </c>
      <c r="B48" s="241" t="s">
        <v>628</v>
      </c>
      <c r="C48" s="492">
        <v>1.3125230770566358</v>
      </c>
      <c r="D48" s="492">
        <v>1.2432393462193603</v>
      </c>
      <c r="E48" s="492">
        <v>1.3658001430578823</v>
      </c>
      <c r="F48" s="492">
        <v>1.3202186963128775</v>
      </c>
      <c r="G48" s="493">
        <v>1.3474686428618179</v>
      </c>
    </row>
    <row r="49" spans="1:7">
      <c r="A49" s="21"/>
    </row>
    <row r="50" spans="1:7" ht="39.75">
      <c r="B50" s="24" t="s">
        <v>604</v>
      </c>
    </row>
    <row r="51" spans="1:7" ht="65.25">
      <c r="B51" s="372" t="s">
        <v>525</v>
      </c>
      <c r="D51" s="345"/>
      <c r="E51" s="345"/>
      <c r="F51" s="345"/>
      <c r="G51" s="34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9.9978637043366805E-2"/>
  </sheetPr>
  <dimension ref="A1:H43"/>
  <sheetViews>
    <sheetView workbookViewId="0">
      <pane xSplit="1" ySplit="5" topLeftCell="B6" activePane="bottomRight" state="frozen"/>
      <selection activeCell="B2" sqref="B2:C2"/>
      <selection pane="topRight" activeCell="B2" sqref="B2:C2"/>
      <selection pane="bottomLeft" activeCell="B2" sqref="B2:C2"/>
      <selection pane="bottomRight" activeCell="B2" sqref="B2"/>
    </sheetView>
  </sheetViews>
  <sheetFormatPr defaultRowHeight="15"/>
  <cols>
    <col min="1" max="1" width="9.5703125" style="2" bestFit="1" customWidth="1"/>
    <col min="2" max="2" width="55.140625" style="2" bestFit="1" customWidth="1"/>
    <col min="3" max="8" width="13.85546875" style="2" customWidth="1"/>
  </cols>
  <sheetData>
    <row r="1" spans="1:8" ht="15.75">
      <c r="A1" s="18" t="s">
        <v>188</v>
      </c>
      <c r="B1" s="345" t="str">
        <f>Info!C2</f>
        <v>სს "ბანკი ქართუ"</v>
      </c>
    </row>
    <row r="2" spans="1:8" ht="15.75">
      <c r="A2" s="18" t="s">
        <v>189</v>
      </c>
      <c r="B2" s="472">
        <f>'1. key ratios'!B2</f>
        <v>44286</v>
      </c>
    </row>
    <row r="3" spans="1:8" ht="15.75">
      <c r="A3" s="18"/>
    </row>
    <row r="4" spans="1:8" ht="16.5" thickBot="1">
      <c r="A4" s="32" t="s">
        <v>406</v>
      </c>
      <c r="B4" s="72" t="s">
        <v>244</v>
      </c>
      <c r="C4" s="32"/>
      <c r="D4" s="33"/>
      <c r="E4" s="33"/>
      <c r="F4" s="34"/>
      <c r="G4" s="34"/>
      <c r="H4" s="35" t="s">
        <v>93</v>
      </c>
    </row>
    <row r="5" spans="1:8" ht="15.75">
      <c r="A5" s="36"/>
      <c r="B5" s="37"/>
      <c r="C5" s="546" t="s">
        <v>194</v>
      </c>
      <c r="D5" s="547"/>
      <c r="E5" s="548"/>
      <c r="F5" s="546" t="s">
        <v>195</v>
      </c>
      <c r="G5" s="547"/>
      <c r="H5" s="549"/>
    </row>
    <row r="6" spans="1:8" ht="15.75">
      <c r="A6" s="38" t="s">
        <v>26</v>
      </c>
      <c r="B6" s="39" t="s">
        <v>153</v>
      </c>
      <c r="C6" s="40" t="s">
        <v>27</v>
      </c>
      <c r="D6" s="40" t="s">
        <v>94</v>
      </c>
      <c r="E6" s="40" t="s">
        <v>68</v>
      </c>
      <c r="F6" s="40" t="s">
        <v>27</v>
      </c>
      <c r="G6" s="40" t="s">
        <v>94</v>
      </c>
      <c r="H6" s="41" t="s">
        <v>68</v>
      </c>
    </row>
    <row r="7" spans="1:8" ht="15.75">
      <c r="A7" s="38">
        <v>1</v>
      </c>
      <c r="B7" s="42" t="s">
        <v>154</v>
      </c>
      <c r="C7" s="242">
        <v>12038040</v>
      </c>
      <c r="D7" s="242">
        <v>23886415</v>
      </c>
      <c r="E7" s="243">
        <f>C7+D7</f>
        <v>35924455</v>
      </c>
      <c r="F7" s="244">
        <v>6216168</v>
      </c>
      <c r="G7" s="245">
        <v>7857747</v>
      </c>
      <c r="H7" s="246">
        <f>F7+G7</f>
        <v>14073915</v>
      </c>
    </row>
    <row r="8" spans="1:8" ht="15.75">
      <c r="A8" s="38">
        <v>2</v>
      </c>
      <c r="B8" s="42" t="s">
        <v>155</v>
      </c>
      <c r="C8" s="242">
        <v>597708</v>
      </c>
      <c r="D8" s="242">
        <v>220212777</v>
      </c>
      <c r="E8" s="243">
        <f t="shared" ref="E8:E20" si="0">C8+D8</f>
        <v>220810485</v>
      </c>
      <c r="F8" s="244">
        <v>2663120</v>
      </c>
      <c r="G8" s="245">
        <v>193438351</v>
      </c>
      <c r="H8" s="246">
        <f t="shared" ref="H8:H40" si="1">F8+G8</f>
        <v>196101471</v>
      </c>
    </row>
    <row r="9" spans="1:8" ht="15.75">
      <c r="A9" s="38">
        <v>3</v>
      </c>
      <c r="B9" s="42" t="s">
        <v>156</v>
      </c>
      <c r="C9" s="242">
        <v>23645319</v>
      </c>
      <c r="D9" s="242">
        <v>95062304</v>
      </c>
      <c r="E9" s="243">
        <f t="shared" si="0"/>
        <v>118707623</v>
      </c>
      <c r="F9" s="244">
        <v>33444675</v>
      </c>
      <c r="G9" s="245">
        <v>155775847</v>
      </c>
      <c r="H9" s="246">
        <f t="shared" si="1"/>
        <v>189220522</v>
      </c>
    </row>
    <row r="10" spans="1:8" ht="15.75">
      <c r="A10" s="38">
        <v>4</v>
      </c>
      <c r="B10" s="42" t="s">
        <v>185</v>
      </c>
      <c r="C10" s="242">
        <v>0</v>
      </c>
      <c r="D10" s="242">
        <v>0</v>
      </c>
      <c r="E10" s="243">
        <f t="shared" si="0"/>
        <v>0</v>
      </c>
      <c r="F10" s="244">
        <v>0</v>
      </c>
      <c r="G10" s="245">
        <v>0</v>
      </c>
      <c r="H10" s="246">
        <f t="shared" si="1"/>
        <v>0</v>
      </c>
    </row>
    <row r="11" spans="1:8" ht="15.75">
      <c r="A11" s="38">
        <v>5</v>
      </c>
      <c r="B11" s="42" t="s">
        <v>157</v>
      </c>
      <c r="C11" s="242">
        <v>42995676</v>
      </c>
      <c r="D11" s="242">
        <v>16717820</v>
      </c>
      <c r="E11" s="243">
        <f t="shared" si="0"/>
        <v>59713496</v>
      </c>
      <c r="F11" s="244">
        <v>23992442</v>
      </c>
      <c r="G11" s="245">
        <v>16094050</v>
      </c>
      <c r="H11" s="246">
        <f t="shared" si="1"/>
        <v>40086492</v>
      </c>
    </row>
    <row r="12" spans="1:8" ht="15.75">
      <c r="A12" s="38">
        <v>6.1</v>
      </c>
      <c r="B12" s="43" t="s">
        <v>158</v>
      </c>
      <c r="C12" s="242">
        <v>347564438</v>
      </c>
      <c r="D12" s="242">
        <v>771440529</v>
      </c>
      <c r="E12" s="243">
        <f t="shared" si="0"/>
        <v>1119004967</v>
      </c>
      <c r="F12" s="244">
        <v>295546271</v>
      </c>
      <c r="G12" s="245">
        <v>742410788</v>
      </c>
      <c r="H12" s="246">
        <f t="shared" si="1"/>
        <v>1037957059</v>
      </c>
    </row>
    <row r="13" spans="1:8" ht="15.75">
      <c r="A13" s="38">
        <v>6.2</v>
      </c>
      <c r="B13" s="43" t="s">
        <v>159</v>
      </c>
      <c r="C13" s="242">
        <v>-61314250</v>
      </c>
      <c r="D13" s="242">
        <v>-117905917</v>
      </c>
      <c r="E13" s="243">
        <f t="shared" si="0"/>
        <v>-179220167</v>
      </c>
      <c r="F13" s="244">
        <v>-49304726</v>
      </c>
      <c r="G13" s="245">
        <v>-133230267</v>
      </c>
      <c r="H13" s="246">
        <f t="shared" si="1"/>
        <v>-182534993</v>
      </c>
    </row>
    <row r="14" spans="1:8" ht="15.75">
      <c r="A14" s="38">
        <v>6</v>
      </c>
      <c r="B14" s="42" t="s">
        <v>160</v>
      </c>
      <c r="C14" s="243">
        <f>C12+C13</f>
        <v>286250188</v>
      </c>
      <c r="D14" s="243">
        <f>D12+D13</f>
        <v>653534612</v>
      </c>
      <c r="E14" s="243">
        <f t="shared" si="0"/>
        <v>939784800</v>
      </c>
      <c r="F14" s="243">
        <f>F12+F13</f>
        <v>246241545</v>
      </c>
      <c r="G14" s="243">
        <f>G12+G13</f>
        <v>609180521</v>
      </c>
      <c r="H14" s="246">
        <f t="shared" si="1"/>
        <v>855422066</v>
      </c>
    </row>
    <row r="15" spans="1:8" ht="15.75">
      <c r="A15" s="38">
        <v>7</v>
      </c>
      <c r="B15" s="42" t="s">
        <v>161</v>
      </c>
      <c r="C15" s="242">
        <v>8121016</v>
      </c>
      <c r="D15" s="242">
        <v>6483163</v>
      </c>
      <c r="E15" s="243">
        <f t="shared" si="0"/>
        <v>14604179</v>
      </c>
      <c r="F15" s="244">
        <v>4441977</v>
      </c>
      <c r="G15" s="245">
        <v>10182093</v>
      </c>
      <c r="H15" s="246">
        <f t="shared" si="1"/>
        <v>14624070</v>
      </c>
    </row>
    <row r="16" spans="1:8" ht="15.75">
      <c r="A16" s="38">
        <v>8</v>
      </c>
      <c r="B16" s="42" t="s">
        <v>162</v>
      </c>
      <c r="C16" s="242">
        <v>2483931</v>
      </c>
      <c r="D16" s="242" t="s">
        <v>633</v>
      </c>
      <c r="E16" s="243">
        <f>C16</f>
        <v>2483931</v>
      </c>
      <c r="F16" s="244">
        <v>16402698</v>
      </c>
      <c r="G16" s="245" t="s">
        <v>633</v>
      </c>
      <c r="H16" s="246" t="e">
        <f t="shared" si="1"/>
        <v>#VALUE!</v>
      </c>
    </row>
    <row r="17" spans="1:8" ht="15.75">
      <c r="A17" s="38">
        <v>9</v>
      </c>
      <c r="B17" s="42" t="s">
        <v>163</v>
      </c>
      <c r="C17" s="242">
        <v>7793239</v>
      </c>
      <c r="D17" s="242">
        <v>0</v>
      </c>
      <c r="E17" s="243">
        <f t="shared" si="0"/>
        <v>7793239</v>
      </c>
      <c r="F17" s="244">
        <v>6442196</v>
      </c>
      <c r="G17" s="245">
        <v>0</v>
      </c>
      <c r="H17" s="246">
        <f t="shared" si="1"/>
        <v>6442196</v>
      </c>
    </row>
    <row r="18" spans="1:8" ht="15.75">
      <c r="A18" s="38">
        <v>10</v>
      </c>
      <c r="B18" s="42" t="s">
        <v>164</v>
      </c>
      <c r="C18" s="242">
        <v>20545588</v>
      </c>
      <c r="D18" s="242" t="s">
        <v>633</v>
      </c>
      <c r="E18" s="243">
        <f>C18</f>
        <v>20545588</v>
      </c>
      <c r="F18" s="244">
        <v>22977539</v>
      </c>
      <c r="G18" s="245" t="s">
        <v>633</v>
      </c>
      <c r="H18" s="246" t="e">
        <f t="shared" si="1"/>
        <v>#VALUE!</v>
      </c>
    </row>
    <row r="19" spans="1:8" ht="15.75">
      <c r="A19" s="38">
        <v>11</v>
      </c>
      <c r="B19" s="42" t="s">
        <v>165</v>
      </c>
      <c r="C19" s="242">
        <v>25529698</v>
      </c>
      <c r="D19" s="242">
        <v>4109763</v>
      </c>
      <c r="E19" s="243">
        <f t="shared" si="0"/>
        <v>29639461</v>
      </c>
      <c r="F19" s="244">
        <v>21766835</v>
      </c>
      <c r="G19" s="245">
        <v>1855178</v>
      </c>
      <c r="H19" s="246">
        <f t="shared" si="1"/>
        <v>23622013</v>
      </c>
    </row>
    <row r="20" spans="1:8" ht="15.75">
      <c r="A20" s="38">
        <v>12</v>
      </c>
      <c r="B20" s="44" t="s">
        <v>166</v>
      </c>
      <c r="C20" s="243">
        <f>SUM(C7:C11)+SUM(C14:C19)</f>
        <v>430000403</v>
      </c>
      <c r="D20" s="243">
        <f>SUM(D7:D11)+SUM(D14:D19)</f>
        <v>1020006854</v>
      </c>
      <c r="E20" s="243">
        <f t="shared" si="0"/>
        <v>1450007257</v>
      </c>
      <c r="F20" s="243">
        <f>SUM(F7:F11)+SUM(F14:F19)</f>
        <v>384589195</v>
      </c>
      <c r="G20" s="243">
        <f>SUM(G7:G11)+SUM(G14:G19)</f>
        <v>994383787</v>
      </c>
      <c r="H20" s="246">
        <f t="shared" si="1"/>
        <v>1378972982</v>
      </c>
    </row>
    <row r="21" spans="1:8" ht="15.75">
      <c r="A21" s="38"/>
      <c r="B21" s="39" t="s">
        <v>183</v>
      </c>
      <c r="C21" s="247" t="s">
        <v>634</v>
      </c>
      <c r="D21" s="247"/>
      <c r="E21" s="247"/>
      <c r="F21" s="248" t="s">
        <v>634</v>
      </c>
      <c r="G21" s="249"/>
      <c r="H21" s="250"/>
    </row>
    <row r="22" spans="1:8" ht="15.75">
      <c r="A22" s="38">
        <v>13</v>
      </c>
      <c r="B22" s="42" t="s">
        <v>167</v>
      </c>
      <c r="C22" s="242">
        <v>51303</v>
      </c>
      <c r="D22" s="242">
        <v>116136</v>
      </c>
      <c r="E22" s="243">
        <f>C22+D22</f>
        <v>167439</v>
      </c>
      <c r="F22" s="244">
        <v>51151</v>
      </c>
      <c r="G22" s="245">
        <v>117904</v>
      </c>
      <c r="H22" s="246">
        <f t="shared" si="1"/>
        <v>169055</v>
      </c>
    </row>
    <row r="23" spans="1:8" ht="15.75">
      <c r="A23" s="38">
        <v>14</v>
      </c>
      <c r="B23" s="42" t="s">
        <v>168</v>
      </c>
      <c r="C23" s="242">
        <v>40186914</v>
      </c>
      <c r="D23" s="242">
        <v>302621616</v>
      </c>
      <c r="E23" s="243">
        <f t="shared" ref="E23:E30" si="2">C23+D23</f>
        <v>342808530</v>
      </c>
      <c r="F23" s="244">
        <v>46554657</v>
      </c>
      <c r="G23" s="245">
        <v>416518506</v>
      </c>
      <c r="H23" s="246">
        <f t="shared" si="1"/>
        <v>463073163</v>
      </c>
    </row>
    <row r="24" spans="1:8" ht="15.75">
      <c r="A24" s="38">
        <v>15</v>
      </c>
      <c r="B24" s="42" t="s">
        <v>169</v>
      </c>
      <c r="C24" s="242">
        <v>17004721</v>
      </c>
      <c r="D24" s="242">
        <v>68068682</v>
      </c>
      <c r="E24" s="243">
        <f t="shared" si="2"/>
        <v>85073403</v>
      </c>
      <c r="F24" s="244">
        <v>18090276</v>
      </c>
      <c r="G24" s="245">
        <v>45579683</v>
      </c>
      <c r="H24" s="246">
        <f t="shared" si="1"/>
        <v>63669959</v>
      </c>
    </row>
    <row r="25" spans="1:8" ht="15.75">
      <c r="A25" s="38">
        <v>16</v>
      </c>
      <c r="B25" s="42" t="s">
        <v>170</v>
      </c>
      <c r="C25" s="242">
        <v>72787666</v>
      </c>
      <c r="D25" s="242">
        <v>505256273</v>
      </c>
      <c r="E25" s="243">
        <f t="shared" si="2"/>
        <v>578043939</v>
      </c>
      <c r="F25" s="244">
        <v>33118484</v>
      </c>
      <c r="G25" s="245">
        <v>379912645</v>
      </c>
      <c r="H25" s="246">
        <f t="shared" si="1"/>
        <v>413031129</v>
      </c>
    </row>
    <row r="26" spans="1:8" ht="15.75">
      <c r="A26" s="38">
        <v>17</v>
      </c>
      <c r="B26" s="42" t="s">
        <v>171</v>
      </c>
      <c r="C26" s="247"/>
      <c r="D26" s="247"/>
      <c r="E26" s="243">
        <f t="shared" si="2"/>
        <v>0</v>
      </c>
      <c r="F26" s="248"/>
      <c r="G26" s="249"/>
      <c r="H26" s="246">
        <f t="shared" si="1"/>
        <v>0</v>
      </c>
    </row>
    <row r="27" spans="1:8" ht="15.75">
      <c r="A27" s="38">
        <v>18</v>
      </c>
      <c r="B27" s="42" t="s">
        <v>172</v>
      </c>
      <c r="C27" s="242">
        <v>0</v>
      </c>
      <c r="D27" s="242">
        <v>0</v>
      </c>
      <c r="E27" s="243">
        <f t="shared" si="2"/>
        <v>0</v>
      </c>
      <c r="F27" s="244">
        <v>0</v>
      </c>
      <c r="G27" s="245">
        <v>0</v>
      </c>
      <c r="H27" s="246">
        <f t="shared" si="1"/>
        <v>0</v>
      </c>
    </row>
    <row r="28" spans="1:8" ht="15.75">
      <c r="A28" s="38">
        <v>19</v>
      </c>
      <c r="B28" s="42" t="s">
        <v>173</v>
      </c>
      <c r="C28" s="242">
        <v>3551096</v>
      </c>
      <c r="D28" s="242">
        <v>12050461</v>
      </c>
      <c r="E28" s="243">
        <f t="shared" si="2"/>
        <v>15601557</v>
      </c>
      <c r="F28" s="244">
        <v>646145</v>
      </c>
      <c r="G28" s="245">
        <v>10161605</v>
      </c>
      <c r="H28" s="246">
        <f t="shared" si="1"/>
        <v>10807750</v>
      </c>
    </row>
    <row r="29" spans="1:8" ht="15.75">
      <c r="A29" s="38">
        <v>20</v>
      </c>
      <c r="B29" s="42" t="s">
        <v>95</v>
      </c>
      <c r="C29" s="242">
        <v>10839807</v>
      </c>
      <c r="D29" s="242">
        <v>5470217</v>
      </c>
      <c r="E29" s="243">
        <f t="shared" si="2"/>
        <v>16310024</v>
      </c>
      <c r="F29" s="244">
        <v>14118324</v>
      </c>
      <c r="G29" s="245">
        <v>1785746</v>
      </c>
      <c r="H29" s="246">
        <f t="shared" si="1"/>
        <v>15904070</v>
      </c>
    </row>
    <row r="30" spans="1:8" ht="15.75">
      <c r="A30" s="38">
        <v>21</v>
      </c>
      <c r="B30" s="42" t="s">
        <v>174</v>
      </c>
      <c r="C30" s="242">
        <v>0</v>
      </c>
      <c r="D30" s="242">
        <v>223814080</v>
      </c>
      <c r="E30" s="243">
        <f t="shared" si="2"/>
        <v>223814080</v>
      </c>
      <c r="F30" s="244">
        <v>0</v>
      </c>
      <c r="G30" s="245">
        <v>248308200</v>
      </c>
      <c r="H30" s="246">
        <f t="shared" si="1"/>
        <v>248308200</v>
      </c>
    </row>
    <row r="31" spans="1:8" ht="15.75">
      <c r="A31" s="38">
        <v>22</v>
      </c>
      <c r="B31" s="44" t="s">
        <v>175</v>
      </c>
      <c r="C31" s="243">
        <f>SUM(C22:C30)</f>
        <v>144421507</v>
      </c>
      <c r="D31" s="243">
        <f>SUM(D22:D30)</f>
        <v>1117397465</v>
      </c>
      <c r="E31" s="243">
        <f>C31+D31</f>
        <v>1261818972</v>
      </c>
      <c r="F31" s="243">
        <f>SUM(F22:F30)</f>
        <v>112579037</v>
      </c>
      <c r="G31" s="243">
        <f>SUM(G22:G30)</f>
        <v>1102384289</v>
      </c>
      <c r="H31" s="246">
        <f t="shared" si="1"/>
        <v>1214963326</v>
      </c>
    </row>
    <row r="32" spans="1:8" ht="15.75">
      <c r="A32" s="38"/>
      <c r="B32" s="39" t="s">
        <v>184</v>
      </c>
      <c r="C32" s="247"/>
      <c r="D32" s="247"/>
      <c r="E32" s="242"/>
      <c r="F32" s="248"/>
      <c r="G32" s="249"/>
      <c r="H32" s="250"/>
    </row>
    <row r="33" spans="1:8" ht="15.75">
      <c r="A33" s="38">
        <v>23</v>
      </c>
      <c r="B33" s="42" t="s">
        <v>176</v>
      </c>
      <c r="C33" s="242">
        <v>114430000</v>
      </c>
      <c r="D33" s="247"/>
      <c r="E33" s="243">
        <f>C33</f>
        <v>114430000</v>
      </c>
      <c r="F33" s="244">
        <v>114430000</v>
      </c>
      <c r="G33" s="249"/>
      <c r="H33" s="246">
        <f t="shared" si="1"/>
        <v>114430000</v>
      </c>
    </row>
    <row r="34" spans="1:8" ht="15.75">
      <c r="A34" s="38">
        <v>24</v>
      </c>
      <c r="B34" s="42" t="s">
        <v>177</v>
      </c>
      <c r="C34" s="242">
        <v>0</v>
      </c>
      <c r="D34" s="247"/>
      <c r="E34" s="243">
        <f t="shared" ref="E34:E40" si="3">C34</f>
        <v>0</v>
      </c>
      <c r="F34" s="244">
        <v>0</v>
      </c>
      <c r="G34" s="249"/>
      <c r="H34" s="246">
        <f t="shared" si="1"/>
        <v>0</v>
      </c>
    </row>
    <row r="35" spans="1:8" ht="15.75">
      <c r="A35" s="38">
        <v>25</v>
      </c>
      <c r="B35" s="43" t="s">
        <v>178</v>
      </c>
      <c r="C35" s="242">
        <v>0</v>
      </c>
      <c r="D35" s="247"/>
      <c r="E35" s="243">
        <f t="shared" si="3"/>
        <v>0</v>
      </c>
      <c r="F35" s="244">
        <v>0</v>
      </c>
      <c r="G35" s="249"/>
      <c r="H35" s="246">
        <f t="shared" si="1"/>
        <v>0</v>
      </c>
    </row>
    <row r="36" spans="1:8" ht="15.75">
      <c r="A36" s="38">
        <v>26</v>
      </c>
      <c r="B36" s="42" t="s">
        <v>179</v>
      </c>
      <c r="C36" s="242">
        <v>0</v>
      </c>
      <c r="D36" s="247"/>
      <c r="E36" s="243">
        <f t="shared" si="3"/>
        <v>0</v>
      </c>
      <c r="F36" s="244">
        <v>0</v>
      </c>
      <c r="G36" s="249"/>
      <c r="H36" s="246">
        <f t="shared" si="1"/>
        <v>0</v>
      </c>
    </row>
    <row r="37" spans="1:8" ht="15.75">
      <c r="A37" s="38">
        <v>27</v>
      </c>
      <c r="B37" s="42" t="s">
        <v>180</v>
      </c>
      <c r="C37" s="242">
        <v>7438034</v>
      </c>
      <c r="D37" s="247"/>
      <c r="E37" s="243">
        <f t="shared" si="3"/>
        <v>7438034</v>
      </c>
      <c r="F37" s="244">
        <v>7438034</v>
      </c>
      <c r="G37" s="249"/>
      <c r="H37" s="246">
        <f t="shared" si="1"/>
        <v>7438034</v>
      </c>
    </row>
    <row r="38" spans="1:8" ht="15.75">
      <c r="A38" s="38">
        <v>28</v>
      </c>
      <c r="B38" s="42" t="s">
        <v>181</v>
      </c>
      <c r="C38" s="242">
        <v>66012224</v>
      </c>
      <c r="D38" s="247"/>
      <c r="E38" s="243">
        <f t="shared" si="3"/>
        <v>66012224</v>
      </c>
      <c r="F38" s="244">
        <v>42141622</v>
      </c>
      <c r="G38" s="249"/>
      <c r="H38" s="246">
        <f t="shared" si="1"/>
        <v>42141622</v>
      </c>
    </row>
    <row r="39" spans="1:8" ht="15.75">
      <c r="A39" s="38">
        <v>29</v>
      </c>
      <c r="B39" s="42" t="s">
        <v>196</v>
      </c>
      <c r="C39" s="242">
        <v>308027</v>
      </c>
      <c r="D39" s="247"/>
      <c r="E39" s="243">
        <f t="shared" si="3"/>
        <v>308027</v>
      </c>
      <c r="F39" s="244">
        <v>0</v>
      </c>
      <c r="G39" s="249"/>
      <c r="H39" s="246">
        <f t="shared" si="1"/>
        <v>0</v>
      </c>
    </row>
    <row r="40" spans="1:8" ht="15.75">
      <c r="A40" s="38">
        <v>30</v>
      </c>
      <c r="B40" s="44" t="s">
        <v>182</v>
      </c>
      <c r="C40" s="242">
        <f>SUM(C33:C39)</f>
        <v>188188285</v>
      </c>
      <c r="D40" s="247"/>
      <c r="E40" s="243">
        <f t="shared" si="3"/>
        <v>188188285</v>
      </c>
      <c r="F40" s="244">
        <f>SUM(F33:F39)</f>
        <v>164009656</v>
      </c>
      <c r="G40" s="249"/>
      <c r="H40" s="246">
        <f t="shared" si="1"/>
        <v>164009656</v>
      </c>
    </row>
    <row r="41" spans="1:8" ht="16.5" thickBot="1">
      <c r="A41" s="45">
        <v>31</v>
      </c>
      <c r="B41" s="46" t="s">
        <v>197</v>
      </c>
      <c r="C41" s="251">
        <f>C31+C40</f>
        <v>332609792</v>
      </c>
      <c r="D41" s="251">
        <f>D31+D40</f>
        <v>1117397465</v>
      </c>
      <c r="E41" s="251">
        <f>C41+D41</f>
        <v>1450007257</v>
      </c>
      <c r="F41" s="251">
        <f>F31+F40</f>
        <v>276588693</v>
      </c>
      <c r="G41" s="251">
        <f>G31+G40</f>
        <v>1102384289</v>
      </c>
      <c r="H41" s="252">
        <f>F41+G41</f>
        <v>1378972982</v>
      </c>
    </row>
    <row r="43" spans="1:8">
      <c r="B43" s="4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9.9978637043366805E-2"/>
  </sheetPr>
  <dimension ref="A1:I67"/>
  <sheetViews>
    <sheetView workbookViewId="0">
      <pane xSplit="1" ySplit="6" topLeftCell="B7" activePane="bottomRight" state="frozen"/>
      <selection activeCell="B2" sqref="B2:C2"/>
      <selection pane="topRight" activeCell="B2" sqref="B2:C2"/>
      <selection pane="bottomLeft" activeCell="B2" sqref="B2:C2"/>
      <selection pane="bottomRight" activeCell="B7" sqref="B7"/>
    </sheetView>
  </sheetViews>
  <sheetFormatPr defaultColWidth="9.140625" defaultRowHeight="15"/>
  <cols>
    <col min="1" max="1" width="9.5703125" style="2" bestFit="1" customWidth="1"/>
    <col min="2" max="2" width="75.140625" style="2" customWidth="1"/>
    <col min="3" max="8" width="12.7109375" style="2" customWidth="1"/>
    <col min="9" max="9" width="8.85546875" customWidth="1"/>
    <col min="10" max="16384" width="9.140625" style="13"/>
  </cols>
  <sheetData>
    <row r="1" spans="1:8" ht="15.75">
      <c r="A1" s="18" t="s">
        <v>188</v>
      </c>
      <c r="B1" s="17" t="str">
        <f>Info!C2</f>
        <v>სს "ბანკი ქართუ"</v>
      </c>
      <c r="C1" s="17"/>
    </row>
    <row r="2" spans="1:8" ht="15.75">
      <c r="A2" s="18" t="s">
        <v>189</v>
      </c>
      <c r="B2" s="472">
        <f>'1. key ratios'!B2</f>
        <v>44286</v>
      </c>
      <c r="C2" s="30"/>
      <c r="D2" s="19"/>
      <c r="E2" s="19"/>
      <c r="F2" s="19"/>
      <c r="G2" s="19"/>
      <c r="H2" s="19"/>
    </row>
    <row r="3" spans="1:8" ht="15.75">
      <c r="A3" s="18"/>
      <c r="B3" s="17"/>
      <c r="C3" s="30"/>
      <c r="D3" s="19"/>
      <c r="E3" s="19"/>
      <c r="F3" s="19"/>
      <c r="G3" s="19"/>
      <c r="H3" s="19"/>
    </row>
    <row r="4" spans="1:8" ht="16.5" thickBot="1">
      <c r="A4" s="48" t="s">
        <v>407</v>
      </c>
      <c r="B4" s="31" t="s">
        <v>222</v>
      </c>
      <c r="C4" s="34"/>
      <c r="D4" s="34"/>
      <c r="E4" s="34"/>
      <c r="F4" s="48"/>
      <c r="G4" s="48"/>
      <c r="H4" s="49" t="s">
        <v>93</v>
      </c>
    </row>
    <row r="5" spans="1:8" ht="15.75">
      <c r="A5" s="124"/>
      <c r="B5" s="125"/>
      <c r="C5" s="546" t="s">
        <v>194</v>
      </c>
      <c r="D5" s="547"/>
      <c r="E5" s="548"/>
      <c r="F5" s="546" t="s">
        <v>195</v>
      </c>
      <c r="G5" s="547"/>
      <c r="H5" s="549"/>
    </row>
    <row r="6" spans="1:8">
      <c r="A6" s="126" t="s">
        <v>26</v>
      </c>
      <c r="B6" s="50"/>
      <c r="C6" s="51" t="s">
        <v>27</v>
      </c>
      <c r="D6" s="51" t="s">
        <v>96</v>
      </c>
      <c r="E6" s="51" t="s">
        <v>68</v>
      </c>
      <c r="F6" s="51" t="s">
        <v>27</v>
      </c>
      <c r="G6" s="51" t="s">
        <v>96</v>
      </c>
      <c r="H6" s="127" t="s">
        <v>68</v>
      </c>
    </row>
    <row r="7" spans="1:8">
      <c r="A7" s="128"/>
      <c r="B7" s="53" t="s">
        <v>92</v>
      </c>
      <c r="C7" s="54"/>
      <c r="D7" s="54"/>
      <c r="E7" s="54"/>
      <c r="F7" s="54"/>
      <c r="G7" s="54"/>
      <c r="H7" s="129"/>
    </row>
    <row r="8" spans="1:8" ht="27">
      <c r="A8" s="128">
        <v>1</v>
      </c>
      <c r="B8" s="55" t="s">
        <v>97</v>
      </c>
      <c r="C8" s="253">
        <v>458656</v>
      </c>
      <c r="D8" s="253">
        <v>-136944</v>
      </c>
      <c r="E8" s="243">
        <f>C8+D8</f>
        <v>321712</v>
      </c>
      <c r="F8" s="253">
        <v>294911</v>
      </c>
      <c r="G8" s="253">
        <v>457203</v>
      </c>
      <c r="H8" s="254">
        <f>F8+G8</f>
        <v>752114</v>
      </c>
    </row>
    <row r="9" spans="1:8" ht="15.75">
      <c r="A9" s="128">
        <v>2</v>
      </c>
      <c r="B9" s="55" t="s">
        <v>98</v>
      </c>
      <c r="C9" s="255">
        <f>SUM(C10:C18)</f>
        <v>6623379</v>
      </c>
      <c r="D9" s="255">
        <f>SUM(D10:D18)</f>
        <v>10080714</v>
      </c>
      <c r="E9" s="243">
        <f t="shared" ref="E9:E66" si="0">C9+D9</f>
        <v>16704093</v>
      </c>
      <c r="F9" s="255">
        <f>SUM(F10:F18)</f>
        <v>6845624</v>
      </c>
      <c r="G9" s="255">
        <f>SUM(G10:G18)</f>
        <v>10663182</v>
      </c>
      <c r="H9" s="254">
        <f t="shared" ref="H9:H67" si="1">F9+G9</f>
        <v>17508806</v>
      </c>
    </row>
    <row r="10" spans="1:8" ht="15.75">
      <c r="A10" s="128">
        <v>2.1</v>
      </c>
      <c r="B10" s="56" t="s">
        <v>99</v>
      </c>
      <c r="C10" s="253">
        <v>0</v>
      </c>
      <c r="D10" s="253">
        <v>0</v>
      </c>
      <c r="E10" s="243">
        <f t="shared" si="0"/>
        <v>0</v>
      </c>
      <c r="F10" s="253">
        <v>0</v>
      </c>
      <c r="G10" s="253">
        <v>0</v>
      </c>
      <c r="H10" s="254">
        <f t="shared" si="1"/>
        <v>0</v>
      </c>
    </row>
    <row r="11" spans="1:8" ht="15.75">
      <c r="A11" s="128">
        <v>2.2000000000000002</v>
      </c>
      <c r="B11" s="56" t="s">
        <v>100</v>
      </c>
      <c r="C11" s="253">
        <v>3252283.02</v>
      </c>
      <c r="D11" s="253">
        <v>3132633.0100000002</v>
      </c>
      <c r="E11" s="243">
        <f t="shared" si="0"/>
        <v>6384916.0300000003</v>
      </c>
      <c r="F11" s="253">
        <v>2652434.9699999997</v>
      </c>
      <c r="G11" s="253">
        <v>4017149.1599999997</v>
      </c>
      <c r="H11" s="254">
        <f t="shared" si="1"/>
        <v>6669584.129999999</v>
      </c>
    </row>
    <row r="12" spans="1:8" ht="15.75">
      <c r="A12" s="128">
        <v>2.2999999999999998</v>
      </c>
      <c r="B12" s="56" t="s">
        <v>101</v>
      </c>
      <c r="C12" s="253">
        <v>0</v>
      </c>
      <c r="D12" s="253">
        <v>4869.03</v>
      </c>
      <c r="E12" s="243">
        <f t="shared" si="0"/>
        <v>4869.03</v>
      </c>
      <c r="F12" s="253">
        <v>45.78</v>
      </c>
      <c r="G12" s="253">
        <v>271947.69</v>
      </c>
      <c r="H12" s="254">
        <f t="shared" si="1"/>
        <v>271993.47000000003</v>
      </c>
    </row>
    <row r="13" spans="1:8" ht="15.75">
      <c r="A13" s="128">
        <v>2.4</v>
      </c>
      <c r="B13" s="56" t="s">
        <v>102</v>
      </c>
      <c r="C13" s="253">
        <v>422570.67000000004</v>
      </c>
      <c r="D13" s="253">
        <v>348169.36999999994</v>
      </c>
      <c r="E13" s="243">
        <f t="shared" si="0"/>
        <v>770740.04</v>
      </c>
      <c r="F13" s="253">
        <v>501032.52</v>
      </c>
      <c r="G13" s="253">
        <v>354669.87999999989</v>
      </c>
      <c r="H13" s="254">
        <f t="shared" si="1"/>
        <v>855702.39999999991</v>
      </c>
    </row>
    <row r="14" spans="1:8" ht="15.75">
      <c r="A14" s="128">
        <v>2.5</v>
      </c>
      <c r="B14" s="56" t="s">
        <v>103</v>
      </c>
      <c r="C14" s="253">
        <v>790873.89</v>
      </c>
      <c r="D14" s="253">
        <v>1355561.83</v>
      </c>
      <c r="E14" s="243">
        <f t="shared" si="0"/>
        <v>2146435.7200000002</v>
      </c>
      <c r="F14" s="253">
        <v>1492293.53</v>
      </c>
      <c r="G14" s="253">
        <v>1678426.6099999999</v>
      </c>
      <c r="H14" s="254">
        <f t="shared" si="1"/>
        <v>3170720.1399999997</v>
      </c>
    </row>
    <row r="15" spans="1:8" ht="15.75">
      <c r="A15" s="128">
        <v>2.6</v>
      </c>
      <c r="B15" s="56" t="s">
        <v>104</v>
      </c>
      <c r="C15" s="253">
        <v>1378555.9200000002</v>
      </c>
      <c r="D15" s="253">
        <v>880218.24</v>
      </c>
      <c r="E15" s="243">
        <f t="shared" si="0"/>
        <v>2258774.16</v>
      </c>
      <c r="F15" s="253">
        <v>1129108.8100000003</v>
      </c>
      <c r="G15" s="253">
        <v>1080916.71</v>
      </c>
      <c r="H15" s="254">
        <f t="shared" si="1"/>
        <v>2210025.5200000005</v>
      </c>
    </row>
    <row r="16" spans="1:8" ht="15.75">
      <c r="A16" s="128">
        <v>2.7</v>
      </c>
      <c r="B16" s="56" t="s">
        <v>105</v>
      </c>
      <c r="C16" s="253">
        <v>1567</v>
      </c>
      <c r="D16" s="253">
        <v>40007.049999999988</v>
      </c>
      <c r="E16" s="243">
        <f t="shared" si="0"/>
        <v>41574.049999999988</v>
      </c>
      <c r="F16" s="253">
        <v>2390.0100000000002</v>
      </c>
      <c r="G16" s="253">
        <v>2729.15</v>
      </c>
      <c r="H16" s="254">
        <f t="shared" si="1"/>
        <v>5119.16</v>
      </c>
    </row>
    <row r="17" spans="1:8" ht="15.75">
      <c r="A17" s="128">
        <v>2.8</v>
      </c>
      <c r="B17" s="56" t="s">
        <v>106</v>
      </c>
      <c r="C17" s="253">
        <v>313952</v>
      </c>
      <c r="D17" s="253">
        <v>774631</v>
      </c>
      <c r="E17" s="243">
        <f t="shared" si="0"/>
        <v>1088583</v>
      </c>
      <c r="F17" s="253">
        <v>206154</v>
      </c>
      <c r="G17" s="253">
        <v>873243</v>
      </c>
      <c r="H17" s="254">
        <f t="shared" si="1"/>
        <v>1079397</v>
      </c>
    </row>
    <row r="18" spans="1:8" ht="15.75">
      <c r="A18" s="128">
        <v>2.9</v>
      </c>
      <c r="B18" s="56" t="s">
        <v>107</v>
      </c>
      <c r="C18" s="253">
        <v>463576.5</v>
      </c>
      <c r="D18" s="253">
        <v>3544624.4699999997</v>
      </c>
      <c r="E18" s="243">
        <f t="shared" si="0"/>
        <v>4008200.9699999997</v>
      </c>
      <c r="F18" s="253">
        <v>862164.37999999989</v>
      </c>
      <c r="G18" s="253">
        <v>2384099.7999999998</v>
      </c>
      <c r="H18" s="254">
        <f t="shared" si="1"/>
        <v>3246264.1799999997</v>
      </c>
    </row>
    <row r="19" spans="1:8" ht="27">
      <c r="A19" s="128">
        <v>3</v>
      </c>
      <c r="B19" s="55" t="s">
        <v>108</v>
      </c>
      <c r="C19" s="253">
        <v>221592</v>
      </c>
      <c r="D19" s="253">
        <v>210483</v>
      </c>
      <c r="E19" s="243">
        <f t="shared" si="0"/>
        <v>432075</v>
      </c>
      <c r="F19" s="253">
        <v>136049</v>
      </c>
      <c r="G19" s="253">
        <v>180856</v>
      </c>
      <c r="H19" s="254">
        <f t="shared" si="1"/>
        <v>316905</v>
      </c>
    </row>
    <row r="20" spans="1:8" ht="15.75">
      <c r="A20" s="128">
        <v>4</v>
      </c>
      <c r="B20" s="55" t="s">
        <v>109</v>
      </c>
      <c r="C20" s="253">
        <v>103746</v>
      </c>
      <c r="D20" s="253">
        <v>0</v>
      </c>
      <c r="E20" s="243">
        <f t="shared" si="0"/>
        <v>103746</v>
      </c>
      <c r="F20" s="253">
        <v>344097</v>
      </c>
      <c r="G20" s="253">
        <v>0</v>
      </c>
      <c r="H20" s="254">
        <f t="shared" si="1"/>
        <v>344097</v>
      </c>
    </row>
    <row r="21" spans="1:8" ht="15.75">
      <c r="A21" s="128">
        <v>5</v>
      </c>
      <c r="B21" s="55" t="s">
        <v>110</v>
      </c>
      <c r="C21" s="253">
        <v>0</v>
      </c>
      <c r="D21" s="253">
        <v>611</v>
      </c>
      <c r="E21" s="243">
        <f t="shared" si="0"/>
        <v>611</v>
      </c>
      <c r="F21" s="253">
        <v>0</v>
      </c>
      <c r="G21" s="253">
        <v>13627</v>
      </c>
      <c r="H21" s="254">
        <f>F21+G21</f>
        <v>13627</v>
      </c>
    </row>
    <row r="22" spans="1:8" ht="15.75">
      <c r="A22" s="128">
        <v>6</v>
      </c>
      <c r="B22" s="57" t="s">
        <v>111</v>
      </c>
      <c r="C22" s="255">
        <f>C8+C9+C19+C20+C21</f>
        <v>7407373</v>
      </c>
      <c r="D22" s="255">
        <f>D8+D9+D19+D20+D21</f>
        <v>10154864</v>
      </c>
      <c r="E22" s="243">
        <f>C22+D22</f>
        <v>17562237</v>
      </c>
      <c r="F22" s="255">
        <f>F8+F9+F19+F20+F21</f>
        <v>7620681</v>
      </c>
      <c r="G22" s="255">
        <f>G8+G9+G19+G20+G21</f>
        <v>11314868</v>
      </c>
      <c r="H22" s="254">
        <f>F22+G22</f>
        <v>18935549</v>
      </c>
    </row>
    <row r="23" spans="1:8" ht="15.75">
      <c r="A23" s="128"/>
      <c r="B23" s="53" t="s">
        <v>90</v>
      </c>
      <c r="C23" s="253"/>
      <c r="D23" s="253"/>
      <c r="E23" s="242"/>
      <c r="F23" s="253"/>
      <c r="G23" s="253"/>
      <c r="H23" s="256"/>
    </row>
    <row r="24" spans="1:8" ht="15.75">
      <c r="A24" s="128">
        <v>7</v>
      </c>
      <c r="B24" s="55" t="s">
        <v>112</v>
      </c>
      <c r="C24" s="253">
        <v>223753</v>
      </c>
      <c r="D24" s="253">
        <v>-336746</v>
      </c>
      <c r="E24" s="243">
        <f t="shared" si="0"/>
        <v>-112993</v>
      </c>
      <c r="F24" s="253">
        <v>338913</v>
      </c>
      <c r="G24" s="253">
        <v>46914</v>
      </c>
      <c r="H24" s="254">
        <f t="shared" si="1"/>
        <v>385827</v>
      </c>
    </row>
    <row r="25" spans="1:8" ht="15.75">
      <c r="A25" s="128">
        <v>8</v>
      </c>
      <c r="B25" s="55" t="s">
        <v>113</v>
      </c>
      <c r="C25" s="253">
        <v>1894227</v>
      </c>
      <c r="D25" s="253">
        <v>4497664</v>
      </c>
      <c r="E25" s="243">
        <f t="shared" si="0"/>
        <v>6391891</v>
      </c>
      <c r="F25" s="253">
        <v>506941</v>
      </c>
      <c r="G25" s="253">
        <v>3738280</v>
      </c>
      <c r="H25" s="254">
        <f t="shared" si="1"/>
        <v>4245221</v>
      </c>
    </row>
    <row r="26" spans="1:8" ht="15.75">
      <c r="A26" s="128">
        <v>9</v>
      </c>
      <c r="B26" s="55" t="s">
        <v>114</v>
      </c>
      <c r="C26" s="253">
        <v>62</v>
      </c>
      <c r="D26" s="253">
        <v>131</v>
      </c>
      <c r="E26" s="243">
        <f t="shared" si="0"/>
        <v>193</v>
      </c>
      <c r="F26" s="253">
        <v>62</v>
      </c>
      <c r="G26" s="253">
        <v>116</v>
      </c>
      <c r="H26" s="254">
        <f t="shared" si="1"/>
        <v>178</v>
      </c>
    </row>
    <row r="27" spans="1:8" ht="15.75">
      <c r="A27" s="128">
        <v>10</v>
      </c>
      <c r="B27" s="55" t="s">
        <v>115</v>
      </c>
      <c r="C27" s="253">
        <v>0</v>
      </c>
      <c r="D27" s="253">
        <v>0</v>
      </c>
      <c r="E27" s="243">
        <f t="shared" si="0"/>
        <v>0</v>
      </c>
      <c r="F27" s="253">
        <v>0</v>
      </c>
      <c r="G27" s="253">
        <v>0</v>
      </c>
      <c r="H27" s="254">
        <f t="shared" si="1"/>
        <v>0</v>
      </c>
    </row>
    <row r="28" spans="1:8" ht="15.75">
      <c r="A28" s="128">
        <v>11</v>
      </c>
      <c r="B28" s="55" t="s">
        <v>116</v>
      </c>
      <c r="C28" s="253">
        <v>0</v>
      </c>
      <c r="D28" s="253">
        <v>2948426</v>
      </c>
      <c r="E28" s="243">
        <f t="shared" si="0"/>
        <v>2948426</v>
      </c>
      <c r="F28" s="253">
        <v>0</v>
      </c>
      <c r="G28" s="253">
        <v>2533394</v>
      </c>
      <c r="H28" s="254">
        <f t="shared" si="1"/>
        <v>2533394</v>
      </c>
    </row>
    <row r="29" spans="1:8" ht="15.75">
      <c r="A29" s="128">
        <v>12</v>
      </c>
      <c r="B29" s="55" t="s">
        <v>117</v>
      </c>
      <c r="C29" s="253"/>
      <c r="D29" s="253"/>
      <c r="E29" s="243">
        <f t="shared" si="0"/>
        <v>0</v>
      </c>
      <c r="F29" s="253"/>
      <c r="G29" s="253"/>
      <c r="H29" s="254">
        <f t="shared" si="1"/>
        <v>0</v>
      </c>
    </row>
    <row r="30" spans="1:8" ht="15.75">
      <c r="A30" s="128">
        <v>13</v>
      </c>
      <c r="B30" s="58" t="s">
        <v>118</v>
      </c>
      <c r="C30" s="255">
        <f>SUM(C24:C29)</f>
        <v>2118042</v>
      </c>
      <c r="D30" s="255">
        <f>SUM(D24:D29)</f>
        <v>7109475</v>
      </c>
      <c r="E30" s="243">
        <f t="shared" si="0"/>
        <v>9227517</v>
      </c>
      <c r="F30" s="255">
        <f>SUM(F24:F29)</f>
        <v>845916</v>
      </c>
      <c r="G30" s="255">
        <f>SUM(G24:G29)</f>
        <v>6318704</v>
      </c>
      <c r="H30" s="254">
        <f t="shared" si="1"/>
        <v>7164620</v>
      </c>
    </row>
    <row r="31" spans="1:8" ht="15.75">
      <c r="A31" s="128">
        <v>14</v>
      </c>
      <c r="B31" s="58" t="s">
        <v>119</v>
      </c>
      <c r="C31" s="255">
        <f>C22-C30</f>
        <v>5289331</v>
      </c>
      <c r="D31" s="255">
        <f>D22-D30</f>
        <v>3045389</v>
      </c>
      <c r="E31" s="243">
        <f t="shared" si="0"/>
        <v>8334720</v>
      </c>
      <c r="F31" s="255">
        <f>F22-F30</f>
        <v>6774765</v>
      </c>
      <c r="G31" s="255">
        <f>G22-G30</f>
        <v>4996164</v>
      </c>
      <c r="H31" s="254">
        <f t="shared" si="1"/>
        <v>11770929</v>
      </c>
    </row>
    <row r="32" spans="1:8">
      <c r="A32" s="128"/>
      <c r="B32" s="53"/>
      <c r="C32" s="257"/>
      <c r="D32" s="257"/>
      <c r="E32" s="257"/>
      <c r="F32" s="257"/>
      <c r="G32" s="257"/>
      <c r="H32" s="258"/>
    </row>
    <row r="33" spans="1:8" ht="15.75">
      <c r="A33" s="128"/>
      <c r="B33" s="53" t="s">
        <v>120</v>
      </c>
      <c r="C33" s="253"/>
      <c r="D33" s="253"/>
      <c r="E33" s="242"/>
      <c r="F33" s="253"/>
      <c r="G33" s="253"/>
      <c r="H33" s="256"/>
    </row>
    <row r="34" spans="1:8" ht="15.75">
      <c r="A34" s="128">
        <v>15</v>
      </c>
      <c r="B34" s="52" t="s">
        <v>91</v>
      </c>
      <c r="C34" s="259">
        <f>C35-C36</f>
        <v>-207166</v>
      </c>
      <c r="D34" s="259">
        <f>D35-D36</f>
        <v>-1061100</v>
      </c>
      <c r="E34" s="243">
        <f t="shared" si="0"/>
        <v>-1268266</v>
      </c>
      <c r="F34" s="259">
        <f>F35-F36</f>
        <v>-52762</v>
      </c>
      <c r="G34" s="259">
        <f>G35-G36</f>
        <v>-982347</v>
      </c>
      <c r="H34" s="254">
        <f t="shared" si="1"/>
        <v>-1035109</v>
      </c>
    </row>
    <row r="35" spans="1:8" ht="15.75">
      <c r="A35" s="128">
        <v>15.1</v>
      </c>
      <c r="B35" s="56" t="s">
        <v>121</v>
      </c>
      <c r="C35" s="253">
        <v>546842</v>
      </c>
      <c r="D35" s="253">
        <v>477610</v>
      </c>
      <c r="E35" s="243">
        <f t="shared" si="0"/>
        <v>1024452</v>
      </c>
      <c r="F35" s="253">
        <v>667248</v>
      </c>
      <c r="G35" s="253">
        <v>516719</v>
      </c>
      <c r="H35" s="254">
        <f t="shared" si="1"/>
        <v>1183967</v>
      </c>
    </row>
    <row r="36" spans="1:8" ht="15.75">
      <c r="A36" s="128">
        <v>15.2</v>
      </c>
      <c r="B36" s="56" t="s">
        <v>122</v>
      </c>
      <c r="C36" s="253">
        <v>754008</v>
      </c>
      <c r="D36" s="253">
        <v>1538710</v>
      </c>
      <c r="E36" s="243">
        <f t="shared" si="0"/>
        <v>2292718</v>
      </c>
      <c r="F36" s="253">
        <v>720010</v>
      </c>
      <c r="G36" s="253">
        <v>1499066</v>
      </c>
      <c r="H36" s="254">
        <f t="shared" si="1"/>
        <v>2219076</v>
      </c>
    </row>
    <row r="37" spans="1:8" ht="15.75">
      <c r="A37" s="128">
        <v>16</v>
      </c>
      <c r="B37" s="55" t="s">
        <v>123</v>
      </c>
      <c r="C37" s="253">
        <v>0</v>
      </c>
      <c r="D37" s="253">
        <v>0</v>
      </c>
      <c r="E37" s="243">
        <f t="shared" si="0"/>
        <v>0</v>
      </c>
      <c r="F37" s="253">
        <v>0</v>
      </c>
      <c r="G37" s="253">
        <v>0</v>
      </c>
      <c r="H37" s="254">
        <f t="shared" si="1"/>
        <v>0</v>
      </c>
    </row>
    <row r="38" spans="1:8" ht="15.75">
      <c r="A38" s="128">
        <v>17</v>
      </c>
      <c r="B38" s="55" t="s">
        <v>124</v>
      </c>
      <c r="C38" s="253">
        <v>734959</v>
      </c>
      <c r="D38" s="253">
        <v>0</v>
      </c>
      <c r="E38" s="243">
        <f t="shared" si="0"/>
        <v>734959</v>
      </c>
      <c r="F38" s="253">
        <v>62397</v>
      </c>
      <c r="G38" s="253">
        <v>0</v>
      </c>
      <c r="H38" s="254">
        <f t="shared" si="1"/>
        <v>62397</v>
      </c>
    </row>
    <row r="39" spans="1:8" ht="15.75">
      <c r="A39" s="128">
        <v>18</v>
      </c>
      <c r="B39" s="55" t="s">
        <v>125</v>
      </c>
      <c r="C39" s="253">
        <v>128427</v>
      </c>
      <c r="D39" s="253">
        <v>455698</v>
      </c>
      <c r="E39" s="243">
        <f t="shared" si="0"/>
        <v>584125</v>
      </c>
      <c r="F39" s="253">
        <v>90967</v>
      </c>
      <c r="G39" s="253">
        <v>406889</v>
      </c>
      <c r="H39" s="254">
        <f t="shared" si="1"/>
        <v>497856</v>
      </c>
    </row>
    <row r="40" spans="1:8" ht="15.75">
      <c r="A40" s="128">
        <v>19</v>
      </c>
      <c r="B40" s="55" t="s">
        <v>126</v>
      </c>
      <c r="C40" s="253">
        <v>1005277</v>
      </c>
      <c r="D40" s="253"/>
      <c r="E40" s="243">
        <f t="shared" si="0"/>
        <v>1005277</v>
      </c>
      <c r="F40" s="253">
        <v>3115949</v>
      </c>
      <c r="G40" s="253"/>
      <c r="H40" s="254">
        <f t="shared" si="1"/>
        <v>3115949</v>
      </c>
    </row>
    <row r="41" spans="1:8" ht="15.75">
      <c r="A41" s="128">
        <v>20</v>
      </c>
      <c r="B41" s="55" t="s">
        <v>127</v>
      </c>
      <c r="C41" s="253">
        <v>709299</v>
      </c>
      <c r="D41" s="253"/>
      <c r="E41" s="243">
        <f t="shared" si="0"/>
        <v>709299</v>
      </c>
      <c r="F41" s="253">
        <v>-2375317</v>
      </c>
      <c r="G41" s="253"/>
      <c r="H41" s="254">
        <f t="shared" si="1"/>
        <v>-2375317</v>
      </c>
    </row>
    <row r="42" spans="1:8" ht="15.75">
      <c r="A42" s="128">
        <v>21</v>
      </c>
      <c r="B42" s="55" t="s">
        <v>128</v>
      </c>
      <c r="C42" s="253">
        <v>7141</v>
      </c>
      <c r="D42" s="253">
        <v>0</v>
      </c>
      <c r="E42" s="243">
        <f t="shared" si="0"/>
        <v>7141</v>
      </c>
      <c r="F42" s="253">
        <v>8511</v>
      </c>
      <c r="G42" s="253">
        <v>0</v>
      </c>
      <c r="H42" s="254">
        <f t="shared" si="1"/>
        <v>8511</v>
      </c>
    </row>
    <row r="43" spans="1:8" ht="15.75">
      <c r="A43" s="128">
        <v>22</v>
      </c>
      <c r="B43" s="55" t="s">
        <v>129</v>
      </c>
      <c r="C43" s="253">
        <v>428612</v>
      </c>
      <c r="D43" s="253">
        <v>74581</v>
      </c>
      <c r="E43" s="243">
        <f t="shared" si="0"/>
        <v>503193</v>
      </c>
      <c r="F43" s="253">
        <v>391307</v>
      </c>
      <c r="G43" s="253">
        <v>70915</v>
      </c>
      <c r="H43" s="254">
        <f t="shared" si="1"/>
        <v>462222</v>
      </c>
    </row>
    <row r="44" spans="1:8" ht="15.75">
      <c r="A44" s="128">
        <v>23</v>
      </c>
      <c r="B44" s="55" t="s">
        <v>130</v>
      </c>
      <c r="C44" s="253">
        <v>7173364</v>
      </c>
      <c r="D44" s="253">
        <v>17415</v>
      </c>
      <c r="E44" s="243">
        <f t="shared" si="0"/>
        <v>7190779</v>
      </c>
      <c r="F44" s="253">
        <v>11114</v>
      </c>
      <c r="G44" s="253">
        <v>63321</v>
      </c>
      <c r="H44" s="254">
        <f t="shared" si="1"/>
        <v>74435</v>
      </c>
    </row>
    <row r="45" spans="1:8" ht="15.75">
      <c r="A45" s="128">
        <v>24</v>
      </c>
      <c r="B45" s="58" t="s">
        <v>131</v>
      </c>
      <c r="C45" s="255">
        <f>C34+C37+C38+C39+C40+C41+C42+C43+C44</f>
        <v>9979913</v>
      </c>
      <c r="D45" s="255">
        <f>D34+D37+D38+D39+D40+D41+D42+D43+D44</f>
        <v>-513406</v>
      </c>
      <c r="E45" s="243">
        <f t="shared" si="0"/>
        <v>9466507</v>
      </c>
      <c r="F45" s="255">
        <f>F34+F37+F38+F39+F40+F41+F42+F43+F44</f>
        <v>1252166</v>
      </c>
      <c r="G45" s="255">
        <f>G34+G37+G38+G39+G40+G41+G42+G43+G44</f>
        <v>-441222</v>
      </c>
      <c r="H45" s="254">
        <f t="shared" si="1"/>
        <v>810944</v>
      </c>
    </row>
    <row r="46" spans="1:8">
      <c r="A46" s="128"/>
      <c r="B46" s="53" t="s">
        <v>132</v>
      </c>
      <c r="C46" s="253"/>
      <c r="D46" s="253"/>
      <c r="E46" s="253"/>
      <c r="F46" s="253"/>
      <c r="G46" s="253"/>
      <c r="H46" s="260"/>
    </row>
    <row r="47" spans="1:8" ht="15.75">
      <c r="A47" s="128">
        <v>25</v>
      </c>
      <c r="B47" s="55" t="s">
        <v>133</v>
      </c>
      <c r="C47" s="253">
        <v>168660</v>
      </c>
      <c r="D47" s="253">
        <v>9778</v>
      </c>
      <c r="E47" s="243">
        <f t="shared" si="0"/>
        <v>178438</v>
      </c>
      <c r="F47" s="253">
        <v>201393</v>
      </c>
      <c r="G47" s="253">
        <v>7383</v>
      </c>
      <c r="H47" s="254">
        <f t="shared" si="1"/>
        <v>208776</v>
      </c>
    </row>
    <row r="48" spans="1:8" ht="15.75">
      <c r="A48" s="128">
        <v>26</v>
      </c>
      <c r="B48" s="55" t="s">
        <v>134</v>
      </c>
      <c r="C48" s="253">
        <v>94432</v>
      </c>
      <c r="D48" s="253">
        <v>545</v>
      </c>
      <c r="E48" s="243">
        <f t="shared" si="0"/>
        <v>94977</v>
      </c>
      <c r="F48" s="253">
        <v>342988</v>
      </c>
      <c r="G48" s="253">
        <v>18136</v>
      </c>
      <c r="H48" s="254">
        <f t="shared" si="1"/>
        <v>361124</v>
      </c>
    </row>
    <row r="49" spans="1:9" ht="15.75">
      <c r="A49" s="128">
        <v>27</v>
      </c>
      <c r="B49" s="55" t="s">
        <v>135</v>
      </c>
      <c r="C49" s="253">
        <v>3236493</v>
      </c>
      <c r="D49" s="253"/>
      <c r="E49" s="243">
        <f t="shared" si="0"/>
        <v>3236493</v>
      </c>
      <c r="F49" s="253">
        <v>3224061</v>
      </c>
      <c r="G49" s="253"/>
      <c r="H49" s="254">
        <f t="shared" si="1"/>
        <v>3224061</v>
      </c>
    </row>
    <row r="50" spans="1:9" ht="15.75">
      <c r="A50" s="128">
        <v>28</v>
      </c>
      <c r="B50" s="55" t="s">
        <v>271</v>
      </c>
      <c r="C50" s="253">
        <v>8005</v>
      </c>
      <c r="D50" s="253"/>
      <c r="E50" s="243">
        <f t="shared" si="0"/>
        <v>8005</v>
      </c>
      <c r="F50" s="253">
        <v>19655</v>
      </c>
      <c r="G50" s="253"/>
      <c r="H50" s="254">
        <f t="shared" si="1"/>
        <v>19655</v>
      </c>
    </row>
    <row r="51" spans="1:9" ht="15.75">
      <c r="A51" s="128">
        <v>29</v>
      </c>
      <c r="B51" s="55" t="s">
        <v>136</v>
      </c>
      <c r="C51" s="253">
        <v>1068327</v>
      </c>
      <c r="D51" s="253"/>
      <c r="E51" s="243">
        <f t="shared" si="0"/>
        <v>1068327</v>
      </c>
      <c r="F51" s="253">
        <v>1068566</v>
      </c>
      <c r="G51" s="253"/>
      <c r="H51" s="254">
        <f t="shared" si="1"/>
        <v>1068566</v>
      </c>
    </row>
    <row r="52" spans="1:9" ht="15.75">
      <c r="A52" s="128">
        <v>30</v>
      </c>
      <c r="B52" s="55" t="s">
        <v>137</v>
      </c>
      <c r="C52" s="253">
        <v>1226329</v>
      </c>
      <c r="D52" s="253">
        <v>123001</v>
      </c>
      <c r="E52" s="243">
        <f t="shared" si="0"/>
        <v>1349330</v>
      </c>
      <c r="F52" s="253">
        <v>1036492</v>
      </c>
      <c r="G52" s="253">
        <v>79682</v>
      </c>
      <c r="H52" s="254">
        <f t="shared" si="1"/>
        <v>1116174</v>
      </c>
    </row>
    <row r="53" spans="1:9" ht="15.75">
      <c r="A53" s="128">
        <v>31</v>
      </c>
      <c r="B53" s="58" t="s">
        <v>138</v>
      </c>
      <c r="C53" s="255">
        <f>C47+C48+C49+C50+C51+C52</f>
        <v>5802246</v>
      </c>
      <c r="D53" s="255">
        <f>D47+D48+D49+D50+D51+D52</f>
        <v>133324</v>
      </c>
      <c r="E53" s="243">
        <f t="shared" si="0"/>
        <v>5935570</v>
      </c>
      <c r="F53" s="255">
        <f>F47+F48+F49+F50+F51+F52</f>
        <v>5893155</v>
      </c>
      <c r="G53" s="255">
        <f>G47+G48+G49+G50+G51+G52</f>
        <v>105201</v>
      </c>
      <c r="H53" s="254">
        <f t="shared" si="1"/>
        <v>5998356</v>
      </c>
    </row>
    <row r="54" spans="1:9" ht="15.75">
      <c r="A54" s="128">
        <v>32</v>
      </c>
      <c r="B54" s="58" t="s">
        <v>139</v>
      </c>
      <c r="C54" s="255">
        <f>C45-C53</f>
        <v>4177667</v>
      </c>
      <c r="D54" s="255">
        <f>D45-D53</f>
        <v>-646730</v>
      </c>
      <c r="E54" s="243">
        <f t="shared" si="0"/>
        <v>3530937</v>
      </c>
      <c r="F54" s="255">
        <f>F45-F53</f>
        <v>-4640989</v>
      </c>
      <c r="G54" s="255">
        <f>G45-G53</f>
        <v>-546423</v>
      </c>
      <c r="H54" s="254">
        <f t="shared" si="1"/>
        <v>-5187412</v>
      </c>
    </row>
    <row r="55" spans="1:9">
      <c r="A55" s="128"/>
      <c r="B55" s="53"/>
      <c r="C55" s="257"/>
      <c r="D55" s="257"/>
      <c r="E55" s="257"/>
      <c r="F55" s="257"/>
      <c r="G55" s="257"/>
      <c r="H55" s="258"/>
    </row>
    <row r="56" spans="1:9" ht="15.75">
      <c r="A56" s="128">
        <v>33</v>
      </c>
      <c r="B56" s="58" t="s">
        <v>140</v>
      </c>
      <c r="C56" s="255">
        <f>C31+C54</f>
        <v>9466998</v>
      </c>
      <c r="D56" s="255">
        <f>D31+D54</f>
        <v>2398659</v>
      </c>
      <c r="E56" s="243">
        <f t="shared" si="0"/>
        <v>11865657</v>
      </c>
      <c r="F56" s="255">
        <f>F31+F54</f>
        <v>2133776</v>
      </c>
      <c r="G56" s="255">
        <f>G31+G54</f>
        <v>4449741</v>
      </c>
      <c r="H56" s="254">
        <f t="shared" si="1"/>
        <v>6583517</v>
      </c>
    </row>
    <row r="57" spans="1:9">
      <c r="A57" s="128"/>
      <c r="B57" s="53"/>
      <c r="C57" s="257"/>
      <c r="D57" s="257"/>
      <c r="E57" s="257"/>
      <c r="F57" s="257"/>
      <c r="G57" s="257"/>
      <c r="H57" s="258"/>
    </row>
    <row r="58" spans="1:9" ht="15.75">
      <c r="A58" s="128">
        <v>34</v>
      </c>
      <c r="B58" s="55" t="s">
        <v>141</v>
      </c>
      <c r="C58" s="253">
        <v>2719141</v>
      </c>
      <c r="D58" s="253"/>
      <c r="E58" s="243">
        <f>C58</f>
        <v>2719141</v>
      </c>
      <c r="F58" s="253">
        <v>44457701</v>
      </c>
      <c r="G58" s="253"/>
      <c r="H58" s="254">
        <f t="shared" si="1"/>
        <v>44457701</v>
      </c>
    </row>
    <row r="59" spans="1:9" s="206" customFormat="1" ht="15.75">
      <c r="A59" s="128">
        <v>35</v>
      </c>
      <c r="B59" s="52" t="s">
        <v>142</v>
      </c>
      <c r="C59" s="261">
        <v>13520</v>
      </c>
      <c r="D59" s="261"/>
      <c r="E59" s="262">
        <f>C59</f>
        <v>13520</v>
      </c>
      <c r="F59" s="263">
        <v>41680</v>
      </c>
      <c r="G59" s="263"/>
      <c r="H59" s="264">
        <f t="shared" si="1"/>
        <v>41680</v>
      </c>
      <c r="I59" s="205"/>
    </row>
    <row r="60" spans="1:9" ht="15.75">
      <c r="A60" s="128">
        <v>36</v>
      </c>
      <c r="B60" s="55" t="s">
        <v>143</v>
      </c>
      <c r="C60" s="253">
        <v>-978758</v>
      </c>
      <c r="D60" s="253"/>
      <c r="E60" s="243">
        <f>C60</f>
        <v>-978758</v>
      </c>
      <c r="F60" s="253">
        <v>2083313</v>
      </c>
      <c r="G60" s="253"/>
      <c r="H60" s="254">
        <f t="shared" si="1"/>
        <v>2083313</v>
      </c>
    </row>
    <row r="61" spans="1:9" ht="15.75">
      <c r="A61" s="128">
        <v>37</v>
      </c>
      <c r="B61" s="58" t="s">
        <v>144</v>
      </c>
      <c r="C61" s="255">
        <f>C58+C59+C60</f>
        <v>1753903</v>
      </c>
      <c r="D61" s="255">
        <f>D58+D59+D60</f>
        <v>0</v>
      </c>
      <c r="E61" s="243">
        <f t="shared" si="0"/>
        <v>1753903</v>
      </c>
      <c r="F61" s="255">
        <f>F58+F59+F60</f>
        <v>46582694</v>
      </c>
      <c r="G61" s="255">
        <f>G58+G59+G60</f>
        <v>0</v>
      </c>
      <c r="H61" s="254">
        <f t="shared" si="1"/>
        <v>46582694</v>
      </c>
    </row>
    <row r="62" spans="1:9">
      <c r="A62" s="128"/>
      <c r="B62" s="59"/>
      <c r="C62" s="253"/>
      <c r="D62" s="253"/>
      <c r="E62" s="253"/>
      <c r="F62" s="253"/>
      <c r="G62" s="253"/>
      <c r="H62" s="260"/>
    </row>
    <row r="63" spans="1:9" ht="25.5">
      <c r="A63" s="128">
        <v>38</v>
      </c>
      <c r="B63" s="60" t="s">
        <v>272</v>
      </c>
      <c r="C63" s="255">
        <f>C56-C61</f>
        <v>7713095</v>
      </c>
      <c r="D63" s="255">
        <f>D56-D61</f>
        <v>2398659</v>
      </c>
      <c r="E63" s="243">
        <f t="shared" si="0"/>
        <v>10111754</v>
      </c>
      <c r="F63" s="255">
        <f>F56-F61</f>
        <v>-44448918</v>
      </c>
      <c r="G63" s="255">
        <f>G56-G61</f>
        <v>4449741</v>
      </c>
      <c r="H63" s="254">
        <f t="shared" si="1"/>
        <v>-39999177</v>
      </c>
    </row>
    <row r="64" spans="1:9" ht="15.75">
      <c r="A64" s="126">
        <v>39</v>
      </c>
      <c r="B64" s="55" t="s">
        <v>145</v>
      </c>
      <c r="C64" s="265">
        <v>1488695</v>
      </c>
      <c r="D64" s="265"/>
      <c r="E64" s="243">
        <f t="shared" si="0"/>
        <v>1488695</v>
      </c>
      <c r="F64" s="265">
        <v>0</v>
      </c>
      <c r="G64" s="265"/>
      <c r="H64" s="254">
        <f t="shared" si="1"/>
        <v>0</v>
      </c>
    </row>
    <row r="65" spans="1:8" ht="15.75">
      <c r="A65" s="128">
        <v>40</v>
      </c>
      <c r="B65" s="58" t="s">
        <v>146</v>
      </c>
      <c r="C65" s="255">
        <f>C63-C64</f>
        <v>6224400</v>
      </c>
      <c r="D65" s="255">
        <f>D63-D64</f>
        <v>2398659</v>
      </c>
      <c r="E65" s="243">
        <f t="shared" si="0"/>
        <v>8623059</v>
      </c>
      <c r="F65" s="255">
        <f>F63-F64</f>
        <v>-44448918</v>
      </c>
      <c r="G65" s="255">
        <f>G63-G64</f>
        <v>4449741</v>
      </c>
      <c r="H65" s="254">
        <f t="shared" si="1"/>
        <v>-39999177</v>
      </c>
    </row>
    <row r="66" spans="1:8" ht="15.75">
      <c r="A66" s="126">
        <v>41</v>
      </c>
      <c r="B66" s="55" t="s">
        <v>147</v>
      </c>
      <c r="C66" s="265">
        <v>0</v>
      </c>
      <c r="D66" s="265"/>
      <c r="E66" s="243">
        <f t="shared" si="0"/>
        <v>0</v>
      </c>
      <c r="F66" s="265">
        <v>0</v>
      </c>
      <c r="G66" s="265"/>
      <c r="H66" s="254">
        <f t="shared" si="1"/>
        <v>0</v>
      </c>
    </row>
    <row r="67" spans="1:8" ht="16.5" thickBot="1">
      <c r="A67" s="130">
        <v>42</v>
      </c>
      <c r="B67" s="131" t="s">
        <v>148</v>
      </c>
      <c r="C67" s="266">
        <f>C65+C66</f>
        <v>6224400</v>
      </c>
      <c r="D67" s="266">
        <f>D65+D66</f>
        <v>2398659</v>
      </c>
      <c r="E67" s="251">
        <f t="shared" ref="E67" si="2">C67+D67</f>
        <v>8623059</v>
      </c>
      <c r="F67" s="266">
        <f>F65+F66</f>
        <v>-44448918</v>
      </c>
      <c r="G67" s="266">
        <f>G65+G66</f>
        <v>4449741</v>
      </c>
      <c r="H67" s="267">
        <f t="shared" si="1"/>
        <v>-39999177</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9.9978637043366805E-2"/>
    <pageSetUpPr fitToPage="1"/>
  </sheetPr>
  <dimension ref="A1:H53"/>
  <sheetViews>
    <sheetView zoomScaleNormal="100" workbookViewId="0"/>
  </sheetViews>
  <sheetFormatPr defaultRowHeight="15"/>
  <cols>
    <col min="1" max="1" width="9.5703125" bestFit="1" customWidth="1"/>
    <col min="2" max="2" width="72.28515625" customWidth="1"/>
    <col min="3" max="8" width="12.7109375" customWidth="1"/>
  </cols>
  <sheetData>
    <row r="1" spans="1:8">
      <c r="A1" s="2" t="s">
        <v>188</v>
      </c>
      <c r="B1" t="str">
        <f>Info!C2</f>
        <v>სს "ბანკი ქართუ"</v>
      </c>
    </row>
    <row r="2" spans="1:8">
      <c r="A2" s="2" t="s">
        <v>189</v>
      </c>
      <c r="B2" s="472">
        <f>'1. key ratios'!B2</f>
        <v>44286</v>
      </c>
    </row>
    <row r="3" spans="1:8">
      <c r="A3" s="2"/>
    </row>
    <row r="4" spans="1:8" ht="16.5" thickBot="1">
      <c r="A4" s="2" t="s">
        <v>408</v>
      </c>
      <c r="B4" s="2"/>
      <c r="C4" s="215"/>
      <c r="D4" s="215"/>
      <c r="E4" s="215"/>
      <c r="F4" s="216"/>
      <c r="G4" s="216"/>
      <c r="H4" s="217" t="s">
        <v>93</v>
      </c>
    </row>
    <row r="5" spans="1:8" ht="15.75">
      <c r="A5" s="550" t="s">
        <v>26</v>
      </c>
      <c r="B5" s="552" t="s">
        <v>245</v>
      </c>
      <c r="C5" s="554" t="s">
        <v>194</v>
      </c>
      <c r="D5" s="554"/>
      <c r="E5" s="554"/>
      <c r="F5" s="554" t="s">
        <v>195</v>
      </c>
      <c r="G5" s="554"/>
      <c r="H5" s="555"/>
    </row>
    <row r="6" spans="1:8">
      <c r="A6" s="551"/>
      <c r="B6" s="553"/>
      <c r="C6" s="40" t="s">
        <v>27</v>
      </c>
      <c r="D6" s="40" t="s">
        <v>94</v>
      </c>
      <c r="E6" s="40" t="s">
        <v>68</v>
      </c>
      <c r="F6" s="40" t="s">
        <v>27</v>
      </c>
      <c r="G6" s="40" t="s">
        <v>94</v>
      </c>
      <c r="H6" s="41" t="s">
        <v>68</v>
      </c>
    </row>
    <row r="7" spans="1:8" s="3" customFormat="1" ht="15.75">
      <c r="A7" s="218">
        <v>1</v>
      </c>
      <c r="B7" s="219" t="s">
        <v>484</v>
      </c>
      <c r="C7" s="245"/>
      <c r="D7" s="245"/>
      <c r="E7" s="268">
        <f>C7+D7</f>
        <v>0</v>
      </c>
      <c r="F7" s="245"/>
      <c r="G7" s="245"/>
      <c r="H7" s="246">
        <f t="shared" ref="H7:H53" si="0">F7+G7</f>
        <v>0</v>
      </c>
    </row>
    <row r="8" spans="1:8" s="3" customFormat="1" ht="15.75">
      <c r="A8" s="218">
        <v>1.1000000000000001</v>
      </c>
      <c r="B8" s="220" t="s">
        <v>276</v>
      </c>
      <c r="C8" s="245">
        <v>30896126</v>
      </c>
      <c r="D8" s="245">
        <v>5221780</v>
      </c>
      <c r="E8" s="268">
        <f>C8+D8</f>
        <v>36117906</v>
      </c>
      <c r="F8" s="245">
        <v>15823253</v>
      </c>
      <c r="G8" s="245">
        <v>9427730</v>
      </c>
      <c r="H8" s="246">
        <f t="shared" si="0"/>
        <v>25250983</v>
      </c>
    </row>
    <row r="9" spans="1:8" s="3" customFormat="1" ht="15.75">
      <c r="A9" s="218">
        <v>1.2</v>
      </c>
      <c r="B9" s="220" t="s">
        <v>277</v>
      </c>
      <c r="C9" s="245"/>
      <c r="D9" s="245">
        <v>1467074</v>
      </c>
      <c r="E9" s="268">
        <f t="shared" ref="E9:E52" si="1">C9+D9</f>
        <v>1467074</v>
      </c>
      <c r="F9" s="245"/>
      <c r="G9" s="245"/>
      <c r="H9" s="246">
        <f t="shared" si="0"/>
        <v>0</v>
      </c>
    </row>
    <row r="10" spans="1:8" s="3" customFormat="1" ht="15.75">
      <c r="A10" s="218">
        <v>1.3</v>
      </c>
      <c r="B10" s="220" t="s">
        <v>278</v>
      </c>
      <c r="C10" s="245">
        <v>7681350</v>
      </c>
      <c r="D10" s="245">
        <v>16615444</v>
      </c>
      <c r="E10" s="268">
        <f t="shared" si="1"/>
        <v>24296794</v>
      </c>
      <c r="F10" s="245">
        <v>8211826</v>
      </c>
      <c r="G10" s="245">
        <v>20193613</v>
      </c>
      <c r="H10" s="246">
        <f t="shared" si="0"/>
        <v>28405439</v>
      </c>
    </row>
    <row r="11" spans="1:8" s="3" customFormat="1" ht="15.75">
      <c r="A11" s="218">
        <v>1.4</v>
      </c>
      <c r="B11" s="220" t="s">
        <v>279</v>
      </c>
      <c r="C11" s="245">
        <v>7995</v>
      </c>
      <c r="D11" s="245">
        <v>0</v>
      </c>
      <c r="E11" s="268">
        <f t="shared" si="1"/>
        <v>7995</v>
      </c>
      <c r="F11" s="245">
        <v>17715</v>
      </c>
      <c r="G11" s="245">
        <v>0</v>
      </c>
      <c r="H11" s="246">
        <f t="shared" si="0"/>
        <v>17715</v>
      </c>
    </row>
    <row r="12" spans="1:8" s="3" customFormat="1" ht="29.25" customHeight="1">
      <c r="A12" s="218">
        <v>2</v>
      </c>
      <c r="B12" s="219" t="s">
        <v>280</v>
      </c>
      <c r="C12" s="245"/>
      <c r="D12" s="245"/>
      <c r="E12" s="268">
        <f t="shared" si="1"/>
        <v>0</v>
      </c>
      <c r="F12" s="245"/>
      <c r="G12" s="245"/>
      <c r="H12" s="246">
        <f t="shared" si="0"/>
        <v>0</v>
      </c>
    </row>
    <row r="13" spans="1:8" s="3" customFormat="1" ht="25.5">
      <c r="A13" s="218">
        <v>3</v>
      </c>
      <c r="B13" s="219" t="s">
        <v>281</v>
      </c>
      <c r="C13" s="245"/>
      <c r="D13" s="245"/>
      <c r="E13" s="268">
        <f t="shared" si="1"/>
        <v>0</v>
      </c>
      <c r="F13" s="245"/>
      <c r="G13" s="245"/>
      <c r="H13" s="246">
        <f t="shared" si="0"/>
        <v>0</v>
      </c>
    </row>
    <row r="14" spans="1:8" s="3" customFormat="1" ht="15.75">
      <c r="A14" s="218">
        <v>3.1</v>
      </c>
      <c r="B14" s="220" t="s">
        <v>282</v>
      </c>
      <c r="C14" s="245"/>
      <c r="D14" s="245"/>
      <c r="E14" s="268">
        <f t="shared" si="1"/>
        <v>0</v>
      </c>
      <c r="F14" s="245"/>
      <c r="G14" s="245"/>
      <c r="H14" s="246">
        <f t="shared" si="0"/>
        <v>0</v>
      </c>
    </row>
    <row r="15" spans="1:8" s="3" customFormat="1" ht="15.75">
      <c r="A15" s="218">
        <v>3.2</v>
      </c>
      <c r="B15" s="220" t="s">
        <v>283</v>
      </c>
      <c r="C15" s="245"/>
      <c r="D15" s="245"/>
      <c r="E15" s="268">
        <f t="shared" si="1"/>
        <v>0</v>
      </c>
      <c r="F15" s="245"/>
      <c r="G15" s="245"/>
      <c r="H15" s="246">
        <f t="shared" si="0"/>
        <v>0</v>
      </c>
    </row>
    <row r="16" spans="1:8" s="3" customFormat="1" ht="15.75">
      <c r="A16" s="218">
        <v>4</v>
      </c>
      <c r="B16" s="219" t="s">
        <v>284</v>
      </c>
      <c r="C16" s="245"/>
      <c r="D16" s="245"/>
      <c r="E16" s="268">
        <f t="shared" si="1"/>
        <v>0</v>
      </c>
      <c r="F16" s="245"/>
      <c r="G16" s="245"/>
      <c r="H16" s="246">
        <f t="shared" si="0"/>
        <v>0</v>
      </c>
    </row>
    <row r="17" spans="1:8" s="3" customFormat="1" ht="15.75">
      <c r="A17" s="218">
        <v>4.0999999999999996</v>
      </c>
      <c r="B17" s="220" t="s">
        <v>285</v>
      </c>
      <c r="C17" s="245">
        <v>7865369.2293330152</v>
      </c>
      <c r="D17" s="245">
        <v>5725557.7552341493</v>
      </c>
      <c r="E17" s="268">
        <f t="shared" si="1"/>
        <v>13590926.984567165</v>
      </c>
      <c r="F17" s="245">
        <v>7626596.5554660084</v>
      </c>
      <c r="G17" s="245">
        <v>7056947.668778874</v>
      </c>
      <c r="H17" s="246">
        <f t="shared" si="0"/>
        <v>14683544.224244881</v>
      </c>
    </row>
    <row r="18" spans="1:8" s="3" customFormat="1" ht="15.75">
      <c r="A18" s="218">
        <v>4.2</v>
      </c>
      <c r="B18" s="220" t="s">
        <v>286</v>
      </c>
      <c r="C18" s="245">
        <v>145400390.29654005</v>
      </c>
      <c r="D18" s="245">
        <v>431145564.01770735</v>
      </c>
      <c r="E18" s="268">
        <f t="shared" si="1"/>
        <v>576545954.31424737</v>
      </c>
      <c r="F18" s="245">
        <v>125943234.2134642</v>
      </c>
      <c r="G18" s="245">
        <v>348571012.70360792</v>
      </c>
      <c r="H18" s="246">
        <f t="shared" si="0"/>
        <v>474514246.91707212</v>
      </c>
    </row>
    <row r="19" spans="1:8" s="3" customFormat="1" ht="25.5">
      <c r="A19" s="218">
        <v>5</v>
      </c>
      <c r="B19" s="219" t="s">
        <v>287</v>
      </c>
      <c r="C19" s="245"/>
      <c r="D19" s="245"/>
      <c r="E19" s="268">
        <f t="shared" si="1"/>
        <v>0</v>
      </c>
      <c r="F19" s="245"/>
      <c r="G19" s="245"/>
      <c r="H19" s="246">
        <f t="shared" si="0"/>
        <v>0</v>
      </c>
    </row>
    <row r="20" spans="1:8" s="3" customFormat="1" ht="15.75">
      <c r="A20" s="218">
        <v>5.0999999999999996</v>
      </c>
      <c r="B20" s="220" t="s">
        <v>288</v>
      </c>
      <c r="C20" s="245">
        <v>461055.56</v>
      </c>
      <c r="D20" s="245">
        <v>41676292.337833993</v>
      </c>
      <c r="E20" s="268">
        <f t="shared" si="1"/>
        <v>42137347.897833996</v>
      </c>
      <c r="F20" s="245">
        <v>694677.22</v>
      </c>
      <c r="G20" s="245">
        <v>14606395.293346003</v>
      </c>
      <c r="H20" s="246">
        <f t="shared" si="0"/>
        <v>15301072.513346003</v>
      </c>
    </row>
    <row r="21" spans="1:8" s="3" customFormat="1" ht="15.75">
      <c r="A21" s="218">
        <v>5.2</v>
      </c>
      <c r="B21" s="220" t="s">
        <v>289</v>
      </c>
      <c r="C21" s="245">
        <v>0</v>
      </c>
      <c r="D21" s="245">
        <v>0</v>
      </c>
      <c r="E21" s="268">
        <f t="shared" si="1"/>
        <v>0</v>
      </c>
      <c r="F21" s="245">
        <v>0</v>
      </c>
      <c r="G21" s="245">
        <v>0</v>
      </c>
      <c r="H21" s="246">
        <f t="shared" si="0"/>
        <v>0</v>
      </c>
    </row>
    <row r="22" spans="1:8" s="3" customFormat="1" ht="15.75">
      <c r="A22" s="218">
        <v>5.3</v>
      </c>
      <c r="B22" s="220" t="s">
        <v>290</v>
      </c>
      <c r="C22" s="245">
        <v>28433941.199999999</v>
      </c>
      <c r="D22" s="245">
        <v>2039601756.7415724</v>
      </c>
      <c r="E22" s="268">
        <f t="shared" si="1"/>
        <v>2068035697.9415724</v>
      </c>
      <c r="F22" s="245">
        <v>30204590.449999999</v>
      </c>
      <c r="G22" s="245">
        <v>2018565774.1790755</v>
      </c>
      <c r="H22" s="246">
        <f t="shared" si="0"/>
        <v>2048770364.6290755</v>
      </c>
    </row>
    <row r="23" spans="1:8" s="3" customFormat="1" ht="15.75">
      <c r="A23" s="218" t="s">
        <v>291</v>
      </c>
      <c r="B23" s="221" t="s">
        <v>292</v>
      </c>
      <c r="C23" s="245">
        <v>341180</v>
      </c>
      <c r="D23" s="245">
        <v>179221769.40426758</v>
      </c>
      <c r="E23" s="268">
        <f t="shared" si="1"/>
        <v>179562949.40426758</v>
      </c>
      <c r="F23" s="245">
        <v>364579.5</v>
      </c>
      <c r="G23" s="245">
        <v>192813502.65317163</v>
      </c>
      <c r="H23" s="246">
        <f t="shared" si="0"/>
        <v>193178082.15317163</v>
      </c>
    </row>
    <row r="24" spans="1:8" s="3" customFormat="1" ht="15.75">
      <c r="A24" s="218" t="s">
        <v>293</v>
      </c>
      <c r="B24" s="221" t="s">
        <v>294</v>
      </c>
      <c r="C24" s="245">
        <v>10948466.199999999</v>
      </c>
      <c r="D24" s="245">
        <v>1166886674.84477</v>
      </c>
      <c r="E24" s="268">
        <f t="shared" si="1"/>
        <v>1177835141.04477</v>
      </c>
      <c r="F24" s="245">
        <v>11489181</v>
      </c>
      <c r="G24" s="245">
        <v>1135733353.1242232</v>
      </c>
      <c r="H24" s="246">
        <f t="shared" si="0"/>
        <v>1147222534.1242232</v>
      </c>
    </row>
    <row r="25" spans="1:8" s="3" customFormat="1" ht="15.75">
      <c r="A25" s="218" t="s">
        <v>295</v>
      </c>
      <c r="B25" s="222" t="s">
        <v>296</v>
      </c>
      <c r="C25" s="245">
        <v>0</v>
      </c>
      <c r="D25" s="245">
        <v>150236055.08384922</v>
      </c>
      <c r="E25" s="268">
        <f t="shared" si="1"/>
        <v>150236055.08384922</v>
      </c>
      <c r="F25" s="245">
        <v>0</v>
      </c>
      <c r="G25" s="245">
        <v>179861285.95050001</v>
      </c>
      <c r="H25" s="246">
        <f t="shared" si="0"/>
        <v>179861285.95050001</v>
      </c>
    </row>
    <row r="26" spans="1:8" s="3" customFormat="1" ht="15.75">
      <c r="A26" s="218" t="s">
        <v>297</v>
      </c>
      <c r="B26" s="221" t="s">
        <v>298</v>
      </c>
      <c r="C26" s="245">
        <v>17144295</v>
      </c>
      <c r="D26" s="245">
        <v>461342048.51520956</v>
      </c>
      <c r="E26" s="268">
        <f t="shared" si="1"/>
        <v>478486343.51520956</v>
      </c>
      <c r="F26" s="245">
        <v>18350829.949999999</v>
      </c>
      <c r="G26" s="245">
        <v>420616179.83649129</v>
      </c>
      <c r="H26" s="246">
        <f t="shared" si="0"/>
        <v>438967009.78649127</v>
      </c>
    </row>
    <row r="27" spans="1:8" s="3" customFormat="1" ht="15.75">
      <c r="A27" s="218" t="s">
        <v>299</v>
      </c>
      <c r="B27" s="221" t="s">
        <v>300</v>
      </c>
      <c r="C27" s="245">
        <v>0</v>
      </c>
      <c r="D27" s="245">
        <v>81915208.893476009</v>
      </c>
      <c r="E27" s="268">
        <f t="shared" si="1"/>
        <v>81915208.893476009</v>
      </c>
      <c r="F27" s="245">
        <v>0</v>
      </c>
      <c r="G27" s="245">
        <v>89541452.614689261</v>
      </c>
      <c r="H27" s="246">
        <f t="shared" si="0"/>
        <v>89541452.614689261</v>
      </c>
    </row>
    <row r="28" spans="1:8" s="3" customFormat="1" ht="15.75">
      <c r="A28" s="218">
        <v>5.4</v>
      </c>
      <c r="B28" s="220" t="s">
        <v>301</v>
      </c>
      <c r="C28" s="245">
        <v>192968097.91953889</v>
      </c>
      <c r="D28" s="245">
        <v>477939980.82189709</v>
      </c>
      <c r="E28" s="268">
        <f t="shared" si="1"/>
        <v>670908078.741436</v>
      </c>
      <c r="F28" s="245">
        <v>268393145.66062039</v>
      </c>
      <c r="G28" s="245">
        <v>241436814.11739928</v>
      </c>
      <c r="H28" s="246">
        <f t="shared" si="0"/>
        <v>509829959.77801967</v>
      </c>
    </row>
    <row r="29" spans="1:8" s="3" customFormat="1" ht="15.75">
      <c r="A29" s="218">
        <v>5.5</v>
      </c>
      <c r="B29" s="220" t="s">
        <v>302</v>
      </c>
      <c r="C29" s="245">
        <v>10726543.02</v>
      </c>
      <c r="D29" s="245">
        <v>221485687.89199999</v>
      </c>
      <c r="E29" s="268">
        <f t="shared" si="1"/>
        <v>232212230.912</v>
      </c>
      <c r="F29" s="245">
        <v>12670043</v>
      </c>
      <c r="G29" s="245">
        <v>171303113.92250001</v>
      </c>
      <c r="H29" s="246">
        <f t="shared" si="0"/>
        <v>183973156.92250001</v>
      </c>
    </row>
    <row r="30" spans="1:8" s="3" customFormat="1" ht="15.75">
      <c r="A30" s="218">
        <v>5.6</v>
      </c>
      <c r="B30" s="220" t="s">
        <v>303</v>
      </c>
      <c r="C30" s="245">
        <v>0</v>
      </c>
      <c r="D30" s="245">
        <v>5288290</v>
      </c>
      <c r="E30" s="268">
        <f t="shared" si="1"/>
        <v>5288290</v>
      </c>
      <c r="F30" s="245">
        <v>0</v>
      </c>
      <c r="G30" s="245">
        <v>5090975</v>
      </c>
      <c r="H30" s="246">
        <f t="shared" si="0"/>
        <v>5090975</v>
      </c>
    </row>
    <row r="31" spans="1:8" s="3" customFormat="1" ht="15.75">
      <c r="A31" s="218">
        <v>5.7</v>
      </c>
      <c r="B31" s="220" t="s">
        <v>304</v>
      </c>
      <c r="C31" s="245">
        <v>13915151.710000001</v>
      </c>
      <c r="D31" s="245">
        <v>33408345.620000005</v>
      </c>
      <c r="E31" s="268">
        <f t="shared" si="1"/>
        <v>47323497.330000006</v>
      </c>
      <c r="F31" s="245">
        <v>11092801</v>
      </c>
      <c r="G31" s="245">
        <v>93012208.500500023</v>
      </c>
      <c r="H31" s="246">
        <f t="shared" si="0"/>
        <v>104105009.50050002</v>
      </c>
    </row>
    <row r="32" spans="1:8" s="3" customFormat="1" ht="15.75">
      <c r="A32" s="218">
        <v>6</v>
      </c>
      <c r="B32" s="219" t="s">
        <v>305</v>
      </c>
      <c r="C32" s="245"/>
      <c r="D32" s="245"/>
      <c r="E32" s="268">
        <f t="shared" si="1"/>
        <v>0</v>
      </c>
      <c r="F32" s="245"/>
      <c r="G32" s="245"/>
      <c r="H32" s="246">
        <f t="shared" si="0"/>
        <v>0</v>
      </c>
    </row>
    <row r="33" spans="1:8" s="3" customFormat="1" ht="25.5">
      <c r="A33" s="218">
        <v>6.1</v>
      </c>
      <c r="B33" s="220" t="s">
        <v>485</v>
      </c>
      <c r="C33" s="245"/>
      <c r="D33" s="245">
        <v>20320953.739999998</v>
      </c>
      <c r="E33" s="268">
        <f t="shared" si="1"/>
        <v>20320953.739999998</v>
      </c>
      <c r="F33" s="245"/>
      <c r="G33" s="245"/>
      <c r="H33" s="246">
        <f t="shared" si="0"/>
        <v>0</v>
      </c>
    </row>
    <row r="34" spans="1:8" s="3" customFormat="1" ht="25.5">
      <c r="A34" s="218">
        <v>6.2</v>
      </c>
      <c r="B34" s="220" t="s">
        <v>306</v>
      </c>
      <c r="C34" s="245">
        <v>0</v>
      </c>
      <c r="D34" s="245">
        <v>20022000</v>
      </c>
      <c r="E34" s="268">
        <f t="shared" si="1"/>
        <v>20022000</v>
      </c>
      <c r="F34" s="245"/>
      <c r="G34" s="245"/>
      <c r="H34" s="246">
        <f t="shared" si="0"/>
        <v>0</v>
      </c>
    </row>
    <row r="35" spans="1:8" s="3" customFormat="1" ht="25.5">
      <c r="A35" s="218">
        <v>6.3</v>
      </c>
      <c r="B35" s="220" t="s">
        <v>307</v>
      </c>
      <c r="C35" s="245"/>
      <c r="D35" s="245"/>
      <c r="E35" s="268">
        <f t="shared" si="1"/>
        <v>0</v>
      </c>
      <c r="F35" s="245"/>
      <c r="G35" s="245"/>
      <c r="H35" s="246">
        <f t="shared" si="0"/>
        <v>0</v>
      </c>
    </row>
    <row r="36" spans="1:8" s="3" customFormat="1" ht="15.75">
      <c r="A36" s="218">
        <v>6.4</v>
      </c>
      <c r="B36" s="220" t="s">
        <v>308</v>
      </c>
      <c r="C36" s="245"/>
      <c r="D36" s="245"/>
      <c r="E36" s="268">
        <f t="shared" si="1"/>
        <v>0</v>
      </c>
      <c r="F36" s="245"/>
      <c r="G36" s="245"/>
      <c r="H36" s="246">
        <f t="shared" si="0"/>
        <v>0</v>
      </c>
    </row>
    <row r="37" spans="1:8" s="3" customFormat="1" ht="15.75">
      <c r="A37" s="218">
        <v>6.5</v>
      </c>
      <c r="B37" s="220" t="s">
        <v>309</v>
      </c>
      <c r="C37" s="245"/>
      <c r="D37" s="245"/>
      <c r="E37" s="268">
        <f t="shared" si="1"/>
        <v>0</v>
      </c>
      <c r="F37" s="245"/>
      <c r="G37" s="245"/>
      <c r="H37" s="246">
        <f t="shared" si="0"/>
        <v>0</v>
      </c>
    </row>
    <row r="38" spans="1:8" s="3" customFormat="1" ht="25.5">
      <c r="A38" s="218">
        <v>6.6</v>
      </c>
      <c r="B38" s="220" t="s">
        <v>310</v>
      </c>
      <c r="C38" s="245"/>
      <c r="D38" s="245"/>
      <c r="E38" s="268">
        <f t="shared" si="1"/>
        <v>0</v>
      </c>
      <c r="F38" s="245"/>
      <c r="G38" s="245"/>
      <c r="H38" s="246">
        <f t="shared" si="0"/>
        <v>0</v>
      </c>
    </row>
    <row r="39" spans="1:8" s="3" customFormat="1" ht="25.5">
      <c r="A39" s="218">
        <v>6.7</v>
      </c>
      <c r="B39" s="220" t="s">
        <v>311</v>
      </c>
      <c r="C39" s="245"/>
      <c r="D39" s="245"/>
      <c r="E39" s="268">
        <f t="shared" si="1"/>
        <v>0</v>
      </c>
      <c r="F39" s="245"/>
      <c r="G39" s="245"/>
      <c r="H39" s="246">
        <f t="shared" si="0"/>
        <v>0</v>
      </c>
    </row>
    <row r="40" spans="1:8" s="3" customFormat="1" ht="15.75">
      <c r="A40" s="218">
        <v>7</v>
      </c>
      <c r="B40" s="219" t="s">
        <v>312</v>
      </c>
      <c r="C40" s="245"/>
      <c r="D40" s="245"/>
      <c r="E40" s="268">
        <f t="shared" si="1"/>
        <v>0</v>
      </c>
      <c r="F40" s="245"/>
      <c r="G40" s="245"/>
      <c r="H40" s="246">
        <f t="shared" si="0"/>
        <v>0</v>
      </c>
    </row>
    <row r="41" spans="1:8" s="3" customFormat="1" ht="25.5">
      <c r="A41" s="218">
        <v>7.1</v>
      </c>
      <c r="B41" s="220" t="s">
        <v>313</v>
      </c>
      <c r="C41" s="245">
        <v>19922.95</v>
      </c>
      <c r="D41" s="245">
        <v>33519.82</v>
      </c>
      <c r="E41" s="268">
        <f t="shared" si="1"/>
        <v>53442.770000000004</v>
      </c>
      <c r="F41" s="245">
        <v>0</v>
      </c>
      <c r="G41" s="245">
        <v>0</v>
      </c>
      <c r="H41" s="246">
        <f t="shared" si="0"/>
        <v>0</v>
      </c>
    </row>
    <row r="42" spans="1:8" s="3" customFormat="1" ht="25.5">
      <c r="A42" s="218">
        <v>7.2</v>
      </c>
      <c r="B42" s="220" t="s">
        <v>314</v>
      </c>
      <c r="C42" s="245">
        <v>2940127.1300000027</v>
      </c>
      <c r="D42" s="245">
        <v>5671256.1099999472</v>
      </c>
      <c r="E42" s="268">
        <f t="shared" si="1"/>
        <v>8611383.2399999499</v>
      </c>
      <c r="F42" s="245">
        <v>2883849.8299999973</v>
      </c>
      <c r="G42" s="245">
        <v>4951992.2599999551</v>
      </c>
      <c r="H42" s="246">
        <f t="shared" si="0"/>
        <v>7835842.0899999524</v>
      </c>
    </row>
    <row r="43" spans="1:8" s="3" customFormat="1" ht="25.5">
      <c r="A43" s="218">
        <v>7.3</v>
      </c>
      <c r="B43" s="220" t="s">
        <v>315</v>
      </c>
      <c r="C43" s="245">
        <v>4725377.4099999992</v>
      </c>
      <c r="D43" s="245">
        <v>8531591.9299999997</v>
      </c>
      <c r="E43" s="268">
        <f t="shared" si="1"/>
        <v>13256969.34</v>
      </c>
      <c r="F43" s="245">
        <v>3270135.0199999996</v>
      </c>
      <c r="G43" s="245">
        <v>7310268.6999999993</v>
      </c>
      <c r="H43" s="246">
        <f t="shared" si="0"/>
        <v>10580403.719999999</v>
      </c>
    </row>
    <row r="44" spans="1:8" s="3" customFormat="1" ht="25.5">
      <c r="A44" s="218">
        <v>7.4</v>
      </c>
      <c r="B44" s="220" t="s">
        <v>316</v>
      </c>
      <c r="C44" s="245">
        <v>60113339.909997091</v>
      </c>
      <c r="D44" s="245">
        <v>132975641.10000193</v>
      </c>
      <c r="E44" s="268">
        <f t="shared" si="1"/>
        <v>193088981.00999904</v>
      </c>
      <c r="F44" s="245">
        <v>58903012.279994987</v>
      </c>
      <c r="G44" s="245">
        <v>127900629.34000054</v>
      </c>
      <c r="H44" s="246">
        <f t="shared" si="0"/>
        <v>186803641.61999553</v>
      </c>
    </row>
    <row r="45" spans="1:8" s="3" customFormat="1" ht="15.75">
      <c r="A45" s="218">
        <v>8</v>
      </c>
      <c r="B45" s="219" t="s">
        <v>317</v>
      </c>
      <c r="C45" s="245">
        <f>SUM(C46:C52)</f>
        <v>2193040.5605119998</v>
      </c>
      <c r="D45" s="245">
        <f>SUM(D46:D52)</f>
        <v>0</v>
      </c>
      <c r="E45" s="268">
        <f>SUM(E46:E52)</f>
        <v>2193040.5605119998</v>
      </c>
      <c r="F45" s="245">
        <f>SUM(F46:F52)</f>
        <v>2309177.5084799998</v>
      </c>
      <c r="G45" s="245">
        <f>SUM(G46:G52)</f>
        <v>0</v>
      </c>
      <c r="H45" s="246">
        <f t="shared" si="0"/>
        <v>2309177.5084799998</v>
      </c>
    </row>
    <row r="46" spans="1:8" s="3" customFormat="1" ht="15.75">
      <c r="A46" s="218">
        <v>8.1</v>
      </c>
      <c r="B46" s="220" t="s">
        <v>318</v>
      </c>
      <c r="C46" s="245">
        <v>109176.72451200002</v>
      </c>
      <c r="D46" s="245">
        <v>0</v>
      </c>
      <c r="E46" s="268">
        <f t="shared" si="1"/>
        <v>109176.72451200002</v>
      </c>
      <c r="F46" s="245">
        <v>89844.030480000001</v>
      </c>
      <c r="G46" s="245">
        <v>0</v>
      </c>
      <c r="H46" s="246">
        <f t="shared" si="0"/>
        <v>89844.030480000001</v>
      </c>
    </row>
    <row r="47" spans="1:8" s="3" customFormat="1" ht="15.75">
      <c r="A47" s="218">
        <v>8.1999999999999993</v>
      </c>
      <c r="B47" s="220" t="s">
        <v>319</v>
      </c>
      <c r="C47" s="245">
        <v>1998487.138</v>
      </c>
      <c r="D47" s="245">
        <v>0</v>
      </c>
      <c r="E47" s="268">
        <f t="shared" si="1"/>
        <v>1998487.138</v>
      </c>
      <c r="F47" s="245">
        <v>1993029.6560000002</v>
      </c>
      <c r="G47" s="245">
        <v>0</v>
      </c>
      <c r="H47" s="246">
        <f t="shared" si="0"/>
        <v>1993029.6560000002</v>
      </c>
    </row>
    <row r="48" spans="1:8" s="3" customFormat="1" ht="15.75">
      <c r="A48" s="218">
        <v>8.3000000000000007</v>
      </c>
      <c r="B48" s="220" t="s">
        <v>320</v>
      </c>
      <c r="C48" s="245">
        <v>57488.258000000002</v>
      </c>
      <c r="D48" s="245">
        <v>0</v>
      </c>
      <c r="E48" s="268">
        <f t="shared" si="1"/>
        <v>57488.258000000002</v>
      </c>
      <c r="F48" s="245">
        <v>200585.07599999997</v>
      </c>
      <c r="G48" s="245">
        <v>0</v>
      </c>
      <c r="H48" s="246">
        <f t="shared" si="0"/>
        <v>200585.07599999997</v>
      </c>
    </row>
    <row r="49" spans="1:8" s="3" customFormat="1" ht="15.75">
      <c r="A49" s="218">
        <v>8.4</v>
      </c>
      <c r="B49" s="220" t="s">
        <v>321</v>
      </c>
      <c r="C49" s="245">
        <v>23388.44</v>
      </c>
      <c r="D49" s="245">
        <v>0</v>
      </c>
      <c r="E49" s="268">
        <f t="shared" si="1"/>
        <v>23388.44</v>
      </c>
      <c r="F49" s="245">
        <v>22434.245999999999</v>
      </c>
      <c r="G49" s="245">
        <v>0</v>
      </c>
      <c r="H49" s="246">
        <f t="shared" si="0"/>
        <v>22434.245999999999</v>
      </c>
    </row>
    <row r="50" spans="1:8" s="3" customFormat="1" ht="15.75">
      <c r="A50" s="218">
        <v>8.5</v>
      </c>
      <c r="B50" s="220" t="s">
        <v>322</v>
      </c>
      <c r="C50" s="245">
        <v>3600</v>
      </c>
      <c r="D50" s="245">
        <v>0</v>
      </c>
      <c r="E50" s="268">
        <f t="shared" si="1"/>
        <v>3600</v>
      </c>
      <c r="F50" s="245">
        <v>3284.5</v>
      </c>
      <c r="G50" s="245">
        <v>0</v>
      </c>
      <c r="H50" s="246">
        <f t="shared" si="0"/>
        <v>3284.5</v>
      </c>
    </row>
    <row r="51" spans="1:8" s="3" customFormat="1" ht="15.75">
      <c r="A51" s="218">
        <v>8.6</v>
      </c>
      <c r="B51" s="220" t="s">
        <v>323</v>
      </c>
      <c r="C51" s="245">
        <v>900</v>
      </c>
      <c r="D51" s="245">
        <v>0</v>
      </c>
      <c r="E51" s="268">
        <f t="shared" si="1"/>
        <v>900</v>
      </c>
      <c r="F51" s="245">
        <v>0</v>
      </c>
      <c r="G51" s="245">
        <v>0</v>
      </c>
      <c r="H51" s="246">
        <f t="shared" si="0"/>
        <v>0</v>
      </c>
    </row>
    <row r="52" spans="1:8" s="3" customFormat="1" ht="15.75">
      <c r="A52" s="218">
        <v>8.6999999999999993</v>
      </c>
      <c r="B52" s="220" t="s">
        <v>324</v>
      </c>
      <c r="C52" s="245">
        <v>0</v>
      </c>
      <c r="D52" s="245">
        <v>0</v>
      </c>
      <c r="E52" s="268">
        <f t="shared" si="1"/>
        <v>0</v>
      </c>
      <c r="F52" s="245">
        <v>0</v>
      </c>
      <c r="G52" s="245">
        <v>0</v>
      </c>
      <c r="H52" s="246">
        <f t="shared" si="0"/>
        <v>0</v>
      </c>
    </row>
    <row r="53" spans="1:8" s="3" customFormat="1" ht="26.25" thickBot="1">
      <c r="A53" s="223">
        <v>9</v>
      </c>
      <c r="B53" s="224" t="s">
        <v>325</v>
      </c>
      <c r="C53" s="269"/>
      <c r="D53" s="269"/>
      <c r="E53" s="270">
        <f t="shared" ref="E53" si="2">C53+D53</f>
        <v>0</v>
      </c>
      <c r="F53" s="269"/>
      <c r="G53" s="269"/>
      <c r="H53" s="252">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9.9978637043366805E-2"/>
  </sheetPr>
  <dimension ref="A1:H18"/>
  <sheetViews>
    <sheetView zoomScaleNormal="100" workbookViewId="0">
      <pane xSplit="1" ySplit="4" topLeftCell="B5" activePane="bottomRight" state="frozen"/>
      <selection activeCell="B2" sqref="B2:C2"/>
      <selection pane="topRight" activeCell="B2" sqref="B2:C2"/>
      <selection pane="bottomLeft" activeCell="B2" sqref="B2:C2"/>
      <selection pane="bottomRight" activeCell="B5" sqref="B5"/>
    </sheetView>
  </sheetViews>
  <sheetFormatPr defaultColWidth="9.140625" defaultRowHeight="12.75"/>
  <cols>
    <col min="1" max="1" width="9.5703125" style="2" bestFit="1" customWidth="1"/>
    <col min="2" max="2" width="93.5703125" style="2" customWidth="1"/>
    <col min="3" max="4" width="12.7109375" style="2" customWidth="1"/>
    <col min="5" max="6" width="12.7109375" style="345" customWidth="1"/>
    <col min="7" max="7" width="12.42578125" style="13" customWidth="1"/>
    <col min="8" max="11" width="9.7109375" style="13" customWidth="1"/>
    <col min="12" max="16384" width="9.140625" style="13"/>
  </cols>
  <sheetData>
    <row r="1" spans="1:8" ht="15">
      <c r="A1" s="18" t="s">
        <v>188</v>
      </c>
      <c r="B1" s="17" t="str">
        <f>Info!C2</f>
        <v>სს "ბანკი ქართუ"</v>
      </c>
      <c r="C1" s="17"/>
      <c r="D1" s="345"/>
    </row>
    <row r="2" spans="1:8" ht="15">
      <c r="A2" s="18" t="s">
        <v>189</v>
      </c>
      <c r="B2" s="456">
        <v>44286</v>
      </c>
      <c r="C2" s="30"/>
      <c r="D2" s="19"/>
      <c r="E2" s="19"/>
      <c r="F2" s="19"/>
      <c r="G2" s="12"/>
      <c r="H2" s="12"/>
    </row>
    <row r="3" spans="1:8" ht="15">
      <c r="A3" s="18"/>
      <c r="B3" s="17"/>
      <c r="C3" s="30"/>
      <c r="D3" s="19"/>
      <c r="E3" s="19"/>
      <c r="F3" s="19"/>
      <c r="G3" s="12"/>
      <c r="H3" s="12"/>
    </row>
    <row r="4" spans="1:8" ht="15" customHeight="1" thickBot="1">
      <c r="A4" s="212" t="s">
        <v>409</v>
      </c>
      <c r="B4" s="213" t="s">
        <v>187</v>
      </c>
      <c r="C4" s="214" t="s">
        <v>93</v>
      </c>
    </row>
    <row r="5" spans="1:8" ht="15" customHeight="1">
      <c r="A5" s="210" t="s">
        <v>26</v>
      </c>
      <c r="B5" s="211"/>
      <c r="C5" s="457" t="str">
        <f>INT((MONTH($B$2))/3)&amp;"Q"&amp;"-"&amp;YEAR($B$2)</f>
        <v>1Q-2021</v>
      </c>
      <c r="D5" s="457" t="str">
        <f>IF(INT(MONTH($B$2))=3, "4"&amp;"Q"&amp;"-"&amp;YEAR($B$2)-1, IF(INT(MONTH($B$2))=6, "1"&amp;"Q"&amp;"-"&amp;YEAR($B$2), IF(INT(MONTH($B$2))=9, "2"&amp;"Q"&amp;"-"&amp;YEAR($B$2),IF(INT(MONTH($B$2))=12, "3"&amp;"Q"&amp;"-"&amp;YEAR($B$2), 0))))</f>
        <v>4Q-2020</v>
      </c>
      <c r="E5" s="457" t="str">
        <f>IF(INT(MONTH($B$2))=3, "3"&amp;"Q"&amp;"-"&amp;YEAR($B$2)-1, IF(INT(MONTH($B$2))=6, "4"&amp;"Q"&amp;"-"&amp;YEAR($B$2)-1, IF(INT(MONTH($B$2))=9, "1"&amp;"Q"&amp;"-"&amp;YEAR($B$2),IF(INT(MONTH($B$2))=12, "2"&amp;"Q"&amp;"-"&amp;YEAR($B$2), 0))))</f>
        <v>3Q-2020</v>
      </c>
      <c r="F5" s="457" t="str">
        <f>IF(INT(MONTH($B$2))=3, "2"&amp;"Q"&amp;"-"&amp;YEAR($B$2)-1, IF(INT(MONTH($B$2))=6, "3"&amp;"Q"&amp;"-"&amp;YEAR($B$2)-1, IF(INT(MONTH($B$2))=9, "4"&amp;"Q"&amp;"-"&amp;YEAR($B$2)-1,IF(INT(MONTH($B$2))=12, "1"&amp;"Q"&amp;"-"&amp;YEAR($B$2), 0))))</f>
        <v>2Q-2020</v>
      </c>
      <c r="G5" s="496" t="str">
        <f>IF(INT(MONTH($B$2))=3, "1"&amp;"Q"&amp;"-"&amp;YEAR($B$2)-1, IF(INT(MONTH($B$2))=6, "2"&amp;"Q"&amp;"-"&amp;YEAR($B$2)-1, IF(INT(MONTH($B$2))=9, "3"&amp;"Q"&amp;"-"&amp;YEAR($B$2)-1,IF(INT(MONTH($B$2))=12, "4"&amp;"Q"&amp;"-"&amp;YEAR($B$2)-1, 0))))</f>
        <v>1Q-2020</v>
      </c>
    </row>
    <row r="6" spans="1:8" ht="15" customHeight="1">
      <c r="A6" s="389">
        <v>1</v>
      </c>
      <c r="B6" s="439" t="s">
        <v>192</v>
      </c>
      <c r="C6" s="390">
        <f>C7+C9+C10</f>
        <v>1341919280.7882493</v>
      </c>
      <c r="D6" s="442">
        <f>D7+D9+D10</f>
        <v>1334090037.0837593</v>
      </c>
      <c r="E6" s="442">
        <f t="shared" ref="E6:G6" si="0">E7+E9+E10</f>
        <v>1272725474.2449703</v>
      </c>
      <c r="F6" s="390">
        <f t="shared" si="0"/>
        <v>1239000992.5752771</v>
      </c>
      <c r="G6" s="443">
        <f t="shared" si="0"/>
        <v>1337104299.7327666</v>
      </c>
    </row>
    <row r="7" spans="1:8" ht="15" customHeight="1">
      <c r="A7" s="389">
        <v>1.1000000000000001</v>
      </c>
      <c r="B7" s="391" t="s">
        <v>606</v>
      </c>
      <c r="C7" s="392">
        <v>1310108647.8626573</v>
      </c>
      <c r="D7" s="444">
        <v>1295330298.2654977</v>
      </c>
      <c r="E7" s="444">
        <v>1235182818.0716774</v>
      </c>
      <c r="F7" s="392">
        <v>1208525105.8663049</v>
      </c>
      <c r="G7" s="445">
        <v>1309575371.1115899</v>
      </c>
    </row>
    <row r="8" spans="1:8" ht="25.5">
      <c r="A8" s="389" t="s">
        <v>252</v>
      </c>
      <c r="B8" s="393" t="s">
        <v>403</v>
      </c>
      <c r="C8" s="392">
        <v>39752650</v>
      </c>
      <c r="D8" s="444">
        <v>40165010</v>
      </c>
      <c r="E8" s="444">
        <v>40463667.5</v>
      </c>
      <c r="F8" s="392">
        <v>32970025</v>
      </c>
      <c r="G8" s="445">
        <v>32970025</v>
      </c>
    </row>
    <row r="9" spans="1:8" ht="15" customHeight="1">
      <c r="A9" s="389">
        <v>1.2</v>
      </c>
      <c r="B9" s="391" t="s">
        <v>22</v>
      </c>
      <c r="C9" s="392">
        <v>31410192.925591871</v>
      </c>
      <c r="D9" s="444">
        <v>37155668.818261586</v>
      </c>
      <c r="E9" s="444">
        <v>36460936.17329295</v>
      </c>
      <c r="F9" s="392">
        <v>29480606.70897219</v>
      </c>
      <c r="G9" s="445">
        <v>26801668.621176705</v>
      </c>
    </row>
    <row r="10" spans="1:8" ht="15" customHeight="1">
      <c r="A10" s="389">
        <v>1.3</v>
      </c>
      <c r="B10" s="440" t="s">
        <v>77</v>
      </c>
      <c r="C10" s="394">
        <v>400440</v>
      </c>
      <c r="D10" s="444">
        <v>1604070</v>
      </c>
      <c r="E10" s="444">
        <v>1081720</v>
      </c>
      <c r="F10" s="392">
        <v>995280</v>
      </c>
      <c r="G10" s="446">
        <v>727260</v>
      </c>
    </row>
    <row r="11" spans="1:8" ht="15" customHeight="1">
      <c r="A11" s="389">
        <v>2</v>
      </c>
      <c r="B11" s="439" t="s">
        <v>193</v>
      </c>
      <c r="C11" s="392">
        <v>15959405.689869506</v>
      </c>
      <c r="D11" s="444">
        <v>14246901.453070909</v>
      </c>
      <c r="E11" s="444">
        <v>50231085.158497348</v>
      </c>
      <c r="F11" s="392">
        <v>50457199.406168602</v>
      </c>
      <c r="G11" s="445">
        <v>44967547.08632648</v>
      </c>
    </row>
    <row r="12" spans="1:8" ht="15" customHeight="1">
      <c r="A12" s="405">
        <v>3</v>
      </c>
      <c r="B12" s="441" t="s">
        <v>191</v>
      </c>
      <c r="C12" s="394">
        <v>100202502.49999999</v>
      </c>
      <c r="D12" s="444">
        <v>100202502.49999999</v>
      </c>
      <c r="E12" s="444">
        <v>129231002.49999999</v>
      </c>
      <c r="F12" s="392">
        <v>129231002.49999999</v>
      </c>
      <c r="G12" s="446">
        <v>129231002.49999999</v>
      </c>
    </row>
    <row r="13" spans="1:8" ht="15" customHeight="1" thickBot="1">
      <c r="A13" s="133">
        <v>4</v>
      </c>
      <c r="B13" s="449" t="s">
        <v>253</v>
      </c>
      <c r="C13" s="271">
        <f>C6+C11+C12</f>
        <v>1458081188.9781187</v>
      </c>
      <c r="D13" s="447">
        <f>D6+D11+D12</f>
        <v>1448539441.0368302</v>
      </c>
      <c r="E13" s="447">
        <f t="shared" ref="E13:G13" si="1">E6+E11+E12</f>
        <v>1452187561.9034677</v>
      </c>
      <c r="F13" s="271">
        <f t="shared" si="1"/>
        <v>1418689194.4814458</v>
      </c>
      <c r="G13" s="448">
        <f t="shared" si="1"/>
        <v>1511302849.3190932</v>
      </c>
    </row>
    <row r="14" spans="1:8">
      <c r="B14" s="24"/>
    </row>
    <row r="15" spans="1:8" ht="25.5">
      <c r="B15" s="106" t="s">
        <v>607</v>
      </c>
    </row>
    <row r="16" spans="1:8">
      <c r="B16" s="106"/>
    </row>
    <row r="17" spans="2:2">
      <c r="B17" s="106"/>
    </row>
    <row r="18" spans="2:2">
      <c r="B18" s="10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sheetPr>
  <dimension ref="A1:H34"/>
  <sheetViews>
    <sheetView showGridLines="0" zoomScaleNormal="100" workbookViewId="0">
      <pane xSplit="1" ySplit="4" topLeftCell="B5" activePane="bottomRight" state="frozen"/>
      <selection activeCell="B2" sqref="B2:C2"/>
      <selection pane="topRight" activeCell="B2" sqref="B2:C2"/>
      <selection pane="bottomLeft" activeCell="B2" sqref="B2:C2"/>
      <selection pane="bottomRight" activeCell="B2" sqref="B2"/>
    </sheetView>
  </sheetViews>
  <sheetFormatPr defaultRowHeight="15"/>
  <cols>
    <col min="1" max="1" width="9.5703125" style="2" bestFit="1" customWidth="1"/>
    <col min="2" max="2" width="58.85546875" style="2" customWidth="1"/>
    <col min="3" max="3" width="34.28515625" style="2" customWidth="1"/>
  </cols>
  <sheetData>
    <row r="1" spans="1:8">
      <c r="A1" s="2" t="s">
        <v>188</v>
      </c>
      <c r="B1" s="345" t="str">
        <f>Info!C2</f>
        <v>სს "ბანკი ქართუ"</v>
      </c>
    </row>
    <row r="2" spans="1:8">
      <c r="A2" s="2" t="s">
        <v>189</v>
      </c>
      <c r="B2" s="472">
        <f>'1. key ratios'!B2</f>
        <v>44286</v>
      </c>
    </row>
    <row r="4" spans="1:8" ht="29.25" customHeight="1" thickBot="1">
      <c r="A4" s="235" t="s">
        <v>410</v>
      </c>
      <c r="B4" s="62" t="s">
        <v>149</v>
      </c>
      <c r="C4" s="14"/>
    </row>
    <row r="5" spans="1:8" ht="15.75">
      <c r="A5" s="11"/>
      <c r="B5" s="434" t="s">
        <v>150</v>
      </c>
      <c r="C5" s="454" t="s">
        <v>621</v>
      </c>
    </row>
    <row r="6" spans="1:8">
      <c r="A6" s="15">
        <v>1</v>
      </c>
      <c r="B6" s="63" t="s">
        <v>635</v>
      </c>
      <c r="C6" s="450" t="s">
        <v>671</v>
      </c>
    </row>
    <row r="7" spans="1:8">
      <c r="A7" s="15">
        <v>2</v>
      </c>
      <c r="B7" s="63" t="s">
        <v>636</v>
      </c>
      <c r="C7" s="450" t="s">
        <v>637</v>
      </c>
    </row>
    <row r="8" spans="1:8">
      <c r="A8" s="15">
        <v>3</v>
      </c>
      <c r="B8" s="63" t="s">
        <v>638</v>
      </c>
      <c r="C8" s="450" t="s">
        <v>639</v>
      </c>
    </row>
    <row r="9" spans="1:8">
      <c r="A9" s="15">
        <v>4</v>
      </c>
      <c r="B9" s="63" t="s">
        <v>640</v>
      </c>
      <c r="C9" s="450" t="s">
        <v>639</v>
      </c>
    </row>
    <row r="10" spans="1:8">
      <c r="A10" s="15">
        <v>5</v>
      </c>
      <c r="B10" s="63" t="s">
        <v>641</v>
      </c>
      <c r="C10" s="450" t="s">
        <v>642</v>
      </c>
    </row>
    <row r="11" spans="1:8">
      <c r="A11" s="15">
        <v>6</v>
      </c>
      <c r="B11" s="63"/>
      <c r="C11" s="450"/>
    </row>
    <row r="12" spans="1:8">
      <c r="A12" s="15">
        <v>7</v>
      </c>
      <c r="B12" s="63"/>
      <c r="C12" s="450"/>
      <c r="H12" s="4"/>
    </row>
    <row r="13" spans="1:8">
      <c r="A13" s="15">
        <v>8</v>
      </c>
      <c r="B13" s="63"/>
      <c r="C13" s="450"/>
    </row>
    <row r="14" spans="1:8">
      <c r="A14" s="15">
        <v>9</v>
      </c>
      <c r="B14" s="63"/>
      <c r="C14" s="450"/>
    </row>
    <row r="15" spans="1:8">
      <c r="A15" s="15">
        <v>10</v>
      </c>
      <c r="B15" s="63"/>
      <c r="C15" s="450"/>
    </row>
    <row r="16" spans="1:8">
      <c r="A16" s="15"/>
      <c r="B16" s="556"/>
      <c r="C16" s="557"/>
    </row>
    <row r="17" spans="1:3" ht="60">
      <c r="A17" s="15"/>
      <c r="B17" s="435" t="s">
        <v>151</v>
      </c>
      <c r="C17" s="455" t="s">
        <v>622</v>
      </c>
    </row>
    <row r="18" spans="1:3" ht="15.75">
      <c r="A18" s="15">
        <v>1</v>
      </c>
      <c r="B18" s="28" t="s">
        <v>643</v>
      </c>
      <c r="C18" s="452" t="s">
        <v>644</v>
      </c>
    </row>
    <row r="19" spans="1:3" ht="15.75">
      <c r="A19" s="15">
        <v>2</v>
      </c>
      <c r="B19" s="28" t="s">
        <v>645</v>
      </c>
      <c r="C19" s="452" t="s">
        <v>646</v>
      </c>
    </row>
    <row r="20" spans="1:3" ht="15.75">
      <c r="A20" s="15">
        <v>3</v>
      </c>
      <c r="B20" s="28" t="s">
        <v>647</v>
      </c>
      <c r="C20" s="452" t="s">
        <v>648</v>
      </c>
    </row>
    <row r="21" spans="1:3" ht="15.75">
      <c r="A21" s="15">
        <v>4</v>
      </c>
      <c r="B21" s="28" t="s">
        <v>649</v>
      </c>
      <c r="C21" s="452" t="s">
        <v>650</v>
      </c>
    </row>
    <row r="22" spans="1:3" ht="15.75">
      <c r="A22" s="15">
        <v>5</v>
      </c>
      <c r="B22" s="28" t="s">
        <v>651</v>
      </c>
      <c r="C22" s="452" t="s">
        <v>652</v>
      </c>
    </row>
    <row r="23" spans="1:3" ht="15.75">
      <c r="A23" s="15">
        <v>6</v>
      </c>
      <c r="B23" s="28"/>
      <c r="C23" s="452"/>
    </row>
    <row r="24" spans="1:3" ht="15.75">
      <c r="A24" s="15">
        <v>7</v>
      </c>
      <c r="B24" s="28"/>
      <c r="C24" s="452"/>
    </row>
    <row r="25" spans="1:3" ht="15.75">
      <c r="A25" s="15">
        <v>8</v>
      </c>
      <c r="B25" s="28"/>
      <c r="C25" s="452"/>
    </row>
    <row r="26" spans="1:3" ht="15.75">
      <c r="A26" s="15">
        <v>9</v>
      </c>
      <c r="B26" s="28"/>
      <c r="C26" s="452"/>
    </row>
    <row r="27" spans="1:3" ht="15.75" customHeight="1">
      <c r="A27" s="15">
        <v>10</v>
      </c>
      <c r="B27" s="28"/>
      <c r="C27" s="453"/>
    </row>
    <row r="28" spans="1:3" ht="15.75" customHeight="1">
      <c r="A28" s="15"/>
      <c r="B28" s="28"/>
      <c r="C28" s="29"/>
    </row>
    <row r="29" spans="1:3" ht="30" customHeight="1">
      <c r="A29" s="15"/>
      <c r="B29" s="558" t="s">
        <v>152</v>
      </c>
      <c r="C29" s="559"/>
    </row>
    <row r="30" spans="1:3">
      <c r="A30" s="15">
        <v>1</v>
      </c>
      <c r="B30" s="500" t="s">
        <v>654</v>
      </c>
      <c r="C30" s="497">
        <v>1</v>
      </c>
    </row>
    <row r="31" spans="1:3" ht="15.75" customHeight="1">
      <c r="A31" s="15"/>
      <c r="B31" s="63"/>
      <c r="C31" s="64"/>
    </row>
    <row r="32" spans="1:3" ht="29.25" customHeight="1">
      <c r="A32" s="15"/>
      <c r="B32" s="558" t="s">
        <v>273</v>
      </c>
      <c r="C32" s="559"/>
    </row>
    <row r="33" spans="1:3">
      <c r="A33" s="15">
        <v>1</v>
      </c>
      <c r="B33" s="498" t="s">
        <v>653</v>
      </c>
      <c r="C33" s="499">
        <v>1</v>
      </c>
    </row>
    <row r="34" spans="1:3" ht="16.5" thickBot="1">
      <c r="A34" s="16"/>
      <c r="B34" s="65"/>
      <c r="C34" s="451"/>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9.9978637043366805E-2"/>
  </sheetPr>
  <dimension ref="A1:G37"/>
  <sheetViews>
    <sheetView zoomScaleNormal="100" workbookViewId="0">
      <pane xSplit="1" ySplit="5" topLeftCell="B6" activePane="bottomRight" state="frozen"/>
      <selection activeCell="B2" sqref="B2:C2"/>
      <selection pane="topRight" activeCell="B2" sqref="B2:C2"/>
      <selection pane="bottomLeft" activeCell="B2" sqref="B2:C2"/>
      <selection pane="bottomRight" activeCell="B6" sqref="B6:B7"/>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188</v>
      </c>
      <c r="B1" s="17" t="str">
        <f>Info!C2</f>
        <v>სს "ბანკი ქართუ"</v>
      </c>
    </row>
    <row r="2" spans="1:7" s="22" customFormat="1" ht="15.75" customHeight="1">
      <c r="A2" s="22" t="s">
        <v>189</v>
      </c>
      <c r="B2" s="472">
        <f>'1. key ratios'!B2</f>
        <v>44286</v>
      </c>
    </row>
    <row r="3" spans="1:7" s="22" customFormat="1" ht="15.75" customHeight="1"/>
    <row r="4" spans="1:7" s="22" customFormat="1" ht="15.75" customHeight="1" thickBot="1">
      <c r="A4" s="236" t="s">
        <v>411</v>
      </c>
      <c r="B4" s="237" t="s">
        <v>263</v>
      </c>
      <c r="C4" s="190"/>
      <c r="D4" s="190"/>
      <c r="E4" s="191" t="s">
        <v>93</v>
      </c>
    </row>
    <row r="5" spans="1:7" s="121" customFormat="1" ht="17.45" customHeight="1">
      <c r="A5" s="358"/>
      <c r="B5" s="359"/>
      <c r="C5" s="189" t="s">
        <v>0</v>
      </c>
      <c r="D5" s="189" t="s">
        <v>1</v>
      </c>
      <c r="E5" s="360" t="s">
        <v>2</v>
      </c>
    </row>
    <row r="6" spans="1:7" s="156" customFormat="1" ht="14.45" customHeight="1">
      <c r="A6" s="361"/>
      <c r="B6" s="560" t="s">
        <v>231</v>
      </c>
      <c r="C6" s="560" t="s">
        <v>230</v>
      </c>
      <c r="D6" s="561" t="s">
        <v>229</v>
      </c>
      <c r="E6" s="562"/>
      <c r="G6"/>
    </row>
    <row r="7" spans="1:7" s="156" customFormat="1" ht="99.6" customHeight="1">
      <c r="A7" s="361"/>
      <c r="B7" s="560"/>
      <c r="C7" s="560"/>
      <c r="D7" s="355" t="s">
        <v>228</v>
      </c>
      <c r="E7" s="356" t="s">
        <v>523</v>
      </c>
      <c r="G7"/>
    </row>
    <row r="8" spans="1:7">
      <c r="A8" s="362">
        <v>1</v>
      </c>
      <c r="B8" s="363" t="s">
        <v>154</v>
      </c>
      <c r="C8" s="364">
        <f>'2. RC'!E7</f>
        <v>35924455</v>
      </c>
      <c r="D8" s="364"/>
      <c r="E8" s="365">
        <f>C8-D8</f>
        <v>35924455</v>
      </c>
    </row>
    <row r="9" spans="1:7">
      <c r="A9" s="362">
        <v>2</v>
      </c>
      <c r="B9" s="363" t="s">
        <v>155</v>
      </c>
      <c r="C9" s="364">
        <f>'2. RC'!E8</f>
        <v>220810485</v>
      </c>
      <c r="D9" s="364"/>
      <c r="E9" s="365">
        <f t="shared" ref="E9:E20" si="0">C9-D9</f>
        <v>220810485</v>
      </c>
    </row>
    <row r="10" spans="1:7">
      <c r="A10" s="362">
        <v>3</v>
      </c>
      <c r="B10" s="363" t="s">
        <v>227</v>
      </c>
      <c r="C10" s="364">
        <f>'2. RC'!E9</f>
        <v>118707623</v>
      </c>
      <c r="D10" s="364"/>
      <c r="E10" s="365">
        <f t="shared" si="0"/>
        <v>118707623</v>
      </c>
    </row>
    <row r="11" spans="1:7" ht="25.5">
      <c r="A11" s="362">
        <v>4</v>
      </c>
      <c r="B11" s="363" t="s">
        <v>185</v>
      </c>
      <c r="C11" s="364">
        <f>'2. RC'!E10</f>
        <v>0</v>
      </c>
      <c r="D11" s="364"/>
      <c r="E11" s="365">
        <f t="shared" si="0"/>
        <v>0</v>
      </c>
    </row>
    <row r="12" spans="1:7">
      <c r="A12" s="362">
        <v>5</v>
      </c>
      <c r="B12" s="363" t="s">
        <v>157</v>
      </c>
      <c r="C12" s="364">
        <f>'2. RC'!E11</f>
        <v>59713496</v>
      </c>
      <c r="D12" s="364">
        <f>'2. RC'!E39</f>
        <v>308027</v>
      </c>
      <c r="E12" s="365">
        <f t="shared" si="0"/>
        <v>59405469</v>
      </c>
    </row>
    <row r="13" spans="1:7">
      <c r="A13" s="362">
        <v>6.1</v>
      </c>
      <c r="B13" s="363" t="s">
        <v>158</v>
      </c>
      <c r="C13" s="366">
        <f>'2. RC'!E12</f>
        <v>1119004967</v>
      </c>
      <c r="D13" s="364"/>
      <c r="E13" s="365">
        <f>C13-D13</f>
        <v>1119004967</v>
      </c>
    </row>
    <row r="14" spans="1:7">
      <c r="A14" s="362">
        <v>6.2</v>
      </c>
      <c r="B14" s="367" t="s">
        <v>159</v>
      </c>
      <c r="C14" s="501">
        <f>'2. RC'!E13</f>
        <v>-179220167</v>
      </c>
      <c r="D14" s="502"/>
      <c r="E14" s="503">
        <f>C14+F14</f>
        <v>-179220167</v>
      </c>
    </row>
    <row r="15" spans="1:7">
      <c r="A15" s="362">
        <v>6</v>
      </c>
      <c r="B15" s="363" t="s">
        <v>226</v>
      </c>
      <c r="C15" s="364">
        <f>'2. RC'!E14</f>
        <v>939784800</v>
      </c>
      <c r="D15" s="364"/>
      <c r="E15" s="365">
        <f>SUM(E13:E14)</f>
        <v>939784800</v>
      </c>
    </row>
    <row r="16" spans="1:7" ht="25.5">
      <c r="A16" s="362">
        <v>7</v>
      </c>
      <c r="B16" s="363" t="s">
        <v>161</v>
      </c>
      <c r="C16" s="364">
        <f>'2. RC'!E15</f>
        <v>14604179</v>
      </c>
      <c r="D16" s="364"/>
      <c r="E16" s="365">
        <f t="shared" si="0"/>
        <v>14604179</v>
      </c>
    </row>
    <row r="17" spans="1:7">
      <c r="A17" s="362">
        <v>8</v>
      </c>
      <c r="B17" s="363" t="s">
        <v>162</v>
      </c>
      <c r="C17" s="364">
        <f>'2. RC'!E16</f>
        <v>2483931</v>
      </c>
      <c r="D17" s="364"/>
      <c r="E17" s="365">
        <f t="shared" si="0"/>
        <v>2483931</v>
      </c>
      <c r="F17" s="6"/>
      <c r="G17" s="6"/>
    </row>
    <row r="18" spans="1:7">
      <c r="A18" s="362">
        <v>9</v>
      </c>
      <c r="B18" s="363" t="s">
        <v>163</v>
      </c>
      <c r="C18" s="364">
        <f>'2. RC'!E17</f>
        <v>7793239</v>
      </c>
      <c r="D18" s="364"/>
      <c r="E18" s="365">
        <f t="shared" si="0"/>
        <v>7793239</v>
      </c>
      <c r="G18" s="6"/>
    </row>
    <row r="19" spans="1:7" ht="25.5">
      <c r="A19" s="362">
        <v>10</v>
      </c>
      <c r="B19" s="363" t="s">
        <v>164</v>
      </c>
      <c r="C19" s="364">
        <f>'2. RC'!E18</f>
        <v>20545588</v>
      </c>
      <c r="D19" s="364">
        <f>'9. Capital'!C15</f>
        <v>4332861</v>
      </c>
      <c r="E19" s="365">
        <f t="shared" si="0"/>
        <v>16212727</v>
      </c>
      <c r="G19" s="6"/>
    </row>
    <row r="20" spans="1:7">
      <c r="A20" s="362">
        <v>11</v>
      </c>
      <c r="B20" s="363" t="s">
        <v>165</v>
      </c>
      <c r="C20" s="364">
        <f>'2. RC'!E19</f>
        <v>29639461</v>
      </c>
      <c r="D20" s="364">
        <f>'9. Capital'!C20</f>
        <v>2558927.35</v>
      </c>
      <c r="E20" s="365">
        <f t="shared" si="0"/>
        <v>27080533.649999999</v>
      </c>
    </row>
    <row r="21" spans="1:7" ht="51.75" thickBot="1">
      <c r="A21" s="368"/>
      <c r="B21" s="369" t="s">
        <v>486</v>
      </c>
      <c r="C21" s="322">
        <f>SUM(C8:C12, C15:C20)</f>
        <v>1450007257</v>
      </c>
      <c r="D21" s="322">
        <f>SUM(D8:D12, D15:D20)</f>
        <v>7199815.3499999996</v>
      </c>
      <c r="E21" s="370">
        <f>SUM(E8:E12, E15:E20)</f>
        <v>1442807441.6500001</v>
      </c>
    </row>
    <row r="22" spans="1:7">
      <c r="A22"/>
      <c r="B22"/>
      <c r="C22"/>
      <c r="D22"/>
      <c r="E22"/>
    </row>
    <row r="23" spans="1:7">
      <c r="A23"/>
      <c r="B23"/>
      <c r="C23"/>
      <c r="D23"/>
      <c r="E23"/>
    </row>
    <row r="25" spans="1:7" s="2" customFormat="1">
      <c r="B25" s="67"/>
      <c r="F25"/>
      <c r="G25"/>
    </row>
    <row r="26" spans="1:7" s="2" customFormat="1">
      <c r="B26" s="68"/>
      <c r="F26"/>
      <c r="G26"/>
    </row>
    <row r="27" spans="1:7" s="2" customFormat="1">
      <c r="B27" s="67"/>
      <c r="F27"/>
      <c r="G27"/>
    </row>
    <row r="28" spans="1:7" s="2" customFormat="1">
      <c r="B28" s="67"/>
      <c r="F28"/>
      <c r="G28"/>
    </row>
    <row r="29" spans="1:7" s="2" customFormat="1">
      <c r="B29" s="67"/>
      <c r="F29"/>
      <c r="G29"/>
    </row>
    <row r="30" spans="1:7" s="2" customFormat="1">
      <c r="B30" s="67"/>
      <c r="F30"/>
      <c r="G30"/>
    </row>
    <row r="31" spans="1:7" s="2" customFormat="1">
      <c r="B31" s="67"/>
      <c r="F31"/>
      <c r="G31"/>
    </row>
    <row r="32" spans="1:7" s="2" customFormat="1">
      <c r="B32" s="68"/>
      <c r="F32"/>
      <c r="G32"/>
    </row>
    <row r="33" spans="2:7" s="2" customFormat="1">
      <c r="B33" s="68"/>
      <c r="F33"/>
      <c r="G33"/>
    </row>
    <row r="34" spans="2:7" s="2" customFormat="1">
      <c r="B34" s="68"/>
      <c r="F34"/>
      <c r="G34"/>
    </row>
    <row r="35" spans="2:7" s="2" customFormat="1">
      <c r="B35" s="68"/>
      <c r="F35"/>
      <c r="G35"/>
    </row>
    <row r="36" spans="2:7" s="2" customFormat="1">
      <c r="B36" s="68"/>
      <c r="F36"/>
      <c r="G36"/>
    </row>
    <row r="37" spans="2:7" s="2" customFormat="1">
      <c r="B37" s="6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9.9978637043366805E-2"/>
  </sheetPr>
  <dimension ref="A1:I33"/>
  <sheetViews>
    <sheetView zoomScaleNormal="100" workbookViewId="0">
      <pane xSplit="1" ySplit="4" topLeftCell="B5" activePane="bottomRight" state="frozen"/>
      <selection activeCell="B2" sqref="B2:C2"/>
      <selection pane="topRight" activeCell="B2" sqref="B2:C2"/>
      <selection pane="bottomLeft" activeCell="B2" sqref="B2:C2"/>
      <selection pane="bottomRight" activeCell="B5" sqref="B5"/>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188</v>
      </c>
      <c r="B1" s="17" t="str">
        <f>Info!C2</f>
        <v>სს "ბანკი ქართუ"</v>
      </c>
    </row>
    <row r="2" spans="1:6" s="22" customFormat="1" ht="15.75" customHeight="1">
      <c r="A2" s="22" t="s">
        <v>189</v>
      </c>
      <c r="B2" s="472">
        <f>'1. key ratios'!B2</f>
        <v>44286</v>
      </c>
      <c r="C2"/>
      <c r="D2"/>
      <c r="E2"/>
      <c r="F2"/>
    </row>
    <row r="3" spans="1:6" s="22" customFormat="1" ht="15.75" customHeight="1">
      <c r="C3"/>
      <c r="D3"/>
      <c r="E3"/>
      <c r="F3"/>
    </row>
    <row r="4" spans="1:6" s="22" customFormat="1" ht="26.25" thickBot="1">
      <c r="A4" s="22" t="s">
        <v>412</v>
      </c>
      <c r="B4" s="197" t="s">
        <v>266</v>
      </c>
      <c r="C4" s="191" t="s">
        <v>93</v>
      </c>
      <c r="D4"/>
      <c r="E4"/>
      <c r="F4"/>
    </row>
    <row r="5" spans="1:6" ht="26.25">
      <c r="A5" s="192">
        <v>1</v>
      </c>
      <c r="B5" s="193" t="s">
        <v>434</v>
      </c>
      <c r="C5" s="504">
        <f>'7. LI1'!E21</f>
        <v>1442807441.6500001</v>
      </c>
    </row>
    <row r="6" spans="1:6" s="182" customFormat="1">
      <c r="A6" s="120">
        <v>2.1</v>
      </c>
      <c r="B6" s="199" t="s">
        <v>267</v>
      </c>
      <c r="C6" s="272">
        <f>'13. CRME'!D22</f>
        <v>73231291.659407333</v>
      </c>
    </row>
    <row r="7" spans="1:6" s="4" customFormat="1" ht="25.5" outlineLevel="1">
      <c r="A7" s="198">
        <v>2.2000000000000002</v>
      </c>
      <c r="B7" s="194" t="s">
        <v>268</v>
      </c>
      <c r="C7" s="273">
        <f>'15. CCR'!C21</f>
        <v>20022000</v>
      </c>
    </row>
    <row r="8" spans="1:6" s="4" customFormat="1" ht="26.25">
      <c r="A8" s="198">
        <v>3</v>
      </c>
      <c r="B8" s="195" t="s">
        <v>435</v>
      </c>
      <c r="C8" s="505">
        <f>SUM(C5:C7)</f>
        <v>1536060733.3094075</v>
      </c>
    </row>
    <row r="9" spans="1:6" s="182" customFormat="1">
      <c r="A9" s="120">
        <v>4</v>
      </c>
      <c r="B9" s="202" t="s">
        <v>264</v>
      </c>
      <c r="C9" s="272">
        <v>13779086</v>
      </c>
    </row>
    <row r="10" spans="1:6" s="4" customFormat="1" ht="25.5" outlineLevel="1">
      <c r="A10" s="198">
        <v>5.0999999999999996</v>
      </c>
      <c r="B10" s="194" t="s">
        <v>274</v>
      </c>
      <c r="C10" s="273">
        <f>'13. CRME'!E22-'13. CRME'!D22</f>
        <v>-39970531.597067267</v>
      </c>
    </row>
    <row r="11" spans="1:6" s="4" customFormat="1" ht="25.5" outlineLevel="1">
      <c r="A11" s="198">
        <v>5.2</v>
      </c>
      <c r="B11" s="194" t="s">
        <v>275</v>
      </c>
      <c r="C11" s="273">
        <f>'15. CCR'!E21-'15. CCR'!C21</f>
        <v>-19621560</v>
      </c>
    </row>
    <row r="12" spans="1:6" s="4" customFormat="1">
      <c r="A12" s="198">
        <v>6</v>
      </c>
      <c r="B12" s="200" t="s">
        <v>608</v>
      </c>
      <c r="C12" s="371">
        <v>362912.32</v>
      </c>
    </row>
    <row r="13" spans="1:6" s="4" customFormat="1" ht="15.75" thickBot="1">
      <c r="A13" s="201">
        <v>7</v>
      </c>
      <c r="B13" s="196" t="s">
        <v>265</v>
      </c>
      <c r="C13" s="506">
        <f>SUM(C8:C12)</f>
        <v>1490610640.03234</v>
      </c>
    </row>
    <row r="15" spans="1:6" ht="26.25">
      <c r="B15" s="24" t="s">
        <v>609</v>
      </c>
    </row>
    <row r="17" spans="2:9" s="2" customFormat="1">
      <c r="B17" s="69"/>
      <c r="C17"/>
      <c r="D17"/>
      <c r="E17"/>
      <c r="F17"/>
      <c r="G17"/>
      <c r="H17"/>
      <c r="I17"/>
    </row>
    <row r="18" spans="2:9" s="2" customFormat="1">
      <c r="B18" s="66"/>
      <c r="C18"/>
      <c r="D18"/>
      <c r="E18"/>
      <c r="F18"/>
      <c r="G18"/>
      <c r="H18"/>
      <c r="I18"/>
    </row>
    <row r="19" spans="2:9" s="2" customFormat="1">
      <c r="B19" s="66"/>
      <c r="C19"/>
      <c r="D19"/>
      <c r="E19"/>
      <c r="F19"/>
      <c r="G19"/>
      <c r="H19"/>
      <c r="I19"/>
    </row>
    <row r="20" spans="2:9" s="2" customFormat="1">
      <c r="B20" s="68"/>
      <c r="C20"/>
      <c r="D20"/>
      <c r="E20"/>
      <c r="F20"/>
      <c r="G20"/>
      <c r="H20"/>
      <c r="I20"/>
    </row>
    <row r="21" spans="2:9" s="2" customFormat="1">
      <c r="B21" s="67"/>
      <c r="C21"/>
      <c r="D21"/>
      <c r="E21"/>
      <c r="F21"/>
      <c r="G21"/>
      <c r="H21"/>
      <c r="I21"/>
    </row>
    <row r="22" spans="2:9" s="2" customFormat="1">
      <c r="B22" s="68"/>
      <c r="C22"/>
      <c r="D22"/>
      <c r="E22"/>
      <c r="F22"/>
      <c r="G22"/>
      <c r="H22"/>
      <c r="I22"/>
    </row>
    <row r="23" spans="2:9" s="2" customFormat="1">
      <c r="B23" s="67"/>
      <c r="C23"/>
      <c r="D23"/>
      <c r="E23"/>
      <c r="F23"/>
      <c r="G23"/>
      <c r="H23"/>
      <c r="I23"/>
    </row>
    <row r="24" spans="2:9" s="2" customFormat="1">
      <c r="B24" s="67"/>
      <c r="C24"/>
      <c r="D24"/>
      <c r="E24"/>
      <c r="F24"/>
      <c r="G24"/>
      <c r="H24"/>
      <c r="I24"/>
    </row>
    <row r="25" spans="2:9" s="2" customFormat="1">
      <c r="B25" s="67"/>
      <c r="C25"/>
      <c r="D25"/>
      <c r="E25"/>
      <c r="F25"/>
      <c r="G25"/>
      <c r="H25"/>
      <c r="I25"/>
    </row>
    <row r="26" spans="2:9" s="2" customFormat="1">
      <c r="B26" s="67"/>
      <c r="C26"/>
      <c r="D26"/>
      <c r="E26"/>
      <c r="F26"/>
      <c r="G26"/>
      <c r="H26"/>
      <c r="I26"/>
    </row>
    <row r="27" spans="2:9" s="2" customFormat="1">
      <c r="B27" s="67"/>
      <c r="C27"/>
      <c r="D27"/>
      <c r="E27"/>
      <c r="F27"/>
      <c r="G27"/>
      <c r="H27"/>
      <c r="I27"/>
    </row>
    <row r="28" spans="2:9" s="2" customFormat="1">
      <c r="B28" s="68"/>
      <c r="C28"/>
      <c r="D28"/>
      <c r="E28"/>
      <c r="F28"/>
      <c r="G28"/>
      <c r="H28"/>
      <c r="I28"/>
    </row>
    <row r="29" spans="2:9" s="2" customFormat="1">
      <c r="B29" s="68"/>
      <c r="C29"/>
      <c r="D29"/>
      <c r="E29"/>
      <c r="F29"/>
      <c r="G29"/>
      <c r="H29"/>
      <c r="I29"/>
    </row>
    <row r="30" spans="2:9" s="2" customFormat="1">
      <c r="B30" s="68"/>
      <c r="C30"/>
      <c r="D30"/>
      <c r="E30"/>
      <c r="F30"/>
      <c r="G30"/>
      <c r="H30"/>
      <c r="I30"/>
    </row>
    <row r="31" spans="2:9" s="2" customFormat="1">
      <c r="B31" s="68"/>
      <c r="C31"/>
      <c r="D31"/>
      <c r="E31"/>
      <c r="F31"/>
      <c r="G31"/>
      <c r="H31"/>
      <c r="I31"/>
    </row>
    <row r="32" spans="2:9" s="2" customFormat="1">
      <c r="B32" s="68"/>
      <c r="C32"/>
      <c r="D32"/>
      <c r="E32"/>
      <c r="F32"/>
      <c r="G32"/>
      <c r="H32"/>
      <c r="I32"/>
    </row>
    <row r="33" spans="2:9" s="2" customFormat="1">
      <c r="B33" s="68"/>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rYoBgNObWbbMNSQa2/lWe0isEKW784v0DU9RG1akDSU=</DigestValue>
    </Reference>
    <Reference Type="http://www.w3.org/2000/09/xmldsig#Object" URI="#idOfficeObject">
      <DigestMethod Algorithm="http://www.w3.org/2001/04/xmlenc#sha256"/>
      <DigestValue>cgTkRpcKkb+rWBy09jKHlqMOArZkuktO2sAMmZEiPMo=</DigestValue>
    </Reference>
    <Reference Type="http://uri.etsi.org/01903#SignedProperties" URI="#idSignedProperties">
      <Transforms>
        <Transform Algorithm="http://www.w3.org/TR/2001/REC-xml-c14n-20010315"/>
      </Transforms>
      <DigestMethod Algorithm="http://www.w3.org/2001/04/xmlenc#sha256"/>
      <DigestValue>9EYB5I+xfkWBaq3PMQQ5CZXdmh2opWebRUz75AT1eMA=</DigestValue>
    </Reference>
  </SignedInfo>
  <SignatureValue>zMm+7nBUeltY5eiGsVxlOwQ5ok0cnuqRUjsO+RCITfJl+RpOYqsCHQ6chpY3lbYFZTDXbsfCh2Ra
k+Vexf5ww1OTknwy9kFhduuo8aCE8klq1O+SDcxWwa30/U+EjZGkrTFOkmRxh6xO6XaAiYt2Yi7i
dJELTsMOLstbF3c+CV7TeYWIAy+9oY+u42w8lD/sJiiEmUj+KSzJG7onWGbyotXL5xLYT1pRK7WP
BcX7yWnFVHUO39o0VsPYCjK5SLZPezH7v1UtXbTEM9F76o8KLX77LiUYrNwjiIY+wN1Mcq45WZyd
BwzU5TmBmUtMMPhe7AM7W0RD7/436RMmYfqbBA==</SignatureValue>
  <KeyInfo>
    <X509Data>
      <X509Certificate>MIIGOjCCBSKgAwIBAgIKMUbc7gACAAHMxDANBgkqhkiG9w0BAQsFADBKMRIwEAYKCZImiZPyLGQBGRYCZ2UxEzARBgoJkiaJk/IsZAEZFgNuYmcxHzAdBgNVBAMTFk5CRyBDbGFzcyAyIElOVCBTdWIgQ0EwHhcNMjEwMjIzMTEzMzAwWhcNMjExMjIyMDk0NjU2WjA4MRcwFQYDVQQKEw5KU0MgQ0FSVFUgQkFOSzEdMBsGA1UEAxMUQkNSIC0gR2l2aSBMZWJhbmlkemUwggEiMA0GCSqGSIb3DQEBAQUAA4IBDwAwggEKAoIBAQDlYb8kVcg9YD72cyDM/jybwEQtrrQQT4nrZY2o5guHD0cudnS6GJx2ufmx9qY4mR5Ni5x33/WIvO3CHbqw/0x3CIiXdm7BmDlB8rfQHFpf0+XW4cEnj0keckEBQgd41vAxUZfOfbxQGb4b7/U66QzrxiH8/+4WWjpN+fZuNwtaCuVa0nroJ0e6Bsjp+q2hTtUhZ4tl6zVVeho41QhrGqIDD5tOUNs0ZRiFywuvnfi5SzxS6JJuxDIKcnaQcqnJvmg8VaqmPDC9k3NfTlP1/NYO7Yy/dc73Ck5yd/M0r1JnnJXiTDwatmHduaTPUeN/OJDOPatLxDgytoGS2gdaNPTlAgMBAAGjggMyMIIDLjA8BgkrBgEEAYI3FQcELzAtBiUrBgEEAYI3FQjmsmCDjfVEhoGZCYO4oUqDvoRxBIPEkTOEg4hdAgFkAgEjMB0GA1UdJQQWMBQGCCsGAQUFBwMCBggrBgEFBQcDBDALBgNVHQ8EBAMCB4AwJwYJKwYBBAGCNxUKBBowGDAKBggrBgEFBQcDAjAKBggrBgEFBQcDBDAdBgNVHQ4EFgQU7vyo7ZrpIUM3H7O7D+Djc25f7w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LCID2/wTo8DnBuLzq+NJMl8fBD2GYwyrT6dzwJmD5M5XOuQa9y0Bkk98L59ZQIXNthPsFpJVABJh8N+04wdN4SxABq+I5vSXcfXRvwW+O/KXHNYuxu6aQWE679bH9p+tEYngNAYsycQ31nQGkSdNRNjGSXXcBCT9vy+sdgLB6PHsCTkYEHfHe4WHLO0k3ld3vkgAPlOzwt/mI9awDNLXi03G15uriOnUlywNQ+y7FbOdgB9wRohV+B0RFvKMDc9bb76LFI9vp7Bde048XDzWHQ2U9+h83Jv38gbd5z5QPXZs/CjbzY/jsLP2cOMcXeTSkeEc48fddWIaeotJrs0ZR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COPLds3OqHLUuZta2ILNwgwiUvqGdj/PN4rJAVDyvJg=</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T5+dHIUbWsoNr9wjsCsYAM5aCJXYyRG8SwGvZNtpnHc=</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3ZWGP00VzD6HVm4wciU31vVX7qApjqowY2xskZcm3jU=</DigestValue>
      </Reference>
      <Reference URI="/xl/styles.xml?ContentType=application/vnd.openxmlformats-officedocument.spreadsheetml.styles+xml">
        <DigestMethod Algorithm="http://www.w3.org/2001/04/xmlenc#sha256"/>
        <DigestValue>9WWOCIZSuEyCVAPTDZdG4g0FeM9j/7z15b3Ul4o1S7Y=</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gQnpRmOh2g7lMSthJ06N0bzstCXeaMh7OXxVQgSh+gk=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1vUOI2jAap6nJqOj42roMXYaE6/SUcUzy2ZdFB9qBgk=</DigestValue>
      </Reference>
      <Reference URI="/xl/worksheets/sheet10.xml?ContentType=application/vnd.openxmlformats-officedocument.spreadsheetml.worksheet+xml">
        <DigestMethod Algorithm="http://www.w3.org/2001/04/xmlenc#sha256"/>
        <DigestValue>bMrR2thk+QpSMbH1Q9SGi37ikmrUZlTBR0uUdw1ECDA=</DigestValue>
      </Reference>
      <Reference URI="/xl/worksheets/sheet11.xml?ContentType=application/vnd.openxmlformats-officedocument.spreadsheetml.worksheet+xml">
        <DigestMethod Algorithm="http://www.w3.org/2001/04/xmlenc#sha256"/>
        <DigestValue>Yka3GtsroD6w/290Ndb9uJZbzt6QA/9f1Cc6JTisaSw=</DigestValue>
      </Reference>
      <Reference URI="/xl/worksheets/sheet12.xml?ContentType=application/vnd.openxmlformats-officedocument.spreadsheetml.worksheet+xml">
        <DigestMethod Algorithm="http://www.w3.org/2001/04/xmlenc#sha256"/>
        <DigestValue>njmi+w98uOYNvvkrGUyYosKkyqg3mXwODw5KJ2Y7GOY=</DigestValue>
      </Reference>
      <Reference URI="/xl/worksheets/sheet13.xml?ContentType=application/vnd.openxmlformats-officedocument.spreadsheetml.worksheet+xml">
        <DigestMethod Algorithm="http://www.w3.org/2001/04/xmlenc#sha256"/>
        <DigestValue>PaRl2xyTWeJT5WENqcG5sAYMwIqsKHBPdXm8mesrWEY=</DigestValue>
      </Reference>
      <Reference URI="/xl/worksheets/sheet14.xml?ContentType=application/vnd.openxmlformats-officedocument.spreadsheetml.worksheet+xml">
        <DigestMethod Algorithm="http://www.w3.org/2001/04/xmlenc#sha256"/>
        <DigestValue>nwvnzPsPqp70p0DAztToA+52RHPy9NoirJSMjHFJ+iA=</DigestValue>
      </Reference>
      <Reference URI="/xl/worksheets/sheet15.xml?ContentType=application/vnd.openxmlformats-officedocument.spreadsheetml.worksheet+xml">
        <DigestMethod Algorithm="http://www.w3.org/2001/04/xmlenc#sha256"/>
        <DigestValue>6eG43ZLw/kSiNn1qP1eppCJRjoP3dWJbYPJ7kN+T1rI=</DigestValue>
      </Reference>
      <Reference URI="/xl/worksheets/sheet16.xml?ContentType=application/vnd.openxmlformats-officedocument.spreadsheetml.worksheet+xml">
        <DigestMethod Algorithm="http://www.w3.org/2001/04/xmlenc#sha256"/>
        <DigestValue>CJap0hd+f6wGDOBAFjsu4JlAQ14nGKWc+Ipr1T7R7lI=</DigestValue>
      </Reference>
      <Reference URI="/xl/worksheets/sheet17.xml?ContentType=application/vnd.openxmlformats-officedocument.spreadsheetml.worksheet+xml">
        <DigestMethod Algorithm="http://www.w3.org/2001/04/xmlenc#sha256"/>
        <DigestValue>VW4poWg2dWE8VX23vmt22VrwRYkDoX4fj9QHXiIuVzA=</DigestValue>
      </Reference>
      <Reference URI="/xl/worksheets/sheet18.xml?ContentType=application/vnd.openxmlformats-officedocument.spreadsheetml.worksheet+xml">
        <DigestMethod Algorithm="http://www.w3.org/2001/04/xmlenc#sha256"/>
        <DigestValue>MtOi4xecTGCjqoQjYCShk+UVws2a/fpLony1gOVWPR4=</DigestValue>
      </Reference>
      <Reference URI="/xl/worksheets/sheet19.xml?ContentType=application/vnd.openxmlformats-officedocument.spreadsheetml.worksheet+xml">
        <DigestMethod Algorithm="http://www.w3.org/2001/04/xmlenc#sha256"/>
        <DigestValue>Kv5HAxgOikD7hHuwcPltL9OPH26KPPTxaL+WLBJXO+M=</DigestValue>
      </Reference>
      <Reference URI="/xl/worksheets/sheet2.xml?ContentType=application/vnd.openxmlformats-officedocument.spreadsheetml.worksheet+xml">
        <DigestMethod Algorithm="http://www.w3.org/2001/04/xmlenc#sha256"/>
        <DigestValue>apqCFnVyUVa7uhr8Gq5bL1rDetoTJpQcaCyj1GrzOXo=</DigestValue>
      </Reference>
      <Reference URI="/xl/worksheets/sheet3.xml?ContentType=application/vnd.openxmlformats-officedocument.spreadsheetml.worksheet+xml">
        <DigestMethod Algorithm="http://www.w3.org/2001/04/xmlenc#sha256"/>
        <DigestValue>ILBJRpC3/nHS4ZytdXyKi1g/OAI/xNQnrMhbyq7SnN8=</DigestValue>
      </Reference>
      <Reference URI="/xl/worksheets/sheet4.xml?ContentType=application/vnd.openxmlformats-officedocument.spreadsheetml.worksheet+xml">
        <DigestMethod Algorithm="http://www.w3.org/2001/04/xmlenc#sha256"/>
        <DigestValue>QqN2Q9uQ7JWsYZ9TxljinAL1IQogJyN+SLXYRvfHgR8=</DigestValue>
      </Reference>
      <Reference URI="/xl/worksheets/sheet5.xml?ContentType=application/vnd.openxmlformats-officedocument.spreadsheetml.worksheet+xml">
        <DigestMethod Algorithm="http://www.w3.org/2001/04/xmlenc#sha256"/>
        <DigestValue>NO6uc/xNabamnle/0JLIasM9gJMiElcyReph/T9DUcw=</DigestValue>
      </Reference>
      <Reference URI="/xl/worksheets/sheet6.xml?ContentType=application/vnd.openxmlformats-officedocument.spreadsheetml.worksheet+xml">
        <DigestMethod Algorithm="http://www.w3.org/2001/04/xmlenc#sha256"/>
        <DigestValue>tgm5/ZXd/nmIYTERgflnGQvXQ08dhLxFYe2eQv9J+oU=</DigestValue>
      </Reference>
      <Reference URI="/xl/worksheets/sheet7.xml?ContentType=application/vnd.openxmlformats-officedocument.spreadsheetml.worksheet+xml">
        <DigestMethod Algorithm="http://www.w3.org/2001/04/xmlenc#sha256"/>
        <DigestValue>OU0+saDLkLQ6WKk/MP3027wjRtO0+JHgF3OlqWp1Spc=</DigestValue>
      </Reference>
      <Reference URI="/xl/worksheets/sheet8.xml?ContentType=application/vnd.openxmlformats-officedocument.spreadsheetml.worksheet+xml">
        <DigestMethod Algorithm="http://www.w3.org/2001/04/xmlenc#sha256"/>
        <DigestValue>gcYNYGbjatqjrTqXHmLUnPnLdkg3z0Sw/91zEpx7mBA=</DigestValue>
      </Reference>
      <Reference URI="/xl/worksheets/sheet9.xml?ContentType=application/vnd.openxmlformats-officedocument.spreadsheetml.worksheet+xml">
        <DigestMethod Algorithm="http://www.w3.org/2001/04/xmlenc#sha256"/>
        <DigestValue>ZkVCkaIxcWAHD9iFkRxSgn6nNy4Umx2Kq+vZPAF1fhs=</DigestValue>
      </Reference>
    </Manifest>
    <SignatureProperties>
      <SignatureProperty Id="idSignatureTime" Target="#idPackageSignature">
        <mdssi:SignatureTime xmlns:mdssi="http://schemas.openxmlformats.org/package/2006/digital-signature">
          <mdssi:Format>YYYY-MM-DDThh:mm:ssTZD</mdssi:Format>
          <mdssi:Value>2021-05-04T14:18:45Z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1</SignatureComments>
          <WindowsVersion>10.0</WindowsVersion>
          <OfficeVersion>16.0.13929/22</OfficeVersion>
          <ApplicationVersion>16.0.13929</ApplicationVersion>
          <Monitors>1</Monitors>
          <HorizontalResolution>3840</HorizontalResolution>
          <VerticalResolution>1600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2021-05-04T14:18:45Z</xd:SigningTime>
          <xd:SigningCertificate>
            <xd:Cert>
              <xd:CertDigest>
                <DigestMethod Algorithm="http://www.w3.org/2001/04/xmlenc#sha256"/>
                <DigestValue>ItDFL7jqFxknX4/KJVtUli6VufqLPj+WPYtqeGvdCUg=</DigestValue>
              </xd:CertDigest>
              <xd:IssuerSerial>
                <X509IssuerName>CN=NBG Class 2 INT Sub CA, DC=nbg, DC=ge</X509IssuerName>
                <X509SerialNumber>232703149407513675418820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1</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SZTrfmvZ0iBk4V+RNs87FpkwUZJ6U7781Z/RJeEETLI=</DigestValue>
    </Reference>
    <Reference Type="http://www.w3.org/2000/09/xmldsig#Object" URI="#idOfficeObject">
      <DigestMethod Algorithm="http://www.w3.org/2001/04/xmlenc#sha256"/>
      <DigestValue>hLlE9ilaYASjz+v5oKQ1s5/jMdMPZGRPumbaaaYst+8=</DigestValue>
    </Reference>
    <Reference Type="http://uri.etsi.org/01903#SignedProperties" URI="#idSignedProperties">
      <Transforms>
        <Transform Algorithm="http://www.w3.org/TR/2001/REC-xml-c14n-20010315"/>
      </Transforms>
      <DigestMethod Algorithm="http://www.w3.org/2001/04/xmlenc#sha256"/>
      <DigestValue>fsBveBIWHtuovs3HA6z1uc7UDMEtOyFhhJFOfWJ1NUo=</DigestValue>
    </Reference>
  </SignedInfo>
  <SignatureValue>TpxhDJXaTvmglqJjGFqxLo9I7V2LMJOk5c//RoCtf7Nlkia86rXEhKNKTtJT9oXn5OIrugRwMsdQ
/1nBZ8RXqVjce4xVcLNup+fGUbyiQzn9E1qOaqxyU1lTg+4k8IolZxfZTEF/xcqtjzkuvA/G87O4
jRoL99c7nLg4CQuUuCSKBXosqcGmRaHJUCGFm1gFa8X+sE2SOJhHPnyxX+60pHcPFpoxUlR5ez4x
8HshViOK80zsnRMp/8eO8JMRPD9bPasosndclMsT+B4wJBSY78yf8qspNEWdj42IRPLlSRbh9d3h
ygCFOmiFZm2/jrkoBEVugM1/IaLTrA8Bn8DQbw==</SignatureValue>
  <KeyInfo>
    <X509Data>
      <X509Certificate>MIIGPTCCBSWgAwIBAgIKMT7TbAACAAHMwjANBgkqhkiG9w0BAQsFADBKMRIwEAYKCZImiZPyLGQBGRYCZ2UxEzARBgoJkiaJk/IsZAEZFgNuYmcxHzAdBgNVBAMTFk5CRyBDbGFzcyAyIElOVCBTdWIgQ0EwHhcNMjEwMjIzMTEyNDEzWhcNMjExMjIyMDk0NjU2WjA7MRcwFQYDVQQKEw5KU0MgQ0FSVFUgQkFOSzEgMB4GA1UEAxMXQkNSIC0gVmxhZGltZXIgQXNhdGlhbmkwggEiMA0GCSqGSIb3DQEBAQUAA4IBDwAwggEKAoIBAQDBH7wagQS2EnYZtwuRrqptN4sk7MARkg58bC02C7IRn5Qgl5ddw8S9DWoEv0S4Yfnd6+mNwRAbXMI1B2aH5iwUUQ43cWYUIRrkrh1yNsFNLrKDqJEghiLDOLyozfNjZm/t5gV4tYwQKbRGR/Auz2VnGwg5qj0PaWHm0BKJeC8UbrfoAckPlnsSbhwKw7y/cUTV/fY5u6IfOlQ8Td2n03SeLA/u4vPv68u31/bHWjWBeLhx8QxWJ4FuMRxVOy16NUOfZ5OIUSIUkjTuAhq4QXBTdaobVF032VxHQCpH5cQ0RLkJZzqstsOxUZPxFIO+yFi+TQeZZi8VZxJgsgdBDOrRAgMBAAGjggMyMIIDLjA8BgkrBgEEAYI3FQcELzAtBiUrBgEEAYI3FQjmsmCDjfVEhoGZCYO4oUqDvoRxBIHPkBGGr54RAgFkAgEbMB0GA1UdJQQWMBQGCCsGAQUFBwMCBggrBgEFBQcDBDALBgNVHQ8EBAMCB4AwJwYJKwYBBAGCNxUKBBowGDAKBggrBgEFBQcDAjAKBggrBgEFBQcDBDAdBgNVHQ4EFgQU6XCoeyfbcw3bHfZSApk4ow/Qg8k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LKAFu7UsMWbDXHHWgt2eQXnYbRThXQficrce4KHLuTOFr8/ifjpWGRkTLX6LaaobOMHHKrv7dbmGAIlFWZgT+e9w1DtRUpdIVs60gLQtUM2Rju8clKt7zyQg2kvv0Rpa/7LWrX+yrLE+2SNsWQ0CZrS1coDl85vbC/KFDCBzJRH5/iieB3xZpVSPVKyJ+67it6Say1+MZ6540QY2vzgmwtQBAbW4YTkjmoSELpsenxPythfafvv/96g7x13osE5vs10J8eMmYu8WAeRKf/bT26EOPGGkiZl2Jy1KpuFJ3CEkqtY0A4l4KbrT44ZFy3imFevYQTGLywzlFwRq6cQXG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COPLds3OqHLUuZta2ILNwgwiUvqGdj/PN4rJAVDyvJg=</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T5+dHIUbWsoNr9wjsCsYAM5aCJXYyRG8SwGvZNtpnHc=</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3ZWGP00VzD6HVm4wciU31vVX7qApjqowY2xskZcm3jU=</DigestValue>
      </Reference>
      <Reference URI="/xl/styles.xml?ContentType=application/vnd.openxmlformats-officedocument.spreadsheetml.styles+xml">
        <DigestMethod Algorithm="http://www.w3.org/2001/04/xmlenc#sha256"/>
        <DigestValue>9WWOCIZSuEyCVAPTDZdG4g0FeM9j/7z15b3Ul4o1S7Y=</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gQnpRmOh2g7lMSthJ06N0bzstCXeaMh7OXxVQgSh+gk=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1vUOI2jAap6nJqOj42roMXYaE6/SUcUzy2ZdFB9qBgk=</DigestValue>
      </Reference>
      <Reference URI="/xl/worksheets/sheet10.xml?ContentType=application/vnd.openxmlformats-officedocument.spreadsheetml.worksheet+xml">
        <DigestMethod Algorithm="http://www.w3.org/2001/04/xmlenc#sha256"/>
        <DigestValue>bMrR2thk+QpSMbH1Q9SGi37ikmrUZlTBR0uUdw1ECDA=</DigestValue>
      </Reference>
      <Reference URI="/xl/worksheets/sheet11.xml?ContentType=application/vnd.openxmlformats-officedocument.spreadsheetml.worksheet+xml">
        <DigestMethod Algorithm="http://www.w3.org/2001/04/xmlenc#sha256"/>
        <DigestValue>Yka3GtsroD6w/290Ndb9uJZbzt6QA/9f1Cc6JTisaSw=</DigestValue>
      </Reference>
      <Reference URI="/xl/worksheets/sheet12.xml?ContentType=application/vnd.openxmlformats-officedocument.spreadsheetml.worksheet+xml">
        <DigestMethod Algorithm="http://www.w3.org/2001/04/xmlenc#sha256"/>
        <DigestValue>njmi+w98uOYNvvkrGUyYosKkyqg3mXwODw5KJ2Y7GOY=</DigestValue>
      </Reference>
      <Reference URI="/xl/worksheets/sheet13.xml?ContentType=application/vnd.openxmlformats-officedocument.spreadsheetml.worksheet+xml">
        <DigestMethod Algorithm="http://www.w3.org/2001/04/xmlenc#sha256"/>
        <DigestValue>PaRl2xyTWeJT5WENqcG5sAYMwIqsKHBPdXm8mesrWEY=</DigestValue>
      </Reference>
      <Reference URI="/xl/worksheets/sheet14.xml?ContentType=application/vnd.openxmlformats-officedocument.spreadsheetml.worksheet+xml">
        <DigestMethod Algorithm="http://www.w3.org/2001/04/xmlenc#sha256"/>
        <DigestValue>nwvnzPsPqp70p0DAztToA+52RHPy9NoirJSMjHFJ+iA=</DigestValue>
      </Reference>
      <Reference URI="/xl/worksheets/sheet15.xml?ContentType=application/vnd.openxmlformats-officedocument.spreadsheetml.worksheet+xml">
        <DigestMethod Algorithm="http://www.w3.org/2001/04/xmlenc#sha256"/>
        <DigestValue>6eG43ZLw/kSiNn1qP1eppCJRjoP3dWJbYPJ7kN+T1rI=</DigestValue>
      </Reference>
      <Reference URI="/xl/worksheets/sheet16.xml?ContentType=application/vnd.openxmlformats-officedocument.spreadsheetml.worksheet+xml">
        <DigestMethod Algorithm="http://www.w3.org/2001/04/xmlenc#sha256"/>
        <DigestValue>CJap0hd+f6wGDOBAFjsu4JlAQ14nGKWc+Ipr1T7R7lI=</DigestValue>
      </Reference>
      <Reference URI="/xl/worksheets/sheet17.xml?ContentType=application/vnd.openxmlformats-officedocument.spreadsheetml.worksheet+xml">
        <DigestMethod Algorithm="http://www.w3.org/2001/04/xmlenc#sha256"/>
        <DigestValue>VW4poWg2dWE8VX23vmt22VrwRYkDoX4fj9QHXiIuVzA=</DigestValue>
      </Reference>
      <Reference URI="/xl/worksheets/sheet18.xml?ContentType=application/vnd.openxmlformats-officedocument.spreadsheetml.worksheet+xml">
        <DigestMethod Algorithm="http://www.w3.org/2001/04/xmlenc#sha256"/>
        <DigestValue>MtOi4xecTGCjqoQjYCShk+UVws2a/fpLony1gOVWPR4=</DigestValue>
      </Reference>
      <Reference URI="/xl/worksheets/sheet19.xml?ContentType=application/vnd.openxmlformats-officedocument.spreadsheetml.worksheet+xml">
        <DigestMethod Algorithm="http://www.w3.org/2001/04/xmlenc#sha256"/>
        <DigestValue>Kv5HAxgOikD7hHuwcPltL9OPH26KPPTxaL+WLBJXO+M=</DigestValue>
      </Reference>
      <Reference URI="/xl/worksheets/sheet2.xml?ContentType=application/vnd.openxmlformats-officedocument.spreadsheetml.worksheet+xml">
        <DigestMethod Algorithm="http://www.w3.org/2001/04/xmlenc#sha256"/>
        <DigestValue>apqCFnVyUVa7uhr8Gq5bL1rDetoTJpQcaCyj1GrzOXo=</DigestValue>
      </Reference>
      <Reference URI="/xl/worksheets/sheet3.xml?ContentType=application/vnd.openxmlformats-officedocument.spreadsheetml.worksheet+xml">
        <DigestMethod Algorithm="http://www.w3.org/2001/04/xmlenc#sha256"/>
        <DigestValue>ILBJRpC3/nHS4ZytdXyKi1g/OAI/xNQnrMhbyq7SnN8=</DigestValue>
      </Reference>
      <Reference URI="/xl/worksheets/sheet4.xml?ContentType=application/vnd.openxmlformats-officedocument.spreadsheetml.worksheet+xml">
        <DigestMethod Algorithm="http://www.w3.org/2001/04/xmlenc#sha256"/>
        <DigestValue>QqN2Q9uQ7JWsYZ9TxljinAL1IQogJyN+SLXYRvfHgR8=</DigestValue>
      </Reference>
      <Reference URI="/xl/worksheets/sheet5.xml?ContentType=application/vnd.openxmlformats-officedocument.spreadsheetml.worksheet+xml">
        <DigestMethod Algorithm="http://www.w3.org/2001/04/xmlenc#sha256"/>
        <DigestValue>NO6uc/xNabamnle/0JLIasM9gJMiElcyReph/T9DUcw=</DigestValue>
      </Reference>
      <Reference URI="/xl/worksheets/sheet6.xml?ContentType=application/vnd.openxmlformats-officedocument.spreadsheetml.worksheet+xml">
        <DigestMethod Algorithm="http://www.w3.org/2001/04/xmlenc#sha256"/>
        <DigestValue>tgm5/ZXd/nmIYTERgflnGQvXQ08dhLxFYe2eQv9J+oU=</DigestValue>
      </Reference>
      <Reference URI="/xl/worksheets/sheet7.xml?ContentType=application/vnd.openxmlformats-officedocument.spreadsheetml.worksheet+xml">
        <DigestMethod Algorithm="http://www.w3.org/2001/04/xmlenc#sha256"/>
        <DigestValue>OU0+saDLkLQ6WKk/MP3027wjRtO0+JHgF3OlqWp1Spc=</DigestValue>
      </Reference>
      <Reference URI="/xl/worksheets/sheet8.xml?ContentType=application/vnd.openxmlformats-officedocument.spreadsheetml.worksheet+xml">
        <DigestMethod Algorithm="http://www.w3.org/2001/04/xmlenc#sha256"/>
        <DigestValue>gcYNYGbjatqjrTqXHmLUnPnLdkg3z0Sw/91zEpx7mBA=</DigestValue>
      </Reference>
      <Reference URI="/xl/worksheets/sheet9.xml?ContentType=application/vnd.openxmlformats-officedocument.spreadsheetml.worksheet+xml">
        <DigestMethod Algorithm="http://www.w3.org/2001/04/xmlenc#sha256"/>
        <DigestValue>ZkVCkaIxcWAHD9iFkRxSgn6nNy4Umx2Kq+vZPAF1fhs=</DigestValue>
      </Reference>
    </Manifest>
    <SignatureProperties>
      <SignatureProperty Id="idSignatureTime" Target="#idPackageSignature">
        <mdssi:SignatureTime xmlns:mdssi="http://schemas.openxmlformats.org/package/2006/digital-signature">
          <mdssi:Format>YYYY-MM-DDThh:mm:ssTZD</mdssi:Format>
          <mdssi:Value>2021-05-04T14:24:18Z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2021-05-04T14:24:18Z</xd:SigningTime>
          <xd:SigningCertificate>
            <xd:Cert>
              <xd:CertDigest>
                <DigestMethod Algorithm="http://www.w3.org/2001/04/xmlenc#sha256"/>
                <DigestValue>8GtJHVvMpxzgkKmcm3IaLb+OKNl73LmK+czJu3Hrroo=</DigestValue>
              </xd:CertDigest>
              <xd:IssuerSerial>
                <X509IssuerName>CN=NBG Class 2 INT Sub CA, DC=nbg, DC=ge</X509IssuerName>
                <X509SerialNumber>232554890344830685269186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2021-05-04T06:33:07Z</dcterms:modified>
</cp:coreProperties>
</file>