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096"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calcMode="autoNoTable"/>
</workbook>
</file>

<file path=xl/calcChain.xml><?xml version="1.0" encoding="utf-8"?>
<calcChain xmlns="http://schemas.openxmlformats.org/spreadsheetml/2006/main">
  <c r="C30" i="92" l="1"/>
  <c r="C8" i="92"/>
  <c r="C60" i="53" l="1"/>
  <c r="D52" i="53"/>
  <c r="C52" i="53"/>
  <c r="C44" i="53"/>
  <c r="D33" i="53"/>
  <c r="D44" i="53" s="1"/>
  <c r="D53" i="53" s="1"/>
  <c r="C33" i="53"/>
  <c r="D29" i="53"/>
  <c r="C29" i="53"/>
  <c r="D8" i="53"/>
  <c r="D21" i="53" s="1"/>
  <c r="D30" i="53" s="1"/>
  <c r="C8" i="53"/>
  <c r="C21" i="53" s="1"/>
  <c r="C30" i="53" s="1"/>
  <c r="C53" i="53" l="1"/>
  <c r="C55" i="53" s="1"/>
  <c r="C62" i="53" s="1"/>
  <c r="C64" i="53" s="1"/>
  <c r="C66" i="53" s="1"/>
  <c r="D55" i="53"/>
  <c r="D13" i="87" l="1"/>
  <c r="D20" i="87"/>
  <c r="G11" i="75" l="1"/>
  <c r="D11" i="75" l="1"/>
  <c r="G60" i="53"/>
  <c r="F60" i="53"/>
  <c r="G52" i="53"/>
  <c r="F52" i="53"/>
  <c r="G33" i="53"/>
  <c r="G44" i="53" s="1"/>
  <c r="G53" i="53" s="1"/>
  <c r="F33" i="53"/>
  <c r="F44" i="53" s="1"/>
  <c r="F53" i="53" s="1"/>
  <c r="G29" i="53"/>
  <c r="F29" i="53"/>
  <c r="G8" i="53"/>
  <c r="G21" i="53" s="1"/>
  <c r="G30" i="53" s="1"/>
  <c r="F8" i="53"/>
  <c r="F21" i="53" s="1"/>
  <c r="F30" i="53" s="1"/>
  <c r="D59" i="53"/>
  <c r="D60" i="53" s="1"/>
  <c r="D62" i="53" s="1"/>
  <c r="D64" i="53" s="1"/>
  <c r="D66" i="53" s="1"/>
  <c r="G39" i="62"/>
  <c r="F39" i="62"/>
  <c r="G30" i="62"/>
  <c r="F30" i="62"/>
  <c r="F19" i="62"/>
  <c r="G13" i="62"/>
  <c r="G19" i="62" s="1"/>
  <c r="F13" i="62"/>
  <c r="D39" i="62"/>
  <c r="D30" i="62"/>
  <c r="D13" i="62"/>
  <c r="D19" i="62" s="1"/>
  <c r="C39" i="62"/>
  <c r="C30" i="62"/>
  <c r="C19" i="62"/>
  <c r="C13" i="62"/>
  <c r="G40" i="62"/>
  <c r="D40" i="62"/>
  <c r="G55" i="53" l="1"/>
  <c r="D61" i="53"/>
  <c r="G62" i="53"/>
  <c r="G64" i="53" s="1"/>
  <c r="F55" i="53"/>
  <c r="F62" i="53" s="1"/>
  <c r="F64" i="53" s="1"/>
  <c r="C21" i="90" l="1"/>
  <c r="B17" i="6" s="1"/>
  <c r="C20" i="90"/>
  <c r="B16" i="6" s="1"/>
  <c r="C19" i="90"/>
  <c r="B15" i="6" s="1"/>
  <c r="B2" i="92" l="1"/>
  <c r="B1" i="92" l="1"/>
  <c r="C18" i="92"/>
  <c r="C26" i="92"/>
  <c r="C36" i="92" l="1"/>
  <c r="C16" i="89" l="1"/>
  <c r="D16" i="89"/>
  <c r="E16" i="89"/>
  <c r="F16" i="89"/>
  <c r="G16" i="89"/>
  <c r="H16" i="89"/>
  <c r="I16" i="89"/>
  <c r="J16" i="89"/>
  <c r="K16" i="89"/>
  <c r="C22" i="86" l="1"/>
  <c r="H59" i="53" l="1"/>
  <c r="H58" i="53"/>
  <c r="H57" i="53"/>
  <c r="E59" i="53"/>
  <c r="E58" i="53"/>
  <c r="E57" i="53"/>
  <c r="D6" i="71" l="1"/>
  <c r="D13" i="71" s="1"/>
  <c r="G66" i="53"/>
  <c r="F66" i="53"/>
  <c r="F40" i="62" l="1"/>
  <c r="D16" i="87" l="1"/>
  <c r="H46" i="75" l="1"/>
  <c r="H47" i="75"/>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63" i="53"/>
  <c r="H65" i="53"/>
  <c r="H60" i="53" l="1"/>
  <c r="H8" i="53"/>
  <c r="H21" i="53"/>
  <c r="H53" i="53"/>
  <c r="H52" i="53"/>
  <c r="H30" i="53" l="1"/>
  <c r="H55" i="53" l="1"/>
  <c r="H62" i="53" l="1"/>
  <c r="H64" i="53" l="1"/>
  <c r="H66" i="53"/>
  <c r="D19" i="72" l="1"/>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E14" i="88" l="1"/>
  <c r="B2" i="89"/>
  <c r="F14" i="88"/>
  <c r="F15" i="88"/>
  <c r="F16" i="88"/>
  <c r="F17" i="88"/>
  <c r="F18" i="88"/>
  <c r="F19" i="88"/>
  <c r="F20" i="88"/>
  <c r="F21" i="88"/>
  <c r="C6" i="71" l="1"/>
  <c r="C43" i="28" l="1"/>
  <c r="C52" i="28" s="1"/>
  <c r="C6" i="28"/>
  <c r="C13" i="71" l="1"/>
  <c r="E8" i="75"/>
  <c r="D21" i="90" l="1"/>
  <c r="D11" i="90"/>
  <c r="D9" i="90"/>
  <c r="D16" i="90"/>
  <c r="D13" i="90"/>
  <c r="D20" i="90"/>
  <c r="D7" i="90"/>
  <c r="D12" i="90"/>
  <c r="D19" i="90"/>
  <c r="D8" i="90"/>
  <c r="D15" i="90"/>
  <c r="D17" i="90"/>
  <c r="E15" i="88"/>
  <c r="E16" i="88"/>
  <c r="E17" i="88"/>
  <c r="E18" i="88"/>
  <c r="E19" i="88"/>
  <c r="E20" i="88"/>
  <c r="E21" i="88"/>
  <c r="B2" i="87" l="1"/>
  <c r="B2" i="88"/>
  <c r="B2" i="86"/>
  <c r="F9" i="88" l="1"/>
  <c r="F10" i="88"/>
  <c r="F11" i="88"/>
  <c r="F12" i="88"/>
  <c r="F13" i="88"/>
  <c r="F8" i="88"/>
  <c r="C9" i="88" l="1"/>
  <c r="C10" i="88"/>
  <c r="C11" i="88"/>
  <c r="C12" i="88"/>
  <c r="C13" i="88"/>
  <c r="C8" i="88"/>
  <c r="C15" i="88"/>
  <c r="C16" i="88"/>
  <c r="C17" i="88"/>
  <c r="C18" i="88"/>
  <c r="C19" i="88"/>
  <c r="C20" i="88"/>
  <c r="C21" i="88"/>
  <c r="C14" i="88"/>
  <c r="F22" i="88"/>
  <c r="D22" i="88"/>
  <c r="U21" i="87"/>
  <c r="T21" i="87"/>
  <c r="S21" i="87"/>
  <c r="R21" i="87"/>
  <c r="Q21" i="87"/>
  <c r="P21" i="87"/>
  <c r="O21" i="87"/>
  <c r="N21" i="87"/>
  <c r="M21" i="87"/>
  <c r="L21" i="87"/>
  <c r="K21" i="87"/>
  <c r="J21" i="87"/>
  <c r="I21" i="87"/>
  <c r="H21" i="87"/>
  <c r="G21" i="87"/>
  <c r="F21" i="87"/>
  <c r="E21" i="87"/>
  <c r="D21" i="87"/>
  <c r="C21" i="87"/>
  <c r="V20" i="87"/>
  <c r="G21" i="88" s="1"/>
  <c r="V19" i="87"/>
  <c r="G20" i="88" s="1"/>
  <c r="V18" i="87"/>
  <c r="G19" i="88" s="1"/>
  <c r="V17" i="87"/>
  <c r="G18" i="88" s="1"/>
  <c r="V16" i="87"/>
  <c r="G17" i="88" s="1"/>
  <c r="V15" i="87"/>
  <c r="G16" i="88" s="1"/>
  <c r="V14" i="87"/>
  <c r="G15" i="88" s="1"/>
  <c r="V13" i="87"/>
  <c r="G14" i="88" s="1"/>
  <c r="V12" i="87"/>
  <c r="G13" i="88" s="1"/>
  <c r="V11" i="87"/>
  <c r="G12" i="88" s="1"/>
  <c r="V10" i="87"/>
  <c r="G11" i="88" s="1"/>
  <c r="V9" i="87"/>
  <c r="G10" i="88" s="1"/>
  <c r="V8" i="87"/>
  <c r="G9" i="88" s="1"/>
  <c r="G8" i="88"/>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7" i="69" l="1"/>
  <c r="N20" i="37" l="1"/>
  <c r="N19" i="37"/>
  <c r="E19" i="37"/>
  <c r="N18" i="37"/>
  <c r="E18" i="37"/>
  <c r="N17" i="37"/>
  <c r="E17" i="37"/>
  <c r="N16" i="37"/>
  <c r="E16" i="37"/>
  <c r="E14" i="37" s="1"/>
  <c r="N15" i="37"/>
  <c r="N14" i="37" s="1"/>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L21" i="37" s="1"/>
  <c r="J7" i="37"/>
  <c r="J21" i="37" s="1"/>
  <c r="I7" i="37"/>
  <c r="I21" i="37" s="1"/>
  <c r="H7" i="37"/>
  <c r="G7" i="37"/>
  <c r="G21" i="37" s="1"/>
  <c r="F7" i="37"/>
  <c r="F21" i="37" s="1"/>
  <c r="C7" i="37"/>
  <c r="C21" i="37" s="1"/>
  <c r="B2" i="37"/>
  <c r="B2" i="69"/>
  <c r="C47" i="28"/>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E38" i="62"/>
  <c r="H37" i="62"/>
  <c r="E37" i="62"/>
  <c r="H36" i="62"/>
  <c r="E36" i="62"/>
  <c r="H35" i="62"/>
  <c r="E35" i="62"/>
  <c r="H34" i="62"/>
  <c r="E34" i="62"/>
  <c r="H33" i="62"/>
  <c r="E33" i="62"/>
  <c r="H32" i="62"/>
  <c r="E32" i="62"/>
  <c r="H29" i="62"/>
  <c r="E29" i="62"/>
  <c r="H28" i="62"/>
  <c r="E28" i="62"/>
  <c r="H27" i="62"/>
  <c r="E27" i="62"/>
  <c r="H26" i="62"/>
  <c r="E26" i="62"/>
  <c r="H25" i="62"/>
  <c r="E25" i="62"/>
  <c r="H24" i="62"/>
  <c r="E24" i="62"/>
  <c r="H23" i="62"/>
  <c r="E23" i="62"/>
  <c r="H22" i="62"/>
  <c r="E22" i="62"/>
  <c r="H21" i="62"/>
  <c r="E21" i="62"/>
  <c r="E18" i="62"/>
  <c r="E17" i="62"/>
  <c r="E16" i="62"/>
  <c r="C18" i="72" s="1"/>
  <c r="E18" i="72" s="1"/>
  <c r="E15" i="62"/>
  <c r="E14" i="62"/>
  <c r="H12" i="62"/>
  <c r="E12" i="62"/>
  <c r="H11" i="62"/>
  <c r="E11" i="62"/>
  <c r="H10" i="62"/>
  <c r="E10" i="62"/>
  <c r="C12" i="72" s="1"/>
  <c r="E12" i="72" s="1"/>
  <c r="H9" i="62"/>
  <c r="E9" i="62"/>
  <c r="C11" i="72" s="1"/>
  <c r="E11" i="72" s="1"/>
  <c r="H8" i="62"/>
  <c r="E8" i="62"/>
  <c r="C10" i="72" s="1"/>
  <c r="E10" i="72" s="1"/>
  <c r="H7" i="62"/>
  <c r="E7" i="62"/>
  <c r="H6" i="62"/>
  <c r="E6" i="62"/>
  <c r="B2" i="62"/>
  <c r="C14" i="72" l="1"/>
  <c r="E14" i="72" s="1"/>
  <c r="C20" i="72"/>
  <c r="E20" i="72" s="1"/>
  <c r="C40" i="69"/>
  <c r="E7" i="37"/>
  <c r="E21" i="37" s="1"/>
  <c r="E30" i="62"/>
  <c r="C41" i="28"/>
  <c r="E60" i="53"/>
  <c r="E52" i="53"/>
  <c r="H40" i="62"/>
  <c r="H19" i="62"/>
  <c r="C17" i="72"/>
  <c r="E17" i="72" s="1"/>
  <c r="C13" i="72"/>
  <c r="E19" i="62"/>
  <c r="E21" i="53"/>
  <c r="E53" i="53"/>
  <c r="E44" i="53"/>
  <c r="E8" i="53"/>
  <c r="C8" i="72"/>
  <c r="H30" i="62"/>
  <c r="C40" i="62"/>
  <c r="E13" i="62"/>
  <c r="C15" i="72" s="1"/>
  <c r="C9" i="72"/>
  <c r="E9" i="72" s="1"/>
  <c r="E33" i="53"/>
  <c r="C16" i="72"/>
  <c r="E16" i="72" s="1"/>
  <c r="C19" i="72"/>
  <c r="E19" i="72" s="1"/>
  <c r="H13" i="62"/>
  <c r="C50" i="69"/>
  <c r="C14" i="69"/>
  <c r="C28" i="28"/>
  <c r="N8" i="37"/>
  <c r="N7" i="37" s="1"/>
  <c r="N21" i="37" s="1"/>
  <c r="K7" i="37"/>
  <c r="K21" i="37" s="1"/>
  <c r="C38" i="92" l="1"/>
  <c r="E40" i="62"/>
  <c r="C28" i="69"/>
  <c r="E13" i="72"/>
  <c r="C21" i="72"/>
  <c r="E8" i="72"/>
  <c r="E30" i="53"/>
  <c r="E50" i="75" l="1"/>
  <c r="E48" i="75"/>
  <c r="E51" i="75"/>
  <c r="E49" i="75"/>
  <c r="E52" i="75"/>
  <c r="H43" i="75"/>
  <c r="E41" i="75"/>
  <c r="H41" i="75"/>
  <c r="H44" i="75"/>
  <c r="H42" i="75"/>
  <c r="E55" i="53"/>
  <c r="E44" i="75"/>
  <c r="E42" i="75"/>
  <c r="E43" i="75"/>
  <c r="E15" i="72"/>
  <c r="E47" i="75" l="1"/>
  <c r="E45" i="75" s="1"/>
  <c r="E62" i="53"/>
  <c r="E21" i="72"/>
  <c r="C5" i="73" l="1"/>
  <c r="C8" i="73" s="1"/>
  <c r="C13" i="73" s="1"/>
  <c r="E66" i="53"/>
  <c r="E64" i="53"/>
</calcChain>
</file>

<file path=xl/sharedStrings.xml><?xml version="1.0" encoding="utf-8"?>
<sst xmlns="http://schemas.openxmlformats.org/spreadsheetml/2006/main" count="1263" uniqueCount="947">
  <si>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</si>
  <si>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</si>
  <si>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</si>
  <si>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</si>
  <si>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</si>
  <si>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</si>
  <si>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</si>
  <si>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</si>
  <si>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</si>
  <si>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</si>
  <si>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</si>
  <si>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</si>
  <si>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</si>
  <si>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</si>
  <si>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</si>
  <si>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</si>
  <si>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</si>
  <si>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</si>
  <si>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</si>
  <si>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</si>
  <si>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</si>
  <si>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</si>
  <si>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</si>
  <si>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</si>
  <si>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</si>
  <si>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</si>
  <si>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</si>
  <si>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</si>
  <si>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</si>
  <si>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</si>
  <si>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</si>
  <si>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</si>
  <si>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</si>
  <si>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</si>
  <si>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</si>
  <si>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</si>
  <si>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</si>
  <si>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</si>
  <si>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</si>
  <si>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</si>
  <si>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</si>
  <si>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</si>
  <si>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</si>
  <si>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</si>
  <si>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</si>
  <si>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</si>
  <si>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</si>
  <si>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</si>
  <si>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</si>
  <si>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</si>
  <si>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</si>
  <si>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</si>
  <si>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</si>
  <si>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</si>
  <si>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</si>
  <si>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</si>
  <si>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</si>
  <si>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</si>
  <si>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</si>
  <si>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</si>
  <si>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</si>
  <si>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</si>
  <si>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</si>
  <si>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</si>
  <si>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</si>
  <si>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</si>
  <si>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</si>
  <si>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</si>
  <si>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</si>
  <si>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</si>
  <si>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</si>
  <si>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</si>
  <si>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</si>
  <si>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</si>
  <si>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</si>
  <si>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</si>
  <si>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</si>
  <si>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</si>
  <si>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</si>
  <si>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</si>
  <si>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</si>
  <si>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</si>
  <si>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</si>
  <si>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</si>
  <si>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</si>
  <si>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</si>
  <si>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</si>
  <si>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</si>
  <si>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</si>
  <si>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</si>
  <si>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</si>
  <si>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</si>
  <si>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</si>
  <si>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</si>
  <si>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</si>
  <si>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</si>
  <si>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</si>
  <si>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</si>
  <si>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</si>
  <si>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</si>
  <si>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</si>
  <si>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</si>
  <si>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</si>
  <si>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</si>
  <si>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</si>
  <si>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</si>
  <si>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</si>
  <si>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</si>
  <si>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</si>
  <si>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</si>
  <si>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</si>
  <si>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</si>
  <si>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</si>
  <si>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</si>
  <si>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</si>
  <si>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</si>
  <si>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</si>
  <si>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</si>
  <si>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</si>
  <si>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</si>
  <si>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</si>
  <si>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</si>
  <si>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</si>
  <si>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</si>
  <si>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</si>
  <si>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</si>
  <si>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</si>
  <si>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</si>
  <si>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</si>
  <si>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</si>
  <si>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</si>
  <si>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</si>
  <si>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</si>
  <si>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</si>
  <si>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</si>
  <si>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</si>
  <si>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</si>
  <si>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</si>
  <si>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</si>
  <si>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</si>
  <si>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</si>
  <si>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</si>
  <si>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</si>
  <si>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</si>
  <si>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</si>
  <si>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</si>
  <si>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</si>
  <si>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</si>
  <si>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</si>
  <si>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</si>
  <si>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</si>
  <si>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</si>
  <si>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</si>
  <si>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</si>
  <si>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</si>
  <si>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</si>
  <si>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</si>
  <si>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</si>
  <si>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</si>
  <si>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</si>
  <si>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</si>
  <si>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</si>
  <si>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</si>
  <si>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</si>
  <si>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</si>
  <si>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</si>
  <si>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</si>
  <si>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</si>
  <si>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</si>
  <si>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</si>
  <si>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</si>
  <si>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</si>
  <si>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</si>
  <si>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</si>
  <si>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</si>
  <si>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</si>
  <si>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</si>
  <si>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</si>
  <si>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</si>
  <si>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</si>
  <si>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</si>
  <si>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</si>
  <si>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</si>
  <si>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</si>
  <si>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</si>
  <si>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</si>
  <si>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</si>
  <si>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</si>
  <si>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</si>
  <si>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</si>
  <si>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</si>
  <si>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</si>
  <si>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</si>
  <si>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</si>
  <si>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</si>
  <si>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</si>
  <si>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</si>
  <si>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</si>
  <si>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</si>
  <si>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</si>
  <si>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</si>
  <si>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</si>
  <si>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</si>
  <si>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</si>
  <si>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</si>
  <si>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</si>
  <si>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</si>
  <si>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</si>
  <si>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</si>
  <si>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</si>
  <si>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</si>
  <si>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</si>
  <si>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</si>
  <si>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</si>
  <si>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</si>
  <si>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</si>
  <si>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</si>
  <si>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</si>
  <si>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</si>
  <si>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</si>
  <si>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</si>
  <si>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</si>
  <si>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</si>
  <si>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</si>
  <si>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</si>
  <si>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</si>
  <si>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</si>
  <si>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</si>
  <si>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</si>
  <si>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</si>
  <si>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</si>
  <si>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</si>
  <si>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</si>
  <si>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</si>
  <si>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</si>
  <si>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</si>
  <si>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</si>
  <si>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</si>
  <si>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</si>
  <si>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</si>
  <si>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</si>
  <si>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</si>
  <si>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</si>
  <si>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</si>
  <si>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</si>
  <si>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</si>
  <si>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</si>
  <si>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</si>
  <si>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</si>
  <si>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</si>
  <si>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</si>
  <si>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</si>
  <si>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</si>
  <si>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</si>
  <si>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</si>
  <si>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</si>
  <si>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</si>
  <si>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</si>
  <si>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</si>
  <si>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</si>
  <si>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</si>
  <si>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</si>
  <si>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</si>
  <si>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</si>
  <si>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</si>
  <si>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</si>
  <si>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</si>
  <si>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</si>
  <si>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</si>
  <si>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</si>
  <si>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</si>
  <si>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</si>
  <si>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</si>
  <si>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</si>
  <si>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</si>
  <si>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</si>
  <si>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</si>
  <si>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</si>
  <si>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</si>
  <si>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</si>
  <si>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</si>
  <si>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</si>
  <si>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</si>
  <si>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</si>
  <si>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</si>
  <si>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</si>
  <si>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</si>
  <si>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</si>
  <si>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</si>
  <si>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</si>
  <si>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</si>
  <si>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</si>
  <si>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</si>
  <si>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</si>
  <si>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</si>
  <si>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</si>
  <si>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</si>
  <si>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</si>
  <si>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</si>
  <si>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</si>
  <si>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</si>
  <si>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</si>
  <si>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</si>
  <si>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</si>
  <si>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</si>
  <si>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</si>
  <si>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</si>
  <si>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</si>
  <si>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</si>
  <si>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</si>
  <si>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</si>
  <si>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</si>
  <si>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</si>
  <si>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</si>
  <si>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</si>
  <si>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</si>
  <si>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</si>
  <si>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</si>
  <si>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</si>
  <si>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</si>
  <si>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</si>
  <si>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</si>
  <si>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</si>
  <si>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</si>
  <si>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</si>
  <si>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</si>
  <si>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</si>
  <si>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</si>
  <si>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</si>
  <si>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</si>
  <si>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</si>
  <si>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</si>
  <si>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</si>
  <si>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</si>
  <si>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</si>
  <si>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</si>
  <si>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</si>
  <si>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</si>
  <si>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</si>
  <si>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</si>
  <si>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</si>
  <si>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</si>
  <si>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</si>
  <si>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</si>
  <si>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</si>
  <si>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</si>
  <si>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</si>
  <si>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</si>
  <si>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</si>
  <si>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</si>
  <si>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</si>
  <si>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</si>
  <si>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</si>
  <si>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</si>
  <si>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</si>
  <si>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</si>
  <si>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</si>
  <si>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</si>
  <si>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</si>
  <si>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</si>
  <si>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</si>
  <si>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</si>
  <si>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</si>
  <si>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</si>
  <si>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</si>
  <si>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</si>
  <si>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</si>
  <si>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</si>
  <si>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</si>
  <si>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</si>
  <si>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</si>
  <si>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</si>
  <si>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</si>
  <si>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</si>
  <si>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</si>
  <si>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</si>
  <si>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</si>
  <si>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</si>
  <si>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</si>
  <si>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</si>
  <si>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</si>
  <si>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</si>
  <si>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</si>
  <si>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</si>
  <si>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</si>
  <si>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</si>
  <si>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</si>
  <si>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</si>
  <si>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</si>
  <si>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</si>
  <si>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</si>
  <si>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</si>
  <si>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</si>
  <si>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</si>
  <si>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</si>
  <si>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</si>
  <si>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</si>
  <si>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</si>
  <si>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</si>
  <si>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</si>
  <si>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</si>
  <si>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</si>
  <si>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</si>
  <si>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</si>
  <si>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</si>
  <si>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</si>
  <si>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</si>
  <si>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</si>
  <si>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</si>
  <si>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</si>
  <si>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</si>
  <si>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</si>
  <si>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</si>
  <si>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</si>
  <si>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</si>
  <si>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</si>
  <si>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</si>
  <si>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</si>
  <si>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</si>
  <si>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</si>
  <si>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</si>
  <si>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</si>
  <si>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</si>
  <si>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</si>
  <si>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</si>
  <si>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</si>
  <si>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</si>
  <si>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</si>
  <si>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</si>
  <si>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</si>
  <si>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</si>
  <si>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</si>
  <si>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</si>
  <si>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</si>
  <si>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</si>
  <si>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</si>
  <si>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</si>
  <si>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</si>
  <si>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</si>
  <si>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</si>
  <si>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</si>
  <si>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</si>
  <si>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</si>
  <si>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</si>
  <si>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</si>
  <si>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</si>
  <si>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</si>
  <si>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</si>
  <si>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</si>
  <si>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</si>
  <si>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</si>
  <si>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</si>
  <si>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</si>
  <si>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</si>
  <si>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</si>
  <si>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</si>
  <si>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</si>
  <si>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</si>
  <si>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</si>
  <si>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</si>
  <si>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</si>
  <si>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</si>
  <si>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</si>
  <si>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</si>
  <si>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</si>
  <si>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</si>
  <si>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</si>
  <si>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</si>
  <si>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</si>
  <si>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</si>
  <si>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</si>
  <si>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</si>
  <si>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</si>
  <si>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</si>
  <si>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</si>
  <si>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</si>
  <si>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</si>
  <si>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</si>
  <si>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</si>
  <si>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</si>
  <si>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</si>
  <si>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</si>
  <si>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</si>
  <si>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</si>
  <si>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</si>
  <si>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</si>
  <si>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</si>
  <si>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</si>
  <si>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</si>
  <si>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</si>
  <si>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</si>
  <si>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</si>
  <si>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</si>
  <si>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</si>
  <si>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</si>
  <si>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</si>
  <si>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</si>
  <si>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</si>
  <si>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</si>
  <si>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</si>
  <si>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</si>
  <si>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</si>
  <si>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</si>
  <si>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</si>
  <si>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</si>
  <si>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</si>
  <si>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</si>
  <si>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</si>
  <si>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</si>
  <si>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</si>
  <si>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</si>
  <si>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</si>
  <si>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</si>
  <si>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</si>
  <si>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</si>
  <si>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</si>
  <si>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</si>
  <si>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</si>
  <si>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</si>
  <si>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</si>
  <si>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</si>
  <si>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</si>
  <si>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</si>
  <si>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</si>
  <si>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</si>
  <si>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</si>
  <si>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</si>
  <si>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</si>
  <si>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</si>
  <si>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</si>
  <si>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</si>
  <si>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</si>
  <si>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</si>
  <si>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</si>
  <si>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</si>
  <si>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</si>
  <si>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</si>
  <si>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</si>
  <si>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</si>
  <si>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</si>
  <si>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</si>
  <si>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</si>
  <si>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</si>
  <si>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</si>
  <si>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</si>
  <si>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</si>
  <si>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</si>
  <si>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</si>
  <si>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</si>
  <si>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</si>
  <si>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</si>
  <si>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</si>
  <si>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</si>
  <si>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</si>
  <si>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</si>
  <si>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</si>
  <si>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</si>
  <si>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</si>
  <si>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</si>
  <si>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</si>
  <si>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</si>
  <si>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</si>
  <si>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</si>
  <si>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</si>
  <si>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</si>
  <si>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</si>
  <si>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</si>
  <si>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</si>
  <si>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</si>
  <si>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</si>
  <si>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</si>
  <si>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</si>
  <si>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</si>
  <si>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</si>
  <si>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</si>
  <si>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</si>
  <si>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</si>
  <si>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</si>
  <si>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</si>
  <si>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</si>
  <si>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</si>
  <si>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</si>
  <si>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</si>
  <si>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</si>
  <si>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</si>
  <si>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</si>
  <si>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</si>
  <si>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</si>
  <si>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</si>
  <si>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</si>
  <si>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</si>
  <si>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</si>
  <si>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</si>
  <si>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</si>
  <si>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</si>
  <si>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</si>
  <si>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</si>
  <si>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</si>
  <si>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</si>
  <si>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</si>
  <si>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</si>
  <si>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</si>
  <si>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</si>
  <si>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</si>
  <si>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</si>
  <si>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</si>
  <si>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</si>
  <si>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</si>
  <si>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</si>
  <si>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</si>
  <si>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</si>
  <si>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</si>
  <si>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</si>
  <si>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</si>
  <si>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</si>
  <si>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</si>
  <si>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</si>
  <si>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</si>
  <si>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</si>
  <si>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</si>
  <si>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</si>
  <si>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</si>
  <si>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</si>
  <si>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</si>
  <si>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</si>
  <si>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</si>
  <si>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</si>
  <si>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</si>
  <si>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</si>
  <si>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</si>
  <si>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</si>
  <si>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</si>
  <si>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</si>
  <si>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</si>
  <si>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</si>
  <si>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</si>
  <si>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</si>
  <si>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</si>
  <si>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</si>
  <si>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</si>
  <si>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</si>
  <si>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</si>
  <si>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</si>
  <si>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</si>
  <si>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</si>
  <si>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</si>
  <si>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</si>
  <si>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</si>
  <si>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</si>
  <si>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</si>
  <si>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</si>
  <si>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</si>
  <si>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</si>
  <si>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</si>
  <si>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</si>
  <si>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</si>
  <si>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</si>
  <si>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</si>
  <si>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</si>
  <si>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</si>
  <si>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</si>
  <si>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</si>
  <si>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</si>
  <si>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</si>
  <si>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</si>
  <si>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</si>
  <si>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</si>
  <si>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</si>
  <si>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</si>
  <si>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</si>
  <si>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</si>
  <si>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</si>
  <si>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</si>
  <si>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</si>
  <si>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</si>
  <si>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</si>
  <si>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</si>
  <si>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</si>
  <si>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</si>
  <si>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</si>
  <si>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</si>
  <si>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</si>
  <si>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</si>
  <si>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</si>
  <si>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</si>
  <si>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</si>
  <si>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</si>
  <si>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</si>
  <si>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</si>
  <si>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</si>
  <si>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</si>
  <si>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</si>
  <si>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</si>
  <si>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</si>
  <si>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</si>
  <si>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</si>
  <si>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</si>
  <si>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</si>
  <si>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</si>
  <si>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</si>
  <si>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</si>
  <si>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</si>
  <si>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</si>
  <si>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</si>
  <si>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</si>
  <si>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</si>
  <si>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</si>
  <si>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</si>
  <si>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</si>
  <si>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</si>
  <si>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</si>
  <si>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</si>
  <si>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</si>
  <si>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</si>
  <si>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</si>
  <si>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</si>
  <si>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</si>
  <si>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</si>
  <si>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</si>
  <si>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</si>
  <si>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</si>
  <si>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</si>
  <si>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</si>
  <si>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</si>
  <si>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</si>
  <si>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</si>
  <si>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</si>
  <si>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</si>
  <si>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</si>
  <si>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</si>
  <si>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</si>
  <si>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</si>
  <si>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</si>
  <si>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</si>
  <si>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</si>
  <si>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</si>
  <si>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</si>
  <si>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</si>
  <si>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</si>
  <si>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</si>
  <si>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</si>
  <si>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</si>
  <si>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</si>
  <si>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</si>
  <si>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</si>
  <si>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</si>
  <si>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</si>
  <si>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</si>
  <si>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</si>
  <si>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</si>
  <si>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</si>
  <si>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</si>
  <si>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</si>
  <si>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</si>
  <si>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</si>
  <si>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</si>
  <si>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</si>
  <si>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</si>
  <si>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</si>
  <si>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</si>
  <si>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</si>
  <si>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</si>
  <si>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</si>
  <si>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</si>
  <si>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</si>
  <si>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</si>
  <si>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</si>
  <si>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</si>
  <si>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</si>
  <si>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</si>
  <si>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</si>
  <si>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</si>
  <si>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</si>
  <si>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</si>
  <si>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</si>
  <si>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</si>
  <si>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</si>
  <si>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</si>
  <si>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</si>
  <si>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</si>
  <si>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</si>
  <si>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</si>
  <si>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</si>
  <si>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</si>
  <si>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</si>
  <si>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</si>
  <si>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</si>
  <si>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</si>
  <si>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</si>
  <si>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</si>
  <si>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</si>
  <si>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</si>
  <si>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</si>
  <si>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</si>
  <si>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</si>
  <si>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</si>
  <si>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</si>
  <si>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</si>
  <si>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</si>
  <si>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</si>
  <si>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</si>
  <si>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</si>
  <si>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</si>
  <si>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</si>
  <si>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</si>
  <si>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</si>
  <si>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</si>
  <si>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</si>
  <si>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</si>
  <si>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</si>
  <si>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</si>
  <si>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</si>
  <si>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</si>
  <si>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</si>
  <si>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</si>
  <si>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</si>
  <si>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</si>
  <si>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</si>
  <si>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</si>
  <si>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</si>
  <si>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</si>
  <si>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</si>
  <si>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</si>
  <si>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</si>
  <si>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</si>
  <si>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</si>
  <si>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</si>
  <si>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</si>
  <si>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</si>
  <si>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</si>
  <si>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</si>
  <si>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</si>
  <si>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</si>
  <si>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</si>
  <si>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</si>
  <si>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</si>
  <si>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</si>
  <si>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</si>
  <si>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</si>
  <si>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</si>
  <si>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</si>
  <si>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</si>
  <si>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</si>
  <si>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</si>
  <si>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</si>
  <si>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</si>
  <si>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</si>
  <si>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</si>
  <si>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</si>
  <si>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</si>
  <si>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</si>
  <si>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</si>
  <si>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</si>
  <si>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</si>
  <si>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</si>
  <si>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</si>
  <si>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</si>
  <si>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</si>
  <si>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</si>
  <si>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</si>
  <si>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</si>
  <si>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</si>
  <si>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</si>
  <si>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</si>
  <si>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</si>
  <si>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</si>
  <si>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</si>
  <si>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</si>
  <si>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</si>
  <si>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</si>
  <si>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</si>
  <si>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</si>
  <si>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</si>
  <si>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</si>
  <si>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</si>
  <si>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</si>
  <si>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</si>
  <si>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</si>
  <si>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</si>
  <si>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</si>
  <si>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</si>
  <si>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</si>
  <si>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</si>
  <si>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</si>
  <si>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</si>
  <si>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 xml:space="preserve">ბაზელ III-ზე დაფუძნებული ჩარჩოს მიხედვით </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</si>
  <si>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</si>
  <si>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</si>
  <si>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</si>
  <si>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</si>
  <si>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1Q 2018</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</si>
  <si>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</si>
  <si>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</si>
  <si>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</si>
  <si>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თემურ კობახიძე</t>
  </si>
  <si>
    <t>გიორგი პერტაია</t>
  </si>
  <si>
    <t>ეთერი დემინაშვილი</t>
  </si>
  <si>
    <t>2Q 2018</t>
  </si>
  <si>
    <t>3Q 2018</t>
  </si>
  <si>
    <t>4Q 2018</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</si>
  <si>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</si>
  <si>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</si>
  <si>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</si>
  <si>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</si>
  <si>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</si>
  <si>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</si>
  <si>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</si>
  <si>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</si>
  <si>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</si>
  <si>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</si>
  <si>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</si>
  <si>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</si>
  <si>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</si>
  <si>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</si>
  <si>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</si>
  <si>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</si>
  <si>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</si>
  <si>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</si>
  <si>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</si>
  <si>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</si>
  <si>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</si>
  <si>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</si>
  <si>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</si>
  <si>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</si>
  <si>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</si>
  <si>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</si>
  <si>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</si>
  <si>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</si>
  <si>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</si>
  <si>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</si>
  <si>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</si>
  <si>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</si>
  <si>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</si>
  <si>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</si>
  <si>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</si>
  <si>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</si>
  <si>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</si>
  <si>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</si>
  <si>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</si>
  <si>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</si>
  <si>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</si>
  <si>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</si>
  <si>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</si>
  <si>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</si>
  <si>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</si>
  <si>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1Q 2019</t>
  </si>
  <si>
    <t>შენიშვნა: 7.1-7.4 სტრიქონები შეცავს ინფორმაციას მხოლოდ კრედიტების ჩამოწერის (არა ამოღების) შესახებ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</si>
</sst>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57">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name val="Arial"/>
      <family val="2"/>
    </font>
    <font>
      <sz val="11"/>
      <color theme="3" tint="0.39997558519241921"/>
      <name val="Calibri"/>
      <family val="2"/>
      <scheme val="minor"/>
    </font>
    <font>
      <sz val="9"/>
      <color theme="1"/>
      <name val="Calibri"/>
      <family val="2"/>
      <scheme val="minor"/>
    </font>
    <font>
      <sz val="10"/>
      <name val="Arial"/>
      <family val="2"/>
    </font>
    <font>
      <sz val="10"/>
      <color rgb="FF0070C0"/>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1" fillId="38" borderId="0" applyNumberFormat="0" applyBorder="0" applyAlignment="0" applyProtection="0"/>
    <xf numFmtId="0" fontId="121" fillId="39" borderId="0" applyNumberFormat="0" applyBorder="0" applyAlignment="0" applyProtection="0"/>
    <xf numFmtId="0" fontId="121" fillId="40" borderId="0" applyNumberFormat="0" applyBorder="0" applyAlignment="0" applyProtection="0"/>
    <xf numFmtId="0" fontId="121" fillId="41" borderId="0" applyNumberFormat="0" applyBorder="0" applyAlignment="0" applyProtection="0"/>
    <xf numFmtId="0" fontId="121" fillId="42" borderId="0" applyNumberFormat="0" applyBorder="0" applyAlignment="0" applyProtection="0"/>
    <xf numFmtId="0" fontId="121" fillId="43" borderId="0" applyNumberFormat="0" applyBorder="0" applyAlignment="0" applyProtection="0"/>
    <xf numFmtId="0" fontId="121" fillId="44"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1" borderId="0" applyNumberFormat="0" applyBorder="0" applyAlignment="0" applyProtection="0"/>
    <xf numFmtId="0" fontId="121" fillId="44" borderId="0" applyNumberFormat="0" applyBorder="0" applyAlignment="0" applyProtection="0"/>
    <xf numFmtId="0" fontId="121" fillId="47" borderId="0" applyNumberFormat="0" applyBorder="0" applyAlignment="0" applyProtection="0"/>
    <xf numFmtId="0" fontId="122" fillId="48"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3" fillId="39" borderId="0" applyNumberFormat="0" applyBorder="0" applyAlignment="0" applyProtection="0"/>
    <xf numFmtId="0" fontId="124" fillId="64" borderId="44" applyNumberFormat="0" applyAlignment="0" applyProtection="0"/>
    <xf numFmtId="0" fontId="125"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6" fillId="0" borderId="0" applyNumberFormat="0" applyFill="0" applyBorder="0" applyAlignment="0" applyProtection="0"/>
    <xf numFmtId="0" fontId="127" fillId="40" borderId="0" applyNumberFormat="0" applyBorder="0" applyAlignment="0" applyProtection="0"/>
    <xf numFmtId="0" fontId="128" fillId="0" borderId="47" applyNumberFormat="0" applyFill="0" applyAlignment="0" applyProtection="0"/>
    <xf numFmtId="0" fontId="129" fillId="0" borderId="48" applyNumberFormat="0" applyFill="0" applyAlignment="0" applyProtection="0"/>
    <xf numFmtId="0" fontId="130" fillId="0" borderId="49" applyNumberFormat="0" applyFill="0" applyAlignment="0" applyProtection="0"/>
    <xf numFmtId="0" fontId="130" fillId="0" borderId="0" applyNumberFormat="0" applyFill="0" applyBorder="0" applyAlignment="0" applyProtection="0"/>
    <xf numFmtId="0" fontId="131" fillId="43" borderId="44" applyNumberFormat="0" applyAlignment="0" applyProtection="0"/>
    <xf numFmtId="0" fontId="132" fillId="0" borderId="50" applyNumberFormat="0" applyFill="0" applyAlignment="0" applyProtection="0"/>
    <xf numFmtId="0" fontId="133" fillId="73" borderId="0" applyNumberFormat="0" applyBorder="0" applyAlignment="0" applyProtection="0"/>
    <xf numFmtId="0" fontId="138" fillId="0" borderId="0"/>
    <xf numFmtId="0" fontId="121" fillId="74" borderId="52" applyNumberFormat="0" applyFont="0" applyAlignment="0" applyProtection="0"/>
    <xf numFmtId="0" fontId="134" fillId="64" borderId="53" applyNumberFormat="0" applyAlignment="0" applyProtection="0"/>
    <xf numFmtId="9" fontId="9" fillId="0" borderId="0" applyFont="0" applyFill="0" applyBorder="0" applyAlignment="0" applyProtection="0"/>
    <xf numFmtId="0" fontId="135" fillId="0" borderId="54" applyNumberFormat="0" applyFill="0" applyAlignment="0" applyProtection="0"/>
    <xf numFmtId="0" fontId="136"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5" fillId="0" borderId="0"/>
    <xf numFmtId="0" fontId="137"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121"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121"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121"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121"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121"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1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121"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0"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121"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0" borderId="0"/>
    <xf numFmtId="9" fontId="9" fillId="0" borderId="0" applyFont="0" applyFill="0" applyBorder="0" applyAlignment="0" applyProtection="0"/>
    <xf numFmtId="0" fontId="138" fillId="0" borderId="0"/>
    <xf numFmtId="44" fontId="9" fillId="0" borderId="0" applyFont="0" applyFill="0" applyBorder="0" applyAlignment="0" applyProtection="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142"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122" fillId="50" borderId="0" applyNumberFormat="0" applyBorder="0" applyAlignment="0" applyProtection="0"/>
    <xf numFmtId="0" fontId="122" fillId="63" borderId="0" applyNumberFormat="0" applyBorder="0" applyAlignment="0" applyProtection="0"/>
    <xf numFmtId="0" fontId="122" fillId="58" borderId="0" applyNumberFormat="0" applyBorder="0" applyAlignment="0" applyProtection="0"/>
    <xf numFmtId="9" fontId="9" fillId="0" borderId="0" applyFont="0" applyFill="0" applyBorder="0" applyAlignment="0" applyProtection="0"/>
    <xf numFmtId="0" fontId="122" fillId="54"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43" fontId="9" fillId="0" borderId="0" applyFont="0" applyFill="0" applyBorder="0" applyAlignment="0" applyProtection="0"/>
    <xf numFmtId="0" fontId="138" fillId="0" borderId="0"/>
    <xf numFmtId="44"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8"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0" fontId="4" fillId="0" borderId="0"/>
    <xf numFmtId="43" fontId="9" fillId="0" borderId="0" applyFont="0" applyFill="0" applyBorder="0" applyAlignment="0" applyProtection="0"/>
    <xf numFmtId="0" fontId="122" fillId="63" borderId="0" applyNumberFormat="0" applyBorder="0" applyAlignment="0" applyProtection="0"/>
    <xf numFmtId="0" fontId="122" fillId="50" borderId="0" applyNumberFormat="0" applyBorder="0" applyAlignment="0" applyProtection="0"/>
    <xf numFmtId="0" fontId="122" fillId="49" borderId="0" applyNumberFormat="0" applyBorder="0" applyAlignment="0" applyProtection="0"/>
    <xf numFmtId="0" fontId="122" fillId="60" borderId="0" applyNumberFormat="0" applyBorder="0" applyAlignment="0" applyProtection="0"/>
    <xf numFmtId="0" fontId="122" fillId="58" borderId="0" applyNumberFormat="0" applyBorder="0" applyAlignment="0" applyProtection="0"/>
    <xf numFmtId="0" fontId="122" fillId="54" borderId="0" applyNumberFormat="0" applyBorder="0" applyAlignment="0" applyProtection="0"/>
    <xf numFmtId="44" fontId="9" fillId="0" borderId="0" applyFont="0" applyFill="0" applyBorder="0" applyAlignment="0" applyProtection="0"/>
    <xf numFmtId="0" fontId="145" fillId="0" borderId="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2" fillId="54" borderId="0" applyNumberFormat="0" applyBorder="0" applyAlignment="0" applyProtection="0"/>
    <xf numFmtId="0" fontId="122" fillId="58" borderId="0" applyNumberFormat="0" applyBorder="0" applyAlignment="0" applyProtection="0"/>
    <xf numFmtId="0" fontId="122" fillId="60"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8"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60">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0" fillId="0" borderId="3" xfId="0" applyFont="1" applyFill="1" applyBorder="1"/>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28" fillId="36" borderId="64" xfId="0" applyNumberFormat="1" applyFont="1" applyFill="1" applyBorder="1" applyAlignment="1">
      <alignment vertical="center"/>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8"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193" fontId="119" fillId="0" borderId="3" xfId="0" applyNumberFormat="1" applyFont="1" applyFill="1" applyBorder="1" applyAlignment="1" applyProtection="1">
      <alignment horizontal="right"/>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3" fontId="14" fillId="0" borderId="35" xfId="0" applyNumberFormat="1" applyFont="1" applyBorder="1" applyAlignment="1">
      <alignment vertical="center"/>
    </xf>
    <xf numFmtId="193" fontId="118" fillId="0" borderId="0" xfId="0" applyNumberFormat="1" applyFont="1"/>
    <xf numFmtId="0" fontId="0" fillId="0" borderId="0" xfId="0" applyAlignment="1">
      <alignment vertical="center"/>
    </xf>
    <xf numFmtId="0" fontId="0" fillId="0" borderId="0" xfId="0" applyAlignment="1">
      <alignment vertical="center" wrapText="1"/>
    </xf>
    <xf numFmtId="0" fontId="120" fillId="0" borderId="0" xfId="0" applyFont="1" applyAlignment="1">
      <alignment vertical="center" wrapText="1"/>
    </xf>
    <xf numFmtId="164" fontId="120" fillId="0" borderId="0" xfId="7" applyNumberFormat="1" applyFont="1"/>
    <xf numFmtId="164" fontId="0" fillId="0" borderId="0" xfId="7" applyNumberFormat="1" applyFont="1" applyFill="1"/>
    <xf numFmtId="164" fontId="143" fillId="0" borderId="0" xfId="7" applyNumberFormat="1" applyFont="1" applyFill="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4"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2" fillId="0" borderId="3" xfId="0" applyNumberFormat="1" applyFont="1" applyFill="1" applyBorder="1" applyAlignment="1" applyProtection="1">
      <alignment vertical="center" wrapText="1"/>
      <protection locked="0"/>
    </xf>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193" fontId="14" fillId="2" borderId="26"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0" fillId="0" borderId="23" xfId="0" applyNumberFormat="1" applyFont="1" applyBorder="1" applyAlignment="1">
      <alignment vertical="center"/>
    </xf>
    <xf numFmtId="193" fontId="120" fillId="0" borderId="0" xfId="0" applyNumberFormat="1" applyFont="1"/>
    <xf numFmtId="167" fontId="29" fillId="0" borderId="113" xfId="0" applyNumberFormat="1" applyFont="1" applyBorder="1" applyAlignment="1">
      <alignment horizontal="center"/>
    </xf>
    <xf numFmtId="193" fontId="146" fillId="0" borderId="3" xfId="0" applyNumberFormat="1" applyFont="1" applyBorder="1" applyAlignment="1"/>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6" fillId="0" borderId="117" xfId="17" applyBorder="1" applyAlignment="1" applyProtection="1"/>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48" fillId="0" borderId="22" xfId="0" applyFont="1" applyFill="1" applyBorder="1" applyAlignment="1">
      <alignment horizontal="right" vertical="center" wrapText="1"/>
    </xf>
    <xf numFmtId="0" fontId="148" fillId="0" borderId="117" xfId="0" applyFont="1" applyFill="1" applyBorder="1" applyAlignment="1">
      <alignment horizontal="left" vertical="center" wrapText="1"/>
    </xf>
    <xf numFmtId="0" fontId="148" fillId="0" borderId="0" xfId="0" applyFont="1" applyFill="1" applyAlignment="1">
      <alignment horizontal="left" vertical="center"/>
    </xf>
    <xf numFmtId="49" fontId="148"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49" fillId="0" borderId="25" xfId="5" applyNumberFormat="1" applyFont="1" applyFill="1" applyBorder="1" applyAlignment="1" applyProtection="1">
      <alignment horizontal="left" vertical="center"/>
      <protection locked="0"/>
    </xf>
    <xf numFmtId="0" fontId="150"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48"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0" fontId="20" fillId="0" borderId="117" xfId="0" applyFont="1" applyFill="1" applyBorder="1" applyAlignment="1">
      <alignment horizontal="center" vertical="center" wrapText="1"/>
    </xf>
    <xf numFmtId="0" fontId="21" fillId="0" borderId="117" xfId="0" applyFont="1" applyFill="1" applyBorder="1" applyAlignment="1">
      <alignment horizontal="left" vertical="center" wrapText="1"/>
    </xf>
    <xf numFmtId="0" fontId="12" fillId="0" borderId="117" xfId="0" applyFont="1" applyFill="1" applyBorder="1" applyAlignment="1">
      <alignment vertical="center" wrapText="1"/>
    </xf>
    <xf numFmtId="0" fontId="14" fillId="2" borderId="117" xfId="0" applyFont="1" applyFill="1" applyBorder="1" applyAlignment="1">
      <alignment vertical="center"/>
    </xf>
    <xf numFmtId="193" fontId="14" fillId="2" borderId="117" xfId="0" applyNumberFormat="1" applyFont="1" applyFill="1" applyBorder="1" applyAlignment="1" applyProtection="1">
      <alignment vertical="center"/>
      <protection locked="0"/>
    </xf>
    <xf numFmtId="0" fontId="12" fillId="0" borderId="117" xfId="0" applyFont="1" applyFill="1" applyBorder="1" applyAlignment="1">
      <alignment horizontal="left" vertical="center" wrapText="1"/>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95" fontId="0" fillId="0" borderId="0" xfId="0" applyNumberFormat="1"/>
    <xf numFmtId="10" fontId="10" fillId="0" borderId="0" xfId="0" applyNumberFormat="1" applyFont="1"/>
    <xf numFmtId="3" fontId="151" fillId="0" borderId="0" xfId="0" applyNumberFormat="1" applyFont="1" applyBorder="1" applyAlignment="1">
      <alignment vertical="center" wrapText="1"/>
    </xf>
    <xf numFmtId="10" fontId="148" fillId="0" borderId="117" xfId="20961" applyNumberFormat="1" applyFont="1" applyFill="1" applyBorder="1" applyAlignment="1">
      <alignment horizontal="center" vertical="center" wrapText="1"/>
    </xf>
    <xf numFmtId="10" fontId="150"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48" fillId="0" borderId="117" xfId="20961" applyNumberFormat="1" applyFont="1" applyFill="1" applyBorder="1" applyAlignment="1">
      <alignment horizontal="center" vertical="center" wrapText="1"/>
    </xf>
    <xf numFmtId="164" fontId="152" fillId="3" borderId="117" xfId="948" applyNumberFormat="1" applyFont="1" applyFill="1" applyBorder="1" applyAlignment="1" applyProtection="1">
      <alignment horizontal="right" vertical="center"/>
      <protection locked="0"/>
    </xf>
    <xf numFmtId="0" fontId="152"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52" fillId="70" borderId="131" xfId="37965" applyFont="1" applyFill="1" applyBorder="1" applyAlignment="1" applyProtection="1">
      <alignment vertical="center" wrapText="1"/>
      <protection locked="0"/>
    </xf>
    <xf numFmtId="0" fontId="153"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52" fillId="80" borderId="117" xfId="948" applyNumberFormat="1" applyFont="1" applyFill="1" applyBorder="1" applyAlignment="1" applyProtection="1">
      <alignment horizontal="right" vertical="center"/>
    </xf>
    <xf numFmtId="0" fontId="154" fillId="80" borderId="131" xfId="37965" applyFont="1" applyFill="1" applyBorder="1" applyAlignment="1" applyProtection="1">
      <alignment vertical="center" wrapText="1"/>
      <protection locked="0"/>
    </xf>
    <xf numFmtId="0" fontId="155" fillId="80" borderId="117" xfId="37965" applyFont="1" applyFill="1" applyBorder="1" applyAlignment="1" applyProtection="1">
      <alignment horizontal="center" vertical="center"/>
      <protection locked="0"/>
    </xf>
    <xf numFmtId="0" fontId="154" fillId="79" borderId="122" xfId="37965" applyFont="1" applyFill="1" applyBorder="1" applyAlignment="1" applyProtection="1">
      <alignment vertical="center"/>
      <protection locked="0"/>
    </xf>
    <xf numFmtId="0" fontId="153" fillId="70" borderId="124" xfId="37965" applyFont="1" applyFill="1" applyBorder="1" applyAlignment="1" applyProtection="1">
      <alignment horizontal="center" vertical="center"/>
      <protection locked="0"/>
    </xf>
    <xf numFmtId="0" fontId="154" fillId="79" borderId="122" xfId="37965" applyFont="1" applyFill="1" applyBorder="1" applyAlignment="1" applyProtection="1">
      <alignment horizontal="center" vertical="center"/>
      <protection locked="0"/>
    </xf>
    <xf numFmtId="164" fontId="152" fillId="0" borderId="117" xfId="948" applyNumberFormat="1" applyFont="1" applyFill="1" applyBorder="1" applyAlignment="1" applyProtection="1">
      <alignment horizontal="right" vertical="center"/>
      <protection locked="0"/>
    </xf>
    <xf numFmtId="0" fontId="152" fillId="0" borderId="131" xfId="37965" applyFont="1" applyFill="1" applyBorder="1" applyAlignment="1" applyProtection="1">
      <alignment horizontal="left" vertical="center" wrapText="1"/>
      <protection locked="0"/>
    </xf>
    <xf numFmtId="0" fontId="153" fillId="3" borderId="124" xfId="37965" applyFont="1" applyFill="1" applyBorder="1" applyAlignment="1" applyProtection="1">
      <alignment horizontal="center" vertical="center"/>
      <protection locked="0"/>
    </xf>
    <xf numFmtId="164" fontId="154" fillId="79" borderId="131" xfId="948" applyNumberFormat="1" applyFont="1" applyFill="1" applyBorder="1" applyAlignment="1" applyProtection="1">
      <alignment horizontal="right" vertical="center"/>
      <protection locked="0"/>
    </xf>
    <xf numFmtId="0" fontId="152" fillId="3" borderId="131" xfId="37965" applyFont="1" applyFill="1" applyBorder="1" applyAlignment="1" applyProtection="1">
      <alignment horizontal="left" vertical="center" wrapText="1"/>
      <protection locked="0"/>
    </xf>
    <xf numFmtId="0" fontId="153" fillId="0" borderId="124" xfId="37965" applyFont="1" applyFill="1" applyBorder="1" applyAlignment="1" applyProtection="1">
      <alignment horizontal="center" vertical="center"/>
      <protection locked="0"/>
    </xf>
    <xf numFmtId="0" fontId="152" fillId="0" borderId="131" xfId="37965" applyFont="1" applyFill="1" applyBorder="1" applyAlignment="1" applyProtection="1">
      <alignment vertical="center" wrapText="1"/>
      <protection locked="0"/>
    </xf>
    <xf numFmtId="0" fontId="154" fillId="80" borderId="131" xfId="37965" applyFont="1" applyFill="1" applyBorder="1" applyAlignment="1" applyProtection="1">
      <alignment vertical="top" wrapText="1"/>
      <protection locked="0"/>
    </xf>
    <xf numFmtId="0" fontId="154" fillId="80" borderId="117" xfId="37965" applyFont="1" applyFill="1" applyBorder="1" applyAlignment="1" applyProtection="1">
      <alignment horizontal="center" vertical="center"/>
      <protection locked="0"/>
    </xf>
    <xf numFmtId="0" fontId="152"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54" fillId="79" borderId="122" xfId="37965" applyFont="1" applyFill="1" applyBorder="1" applyAlignment="1" applyProtection="1">
      <alignment vertical="center" wrapText="1"/>
      <protection locked="0"/>
    </xf>
    <xf numFmtId="10" fontId="152" fillId="80" borderId="117" xfId="20961" applyNumberFormat="1" applyFont="1" applyFill="1" applyBorder="1" applyAlignment="1" applyProtection="1">
      <alignment horizontal="right" vertical="center"/>
    </xf>
    <xf numFmtId="0" fontId="12" fillId="0" borderId="151" xfId="0" applyFont="1" applyBorder="1" applyAlignment="1">
      <alignment vertical="center" wrapText="1"/>
    </xf>
    <xf numFmtId="193" fontId="10" fillId="0" borderId="24" xfId="0" applyNumberFormat="1" applyFont="1" applyFill="1" applyBorder="1" applyAlignment="1"/>
    <xf numFmtId="193" fontId="156" fillId="0" borderId="23" xfId="0" applyNumberFormat="1" applyFont="1" applyBorder="1" applyAlignment="1">
      <alignment vertical="center" wrapText="1"/>
    </xf>
    <xf numFmtId="3" fontId="156" fillId="0" borderId="23" xfId="0" applyNumberFormat="1" applyFont="1" applyBorder="1" applyAlignment="1">
      <alignment vertical="center" wrapText="1"/>
    </xf>
    <xf numFmtId="169" fontId="32"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193" fontId="12" fillId="0" borderId="3" xfId="0" applyNumberFormat="1" applyFont="1" applyBorder="1" applyAlignment="1"/>
    <xf numFmtId="193" fontId="156" fillId="0" borderId="23" xfId="0" applyNumberFormat="1" applyFont="1" applyBorder="1" applyAlignment="1">
      <alignment vertical="center"/>
    </xf>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2" fillId="0" borderId="95" xfId="0" applyFont="1" applyFill="1" applyBorder="1" applyAlignment="1">
      <alignment horizontal="lef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1" xfId="0" applyFont="1" applyFill="1" applyBorder="1" applyAlignment="1">
      <alignment horizontal="center"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117" xfId="0" applyFont="1" applyFill="1" applyBorder="1" applyAlignment="1">
      <alignment horizontal="lef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193" fontId="14" fillId="0" borderId="35" xfId="0" applyNumberFormat="1" applyFont="1" applyBorder="1" applyAlignment="1">
      <alignment vertical="center"/>
    </xf>
    <xf numFmtId="193" fontId="14" fillId="0" borderId="18" xfId="0" applyNumberFormat="1" applyFont="1" applyFill="1" applyBorder="1" applyAlignment="1">
      <alignment vertical="center"/>
    </xf>
    <xf numFmtId="193" fontId="14" fillId="36" borderId="14" xfId="0" applyNumberFormat="1" applyFont="1" applyFill="1" applyBorder="1" applyAlignment="1">
      <alignment vertical="center"/>
    </xf>
    <xf numFmtId="193" fontId="14" fillId="0" borderId="14" xfId="0" applyNumberFormat="1" applyFont="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193" fontId="12" fillId="0" borderId="3" xfId="0" applyNumberFormat="1" applyFont="1" applyFill="1" applyBorder="1"/>
    <xf numFmtId="10" fontId="150" fillId="0" borderId="117" xfId="20961" applyNumberFormat="1" applyFont="1" applyFill="1" applyBorder="1" applyAlignment="1">
      <alignment horizontal="center" vertical="center" wrapText="1"/>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C4" sqref="C4"/>
    </sheetView>
  </sheetViews>
  <sheetFormatPr defaultRowHeight="14.4"/>
  <cols>
    <col min="1" max="1" width="10.33203125" style="2" customWidth="1"/>
    <col min="2" max="2" width="134.6640625" bestFit="1" customWidth="1"/>
    <col min="3" max="3" width="39.44140625" customWidth="1"/>
    <col min="7" max="7" width="25" customWidth="1"/>
  </cols>
  <sheetData>
    <row r="1" spans="1:3">
      <c r="A1" s="6"/>
      <c r="B1" s="184" t="s">
        <v>290</v>
      </c>
      <c r="C1" s="90"/>
    </row>
    <row r="2" spans="1:3" s="181" customFormat="1">
      <c r="A2" s="249">
        <v>1</v>
      </c>
      <c r="B2" s="182" t="s">
        <v>291</v>
      </c>
      <c r="C2" s="179" t="s">
        <v>752</v>
      </c>
    </row>
    <row r="3" spans="1:3" s="181" customFormat="1">
      <c r="A3" s="249">
        <v>2</v>
      </c>
      <c r="B3" s="183" t="s">
        <v>292</v>
      </c>
      <c r="C3" s="179" t="s">
        <v>753</v>
      </c>
    </row>
    <row r="4" spans="1:3" s="181" customFormat="1">
      <c r="A4" s="249">
        <v>3</v>
      </c>
      <c r="B4" s="183" t="s">
        <v>293</v>
      </c>
      <c r="C4" s="179" t="s">
        <v>754</v>
      </c>
    </row>
    <row r="5" spans="1:3" s="181" customFormat="1" ht="15">
      <c r="A5" s="250">
        <v>4</v>
      </c>
      <c r="B5" s="189" t="s">
        <v>294</v>
      </c>
      <c r="C5" s="320" t="s">
        <v>755</v>
      </c>
    </row>
    <row r="6" spans="1:3" s="185" customFormat="1" ht="65.25" customHeight="1">
      <c r="A6" s="541" t="s">
        <v>888</v>
      </c>
      <c r="B6" s="542"/>
      <c r="C6" s="542"/>
    </row>
    <row r="7" spans="1:3">
      <c r="A7" s="248" t="s">
        <v>648</v>
      </c>
      <c r="B7" s="184" t="s">
        <v>295</v>
      </c>
    </row>
    <row r="8" spans="1:3">
      <c r="A8" s="6">
        <v>1</v>
      </c>
      <c r="B8" s="186" t="s">
        <v>262</v>
      </c>
    </row>
    <row r="9" spans="1:3">
      <c r="A9" s="6">
        <v>2</v>
      </c>
      <c r="B9" s="186" t="s">
        <v>296</v>
      </c>
    </row>
    <row r="10" spans="1:3">
      <c r="A10" s="6">
        <v>3</v>
      </c>
      <c r="B10" s="186" t="s">
        <v>297</v>
      </c>
    </row>
    <row r="11" spans="1:3">
      <c r="A11" s="6">
        <v>4</v>
      </c>
      <c r="B11" s="186" t="s">
        <v>298</v>
      </c>
      <c r="C11" s="180"/>
    </row>
    <row r="12" spans="1:3">
      <c r="A12" s="6">
        <v>5</v>
      </c>
      <c r="B12" s="186" t="s">
        <v>226</v>
      </c>
    </row>
    <row r="13" spans="1:3">
      <c r="A13" s="6">
        <v>6</v>
      </c>
      <c r="B13" s="187" t="s">
        <v>187</v>
      </c>
    </row>
    <row r="14" spans="1:3">
      <c r="A14" s="6">
        <v>7</v>
      </c>
      <c r="B14" s="186" t="s">
        <v>299</v>
      </c>
    </row>
    <row r="15" spans="1:3">
      <c r="A15" s="6">
        <v>8</v>
      </c>
      <c r="B15" s="186" t="s">
        <v>303</v>
      </c>
    </row>
    <row r="16" spans="1:3">
      <c r="A16" s="6">
        <v>9</v>
      </c>
      <c r="B16" s="186" t="s">
        <v>89</v>
      </c>
    </row>
    <row r="17" spans="1:2">
      <c r="A17" s="6">
        <v>10</v>
      </c>
      <c r="B17" s="186" t="s">
        <v>308</v>
      </c>
    </row>
    <row r="18" spans="1:2">
      <c r="A18" s="6">
        <v>11</v>
      </c>
      <c r="B18" s="187" t="s">
        <v>286</v>
      </c>
    </row>
    <row r="19" spans="1:2">
      <c r="A19" s="6">
        <v>12</v>
      </c>
      <c r="B19" s="187" t="s">
        <v>283</v>
      </c>
    </row>
    <row r="20" spans="1:2">
      <c r="A20" s="6">
        <v>13</v>
      </c>
      <c r="B20" s="188" t="s">
        <v>310</v>
      </c>
    </row>
    <row r="21" spans="1:2">
      <c r="A21" s="6">
        <v>14</v>
      </c>
      <c r="B21" s="444" t="s">
        <v>810</v>
      </c>
    </row>
    <row r="22" spans="1:2">
      <c r="A22" s="119">
        <v>15</v>
      </c>
      <c r="B22" s="187"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21" location="'14. LCR'!A1" display="ლიკვიდობის გადაფარვ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33" activePane="bottomRight" state="frozen"/>
      <selection activeCell="K8" sqref="K8"/>
      <selection pane="topRight" activeCell="K8" sqref="K8"/>
      <selection pane="bottomLeft" activeCell="K8" sqref="K8"/>
      <selection pane="bottomRight" activeCell="C53" sqref="C53"/>
    </sheetView>
  </sheetViews>
  <sheetFormatPr defaultRowHeight="14.4"/>
  <cols>
    <col min="1" max="1" width="9.5546875" style="5" bestFit="1" customWidth="1"/>
    <col min="2" max="2" width="132.44140625" style="2" customWidth="1"/>
    <col min="3" max="3" width="16.5546875" style="2" customWidth="1"/>
    <col min="4" max="4" width="10.33203125" bestFit="1" customWidth="1"/>
  </cols>
  <sheetData>
    <row r="1" spans="1:6">
      <c r="A1" s="11" t="s">
        <v>227</v>
      </c>
      <c r="B1" s="319" t="s">
        <v>752</v>
      </c>
      <c r="D1" s="2"/>
      <c r="E1" s="2"/>
      <c r="F1" s="2"/>
    </row>
    <row r="2" spans="1:6" s="15" customFormat="1" ht="15.75" customHeight="1">
      <c r="A2" s="15" t="s">
        <v>228</v>
      </c>
      <c r="B2" s="322">
        <f>'1. key ratios'!B2</f>
        <v>43555</v>
      </c>
    </row>
    <row r="3" spans="1:6" s="15" customFormat="1" ht="15.75" customHeight="1"/>
    <row r="4" spans="1:6" ht="15" thickBot="1">
      <c r="A4" s="5" t="s">
        <v>657</v>
      </c>
      <c r="B4" s="54" t="s">
        <v>89</v>
      </c>
    </row>
    <row r="5" spans="1:6">
      <c r="A5" s="136" t="s">
        <v>27</v>
      </c>
      <c r="B5" s="137"/>
      <c r="C5" s="138" t="s">
        <v>28</v>
      </c>
    </row>
    <row r="6" spans="1:6">
      <c r="A6" s="139">
        <v>1</v>
      </c>
      <c r="B6" s="80" t="s">
        <v>29</v>
      </c>
      <c r="C6" s="292">
        <f>SUM(C7:C11)</f>
        <v>210097582</v>
      </c>
    </row>
    <row r="7" spans="1:6">
      <c r="A7" s="139">
        <v>2</v>
      </c>
      <c r="B7" s="77" t="s">
        <v>30</v>
      </c>
      <c r="C7" s="293">
        <v>114430000</v>
      </c>
    </row>
    <row r="8" spans="1:6">
      <c r="A8" s="139">
        <v>3</v>
      </c>
      <c r="B8" s="71" t="s">
        <v>31</v>
      </c>
      <c r="C8" s="293"/>
    </row>
    <row r="9" spans="1:6">
      <c r="A9" s="139">
        <v>4</v>
      </c>
      <c r="B9" s="71" t="s">
        <v>32</v>
      </c>
      <c r="C9" s="293"/>
    </row>
    <row r="10" spans="1:6">
      <c r="A10" s="139">
        <v>5</v>
      </c>
      <c r="B10" s="71" t="s">
        <v>33</v>
      </c>
      <c r="C10" s="293">
        <v>6838034</v>
      </c>
    </row>
    <row r="11" spans="1:6">
      <c r="A11" s="139">
        <v>6</v>
      </c>
      <c r="B11" s="78" t="s">
        <v>34</v>
      </c>
      <c r="C11" s="293">
        <v>88829548</v>
      </c>
    </row>
    <row r="12" spans="1:6" s="4" customFormat="1">
      <c r="A12" s="139">
        <v>7</v>
      </c>
      <c r="B12" s="80" t="s">
        <v>35</v>
      </c>
      <c r="C12" s="294">
        <f>SUM(C13:C27)</f>
        <v>5095122</v>
      </c>
    </row>
    <row r="13" spans="1:6" s="4" customFormat="1">
      <c r="A13" s="139">
        <v>8</v>
      </c>
      <c r="B13" s="79" t="s">
        <v>36</v>
      </c>
      <c r="C13" s="295"/>
    </row>
    <row r="14" spans="1:6" s="4" customFormat="1" ht="27.6">
      <c r="A14" s="139">
        <v>9</v>
      </c>
      <c r="B14" s="72" t="s">
        <v>37</v>
      </c>
      <c r="C14" s="295"/>
    </row>
    <row r="15" spans="1:6" s="4" customFormat="1">
      <c r="A15" s="139">
        <v>10</v>
      </c>
      <c r="B15" s="73" t="s">
        <v>38</v>
      </c>
      <c r="C15" s="295">
        <v>5095122</v>
      </c>
    </row>
    <row r="16" spans="1:6" s="4" customFormat="1">
      <c r="A16" s="139">
        <v>11</v>
      </c>
      <c r="B16" s="74" t="s">
        <v>39</v>
      </c>
      <c r="C16" s="295"/>
    </row>
    <row r="17" spans="1:3" s="4" customFormat="1">
      <c r="A17" s="139">
        <v>12</v>
      </c>
      <c r="B17" s="73" t="s">
        <v>40</v>
      </c>
      <c r="C17" s="295"/>
    </row>
    <row r="18" spans="1:3" s="4" customFormat="1">
      <c r="A18" s="139">
        <v>13</v>
      </c>
      <c r="B18" s="73" t="s">
        <v>41</v>
      </c>
      <c r="C18" s="295"/>
    </row>
    <row r="19" spans="1:3" s="4" customFormat="1">
      <c r="A19" s="139">
        <v>14</v>
      </c>
      <c r="B19" s="73" t="s">
        <v>42</v>
      </c>
      <c r="C19" s="295"/>
    </row>
    <row r="20" spans="1:3" s="4" customFormat="1" ht="27.6">
      <c r="A20" s="139">
        <v>15</v>
      </c>
      <c r="B20" s="73" t="s">
        <v>43</v>
      </c>
      <c r="C20" s="295"/>
    </row>
    <row r="21" spans="1:3" s="4" customFormat="1" ht="27.6">
      <c r="A21" s="139">
        <v>16</v>
      </c>
      <c r="B21" s="72" t="s">
        <v>44</v>
      </c>
      <c r="C21" s="295"/>
    </row>
    <row r="22" spans="1:3" s="4" customFormat="1">
      <c r="A22" s="139">
        <v>17</v>
      </c>
      <c r="B22" s="140" t="s">
        <v>45</v>
      </c>
      <c r="C22" s="295"/>
    </row>
    <row r="23" spans="1:3" s="4" customFormat="1" ht="27.6">
      <c r="A23" s="139">
        <v>18</v>
      </c>
      <c r="B23" s="72" t="s">
        <v>46</v>
      </c>
      <c r="C23" s="295"/>
    </row>
    <row r="24" spans="1:3" s="4" customFormat="1" ht="27.6">
      <c r="A24" s="139">
        <v>19</v>
      </c>
      <c r="B24" s="72" t="s">
        <v>47</v>
      </c>
      <c r="C24" s="295"/>
    </row>
    <row r="25" spans="1:3" s="4" customFormat="1" ht="27.6">
      <c r="A25" s="139">
        <v>20</v>
      </c>
      <c r="B25" s="75" t="s">
        <v>48</v>
      </c>
      <c r="C25" s="295"/>
    </row>
    <row r="26" spans="1:3" s="4" customFormat="1">
      <c r="A26" s="139">
        <v>21</v>
      </c>
      <c r="B26" s="75" t="s">
        <v>49</v>
      </c>
      <c r="C26" s="295"/>
    </row>
    <row r="27" spans="1:3" s="4" customFormat="1" ht="27.6">
      <c r="A27" s="139">
        <v>22</v>
      </c>
      <c r="B27" s="75" t="s">
        <v>50</v>
      </c>
      <c r="C27" s="295"/>
    </row>
    <row r="28" spans="1:3" s="4" customFormat="1">
      <c r="A28" s="139">
        <v>23</v>
      </c>
      <c r="B28" s="81" t="s">
        <v>24</v>
      </c>
      <c r="C28" s="294">
        <f>C6-C12</f>
        <v>205002460</v>
      </c>
    </row>
    <row r="29" spans="1:3" s="4" customFormat="1">
      <c r="A29" s="141"/>
      <c r="B29" s="76"/>
      <c r="C29" s="295"/>
    </row>
    <row r="30" spans="1:3" s="4" customFormat="1">
      <c r="A30" s="141">
        <v>24</v>
      </c>
      <c r="B30" s="81" t="s">
        <v>51</v>
      </c>
      <c r="C30" s="294">
        <f>C31+C34</f>
        <v>0</v>
      </c>
    </row>
    <row r="31" spans="1:3" s="4" customFormat="1">
      <c r="A31" s="141">
        <v>25</v>
      </c>
      <c r="B31" s="71" t="s">
        <v>52</v>
      </c>
      <c r="C31" s="296">
        <f>C32+C33</f>
        <v>0</v>
      </c>
    </row>
    <row r="32" spans="1:3" s="4" customFormat="1">
      <c r="A32" s="141">
        <v>26</v>
      </c>
      <c r="B32" s="176" t="s">
        <v>53</v>
      </c>
      <c r="C32" s="295"/>
    </row>
    <row r="33" spans="1:4" s="4" customFormat="1">
      <c r="A33" s="141">
        <v>27</v>
      </c>
      <c r="B33" s="176" t="s">
        <v>54</v>
      </c>
      <c r="C33" s="295"/>
    </row>
    <row r="34" spans="1:4" s="4" customFormat="1">
      <c r="A34" s="141">
        <v>28</v>
      </c>
      <c r="B34" s="71" t="s">
        <v>55</v>
      </c>
      <c r="C34" s="295"/>
    </row>
    <row r="35" spans="1:4" s="4" customFormat="1">
      <c r="A35" s="141">
        <v>29</v>
      </c>
      <c r="B35" s="81" t="s">
        <v>56</v>
      </c>
      <c r="C35" s="294">
        <f>SUM(C36:C40)</f>
        <v>0</v>
      </c>
    </row>
    <row r="36" spans="1:4" s="4" customFormat="1">
      <c r="A36" s="141">
        <v>30</v>
      </c>
      <c r="B36" s="72" t="s">
        <v>57</v>
      </c>
      <c r="C36" s="295"/>
    </row>
    <row r="37" spans="1:4" s="4" customFormat="1">
      <c r="A37" s="141">
        <v>31</v>
      </c>
      <c r="B37" s="73" t="s">
        <v>58</v>
      </c>
      <c r="C37" s="295"/>
    </row>
    <row r="38" spans="1:4" s="4" customFormat="1" ht="27.6">
      <c r="A38" s="141">
        <v>32</v>
      </c>
      <c r="B38" s="72" t="s">
        <v>59</v>
      </c>
      <c r="C38" s="295"/>
    </row>
    <row r="39" spans="1:4" s="4" customFormat="1" ht="27.6">
      <c r="A39" s="141">
        <v>33</v>
      </c>
      <c r="B39" s="72" t="s">
        <v>47</v>
      </c>
      <c r="C39" s="295"/>
    </row>
    <row r="40" spans="1:4" s="4" customFormat="1" ht="27.6">
      <c r="A40" s="141">
        <v>34</v>
      </c>
      <c r="B40" s="75" t="s">
        <v>60</v>
      </c>
      <c r="C40" s="295"/>
    </row>
    <row r="41" spans="1:4" s="4" customFormat="1">
      <c r="A41" s="141">
        <v>35</v>
      </c>
      <c r="B41" s="81" t="s">
        <v>25</v>
      </c>
      <c r="C41" s="294">
        <f>C30-C35</f>
        <v>0</v>
      </c>
    </row>
    <row r="42" spans="1:4" s="4" customFormat="1">
      <c r="A42" s="141"/>
      <c r="B42" s="76"/>
      <c r="C42" s="295"/>
    </row>
    <row r="43" spans="1:4" s="4" customFormat="1">
      <c r="A43" s="141">
        <v>36</v>
      </c>
      <c r="B43" s="82" t="s">
        <v>61</v>
      </c>
      <c r="C43" s="294">
        <f>SUM(C44:C46)</f>
        <v>212873724</v>
      </c>
    </row>
    <row r="44" spans="1:4" s="4" customFormat="1">
      <c r="A44" s="141">
        <v>37</v>
      </c>
      <c r="B44" s="71" t="s">
        <v>62</v>
      </c>
      <c r="C44" s="295">
        <v>204069840</v>
      </c>
    </row>
    <row r="45" spans="1:4" s="4" customFormat="1">
      <c r="A45" s="141">
        <v>38</v>
      </c>
      <c r="B45" s="71" t="s">
        <v>63</v>
      </c>
      <c r="C45" s="295"/>
    </row>
    <row r="46" spans="1:4" s="4" customFormat="1">
      <c r="A46" s="141">
        <v>39</v>
      </c>
      <c r="B46" s="71" t="s">
        <v>64</v>
      </c>
      <c r="C46" s="295">
        <v>8803884</v>
      </c>
      <c r="D46" s="419"/>
    </row>
    <row r="47" spans="1:4" s="4" customFormat="1">
      <c r="A47" s="141">
        <v>40</v>
      </c>
      <c r="B47" s="82" t="s">
        <v>65</v>
      </c>
      <c r="C47" s="294">
        <f>SUM(C48:C51)</f>
        <v>0</v>
      </c>
    </row>
    <row r="48" spans="1:4" s="4" customFormat="1">
      <c r="A48" s="141">
        <v>41</v>
      </c>
      <c r="B48" s="72" t="s">
        <v>66</v>
      </c>
      <c r="C48" s="295"/>
    </row>
    <row r="49" spans="1:3" s="4" customFormat="1">
      <c r="A49" s="141">
        <v>42</v>
      </c>
      <c r="B49" s="73" t="s">
        <v>67</v>
      </c>
      <c r="C49" s="295"/>
    </row>
    <row r="50" spans="1:3" s="4" customFormat="1" ht="27.6">
      <c r="A50" s="141">
        <v>43</v>
      </c>
      <c r="B50" s="72" t="s">
        <v>68</v>
      </c>
      <c r="C50" s="295"/>
    </row>
    <row r="51" spans="1:3" s="4" customFormat="1" ht="27.6">
      <c r="A51" s="141">
        <v>44</v>
      </c>
      <c r="B51" s="72" t="s">
        <v>47</v>
      </c>
      <c r="C51" s="295"/>
    </row>
    <row r="52" spans="1:3" s="4" customFormat="1" ht="15" thickBot="1">
      <c r="A52" s="142">
        <v>45</v>
      </c>
      <c r="B52" s="143" t="s">
        <v>26</v>
      </c>
      <c r="C52" s="297">
        <f>C43-C47</f>
        <v>212873724</v>
      </c>
    </row>
    <row r="53" spans="1:3">
      <c r="C53" s="316"/>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zoomScale="115" zoomScaleNormal="115" workbookViewId="0">
      <selection activeCell="B2" sqref="B2"/>
    </sheetView>
  </sheetViews>
  <sheetFormatPr defaultColWidth="9.109375" defaultRowHeight="13.8"/>
  <cols>
    <col min="1" max="1" width="10.88671875" style="2" bestFit="1" customWidth="1"/>
    <col min="2" max="2" width="59" style="2" customWidth="1"/>
    <col min="3" max="3" width="16.6640625" style="2" bestFit="1" customWidth="1"/>
    <col min="4" max="4" width="14.33203125" style="2" bestFit="1" customWidth="1"/>
    <col min="5" max="16384" width="9.109375" style="2"/>
  </cols>
  <sheetData>
    <row r="1" spans="1:4" ht="14.4">
      <c r="A1" s="11" t="s">
        <v>227</v>
      </c>
      <c r="B1" s="319" t="s">
        <v>752</v>
      </c>
    </row>
    <row r="2" spans="1:4" s="15" customFormat="1" ht="15.75" customHeight="1">
      <c r="A2" s="15" t="s">
        <v>228</v>
      </c>
      <c r="B2" s="322">
        <f>'1. key ratios'!B2</f>
        <v>43555</v>
      </c>
    </row>
    <row r="3" spans="1:4" s="15" customFormat="1" ht="15.75" customHeight="1"/>
    <row r="4" spans="1:4" ht="14.4" thickBot="1">
      <c r="A4" s="5" t="s">
        <v>858</v>
      </c>
      <c r="B4" s="445" t="s">
        <v>859</v>
      </c>
    </row>
    <row r="5" spans="1:4" s="448" customFormat="1">
      <c r="A5" s="564" t="s">
        <v>860</v>
      </c>
      <c r="B5" s="565"/>
      <c r="C5" s="446" t="s">
        <v>861</v>
      </c>
      <c r="D5" s="447" t="s">
        <v>862</v>
      </c>
    </row>
    <row r="6" spans="1:4" s="451" customFormat="1">
      <c r="A6" s="449">
        <v>1</v>
      </c>
      <c r="B6" s="450" t="s">
        <v>863</v>
      </c>
      <c r="C6" s="450"/>
      <c r="D6" s="463"/>
    </row>
    <row r="7" spans="1:4" s="451" customFormat="1">
      <c r="A7" s="452" t="s">
        <v>864</v>
      </c>
      <c r="B7" s="453" t="s">
        <v>865</v>
      </c>
      <c r="C7" s="502">
        <v>4.4999999999999998E-2</v>
      </c>
      <c r="D7" s="462">
        <f>C7*'5. RWA'!$C$13</f>
        <v>58414679.589044236</v>
      </c>
    </row>
    <row r="8" spans="1:4" s="451" customFormat="1">
      <c r="A8" s="452" t="s">
        <v>866</v>
      </c>
      <c r="B8" s="453" t="s">
        <v>867</v>
      </c>
      <c r="C8" s="502">
        <v>0.06</v>
      </c>
      <c r="D8" s="462">
        <f>C8*'5. RWA'!$C$13</f>
        <v>77886239.452058986</v>
      </c>
    </row>
    <row r="9" spans="1:4" s="451" customFormat="1">
      <c r="A9" s="452" t="s">
        <v>868</v>
      </c>
      <c r="B9" s="453" t="s">
        <v>869</v>
      </c>
      <c r="C9" s="502">
        <v>0.08</v>
      </c>
      <c r="D9" s="462">
        <f>C9*'5. RWA'!$C$13</f>
        <v>103848319.26941198</v>
      </c>
    </row>
    <row r="10" spans="1:4" s="451" customFormat="1">
      <c r="A10" s="449" t="s">
        <v>870</v>
      </c>
      <c r="B10" s="450" t="s">
        <v>871</v>
      </c>
      <c r="C10" s="503"/>
      <c r="D10" s="463"/>
    </row>
    <row r="11" spans="1:4" s="456" customFormat="1">
      <c r="A11" s="454" t="s">
        <v>872</v>
      </c>
      <c r="B11" s="455" t="s">
        <v>873</v>
      </c>
      <c r="C11" s="504">
        <v>2.5000000000000001E-2</v>
      </c>
      <c r="D11" s="464">
        <f>C11*'5. RWA'!$C$13</f>
        <v>32452599.771691248</v>
      </c>
    </row>
    <row r="12" spans="1:4" s="456" customFormat="1">
      <c r="A12" s="454" t="s">
        <v>874</v>
      </c>
      <c r="B12" s="455" t="s">
        <v>875</v>
      </c>
      <c r="C12" s="504">
        <v>0</v>
      </c>
      <c r="D12" s="464">
        <f>C12*'5. RWA'!$C$13</f>
        <v>0</v>
      </c>
    </row>
    <row r="13" spans="1:4" s="456" customFormat="1">
      <c r="A13" s="454" t="s">
        <v>876</v>
      </c>
      <c r="B13" s="455" t="s">
        <v>877</v>
      </c>
      <c r="C13" s="504"/>
      <c r="D13" s="464">
        <f>C13*'5. RWA'!$C$13</f>
        <v>0</v>
      </c>
    </row>
    <row r="14" spans="1:4" s="451" customFormat="1">
      <c r="A14" s="449" t="s">
        <v>878</v>
      </c>
      <c r="B14" s="450" t="s">
        <v>943</v>
      </c>
      <c r="C14" s="467"/>
      <c r="D14" s="463"/>
    </row>
    <row r="15" spans="1:4" s="451" customFormat="1">
      <c r="A15" s="457" t="s">
        <v>879</v>
      </c>
      <c r="B15" s="455" t="s">
        <v>880</v>
      </c>
      <c r="C15" s="659">
        <v>2.3903045022598497E-2</v>
      </c>
      <c r="D15" s="464">
        <f>C15*'5. RWA'!$C$13</f>
        <v>31028638.137724221</v>
      </c>
    </row>
    <row r="16" spans="1:4" s="451" customFormat="1">
      <c r="A16" s="457" t="s">
        <v>881</v>
      </c>
      <c r="B16" s="455" t="s">
        <v>882</v>
      </c>
      <c r="C16" s="659">
        <v>3.1940264194871615E-2</v>
      </c>
      <c r="D16" s="464">
        <f>C16*'5. RWA'!$C$13</f>
        <v>41461784.420729943</v>
      </c>
    </row>
    <row r="17" spans="1:6" s="451" customFormat="1">
      <c r="A17" s="457" t="s">
        <v>883</v>
      </c>
      <c r="B17" s="455" t="s">
        <v>944</v>
      </c>
      <c r="C17" s="659">
        <v>0.10233288506361704</v>
      </c>
      <c r="D17" s="464">
        <f>C17*'5. RWA'!$C$13</f>
        <v>132838726.49808179</v>
      </c>
    </row>
    <row r="18" spans="1:6" s="448" customFormat="1" ht="13.95" customHeight="1">
      <c r="A18" s="566" t="s">
        <v>942</v>
      </c>
      <c r="B18" s="567"/>
      <c r="C18" s="458" t="s">
        <v>861</v>
      </c>
      <c r="D18" s="465" t="s">
        <v>862</v>
      </c>
    </row>
    <row r="19" spans="1:6" s="451" customFormat="1">
      <c r="A19" s="459">
        <v>4</v>
      </c>
      <c r="B19" s="455" t="s">
        <v>24</v>
      </c>
      <c r="C19" s="500">
        <f>C7+C11+C12+C13+C15</f>
        <v>9.3903045022598497E-2</v>
      </c>
      <c r="D19" s="462">
        <f>C19*'5. RWA'!$C$13</f>
        <v>121895917.49845971</v>
      </c>
    </row>
    <row r="20" spans="1:6" s="451" customFormat="1">
      <c r="A20" s="459">
        <v>5</v>
      </c>
      <c r="B20" s="455" t="s">
        <v>125</v>
      </c>
      <c r="C20" s="500">
        <f>C8+C11+C12+C13+C16</f>
        <v>0.11694026419487161</v>
      </c>
      <c r="D20" s="462">
        <f>C20*'5. RWA'!$C$13</f>
        <v>151800623.64448017</v>
      </c>
    </row>
    <row r="21" spans="1:6" s="451" customFormat="1" ht="14.4" thickBot="1">
      <c r="A21" s="460" t="s">
        <v>884</v>
      </c>
      <c r="B21" s="461" t="s">
        <v>89</v>
      </c>
      <c r="C21" s="501">
        <f>C9+C11+C12+C13+C17</f>
        <v>0.20733288506361705</v>
      </c>
      <c r="D21" s="466">
        <f>C21*'5. RWA'!$C$13</f>
        <v>269139645.53918505</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1"/>
  <sheetViews>
    <sheetView zoomScaleNormal="100" workbookViewId="0">
      <pane xSplit="1" ySplit="5" topLeftCell="B36" activePane="bottomRight" state="frozen"/>
      <selection activeCell="K8" sqref="K8"/>
      <selection pane="topRight" activeCell="K8" sqref="K8"/>
      <selection pane="bottomLeft" activeCell="K8" sqref="K8"/>
      <selection pane="bottomRight" activeCell="C50" sqref="C50"/>
    </sheetView>
  </sheetViews>
  <sheetFormatPr defaultRowHeight="14.4"/>
  <cols>
    <col min="1" max="1" width="10.6640625" style="67" customWidth="1"/>
    <col min="2" max="2" width="82.88671875" style="67" customWidth="1"/>
    <col min="3" max="3" width="39" style="67" customWidth="1"/>
    <col min="4" max="4" width="32.33203125" style="67" customWidth="1"/>
  </cols>
  <sheetData>
    <row r="1" spans="1:5">
      <c r="A1" s="20" t="s">
        <v>227</v>
      </c>
      <c r="B1" s="319" t="s">
        <v>752</v>
      </c>
      <c r="E1" s="2"/>
    </row>
    <row r="2" spans="1:5" s="15" customFormat="1" ht="15.75" customHeight="1">
      <c r="A2" s="19" t="s">
        <v>228</v>
      </c>
      <c r="B2" s="322">
        <f>'1. key ratios'!B2</f>
        <v>43555</v>
      </c>
    </row>
    <row r="3" spans="1:5" s="15" customFormat="1" ht="15.75" customHeight="1">
      <c r="A3" s="19"/>
    </row>
    <row r="4" spans="1:5" s="15" customFormat="1" ht="15.75" customHeight="1" thickBot="1">
      <c r="A4" s="15" t="s">
        <v>658</v>
      </c>
      <c r="B4" s="346" t="s">
        <v>308</v>
      </c>
      <c r="D4" s="205" t="s">
        <v>130</v>
      </c>
    </row>
    <row r="5" spans="1:5" ht="64.95" customHeight="1">
      <c r="A5" s="154" t="s">
        <v>27</v>
      </c>
      <c r="B5" s="155" t="s">
        <v>270</v>
      </c>
      <c r="C5" s="156" t="s">
        <v>274</v>
      </c>
      <c r="D5" s="204" t="s">
        <v>309</v>
      </c>
    </row>
    <row r="6" spans="1:5">
      <c r="A6" s="144">
        <v>1</v>
      </c>
      <c r="B6" s="83" t="s">
        <v>192</v>
      </c>
      <c r="C6" s="650">
        <v>16551415</v>
      </c>
      <c r="D6" s="145"/>
    </row>
    <row r="7" spans="1:5">
      <c r="A7" s="144">
        <v>2</v>
      </c>
      <c r="B7" s="84" t="s">
        <v>193</v>
      </c>
      <c r="C7" s="650">
        <v>163351281</v>
      </c>
      <c r="D7" s="146"/>
    </row>
    <row r="8" spans="1:5">
      <c r="A8" s="144">
        <v>3</v>
      </c>
      <c r="B8" s="84" t="s">
        <v>194</v>
      </c>
      <c r="C8" s="650">
        <v>76168886</v>
      </c>
      <c r="D8" s="146"/>
    </row>
    <row r="9" spans="1:5">
      <c r="A9" s="144">
        <v>4</v>
      </c>
      <c r="B9" s="84" t="s">
        <v>223</v>
      </c>
      <c r="C9" s="650">
        <v>0</v>
      </c>
      <c r="D9" s="146"/>
    </row>
    <row r="10" spans="1:5">
      <c r="A10" s="144">
        <v>5</v>
      </c>
      <c r="B10" s="84" t="s">
        <v>195</v>
      </c>
      <c r="C10" s="650">
        <v>14735854</v>
      </c>
      <c r="D10" s="146"/>
    </row>
    <row r="11" spans="1:5">
      <c r="A11" s="144">
        <v>6.1</v>
      </c>
      <c r="B11" s="84" t="s">
        <v>196</v>
      </c>
      <c r="C11" s="650">
        <v>840985829</v>
      </c>
      <c r="D11" s="147"/>
    </row>
    <row r="12" spans="1:5">
      <c r="A12" s="144">
        <v>6.2</v>
      </c>
      <c r="B12" s="85" t="s">
        <v>197</v>
      </c>
      <c r="C12" s="347">
        <v>-120284200</v>
      </c>
      <c r="D12" s="147"/>
    </row>
    <row r="13" spans="1:5">
      <c r="A13" s="144" t="s">
        <v>769</v>
      </c>
      <c r="B13" s="343" t="s">
        <v>773</v>
      </c>
      <c r="C13" s="651">
        <v>-7975949</v>
      </c>
      <c r="D13" s="257" t="s">
        <v>770</v>
      </c>
    </row>
    <row r="14" spans="1:5">
      <c r="A14" s="144">
        <v>6</v>
      </c>
      <c r="B14" s="84" t="s">
        <v>198</v>
      </c>
      <c r="C14" s="652">
        <f>C11+C12</f>
        <v>720701629</v>
      </c>
      <c r="D14" s="147"/>
    </row>
    <row r="15" spans="1:5">
      <c r="A15" s="144">
        <v>7</v>
      </c>
      <c r="B15" s="84" t="s">
        <v>199</v>
      </c>
      <c r="C15" s="650">
        <v>11273694</v>
      </c>
      <c r="D15" s="146"/>
    </row>
    <row r="16" spans="1:5">
      <c r="A16" s="144">
        <v>8</v>
      </c>
      <c r="B16" s="84" t="s">
        <v>200</v>
      </c>
      <c r="C16" s="650">
        <v>24803612</v>
      </c>
      <c r="D16" s="146"/>
    </row>
    <row r="17" spans="1:4">
      <c r="A17" s="144">
        <v>9</v>
      </c>
      <c r="B17" s="84" t="s">
        <v>774</v>
      </c>
      <c r="C17" s="652">
        <f>SUM(C18:C21)</f>
        <v>4883540</v>
      </c>
      <c r="D17" s="146"/>
    </row>
    <row r="18" spans="1:4">
      <c r="A18" s="144">
        <v>9.1</v>
      </c>
      <c r="B18" s="344" t="s">
        <v>776</v>
      </c>
      <c r="C18" s="653">
        <v>9372300</v>
      </c>
      <c r="D18" s="146"/>
    </row>
    <row r="19" spans="1:4">
      <c r="A19" s="144">
        <v>9.1999999999999993</v>
      </c>
      <c r="B19" s="345" t="s">
        <v>780</v>
      </c>
      <c r="C19" s="653">
        <v>-4544620</v>
      </c>
      <c r="D19" s="146"/>
    </row>
    <row r="20" spans="1:4">
      <c r="A20" s="144">
        <v>9.3000000000000007</v>
      </c>
      <c r="B20" s="344" t="s">
        <v>775</v>
      </c>
      <c r="C20" s="653">
        <v>57000</v>
      </c>
      <c r="D20" s="146"/>
    </row>
    <row r="21" spans="1:4">
      <c r="A21" s="144">
        <v>9.4</v>
      </c>
      <c r="B21" s="345" t="s">
        <v>778</v>
      </c>
      <c r="C21" s="653">
        <v>-1140</v>
      </c>
      <c r="D21" s="257" t="s">
        <v>770</v>
      </c>
    </row>
    <row r="22" spans="1:4">
      <c r="A22" s="144">
        <v>10</v>
      </c>
      <c r="B22" s="84" t="s">
        <v>202</v>
      </c>
      <c r="C22" s="653">
        <v>18142922</v>
      </c>
      <c r="D22" s="146"/>
    </row>
    <row r="23" spans="1:4">
      <c r="A23" s="144">
        <v>10.1</v>
      </c>
      <c r="B23" s="343" t="s">
        <v>273</v>
      </c>
      <c r="C23" s="653">
        <v>5095122</v>
      </c>
      <c r="D23" s="257" t="s">
        <v>700</v>
      </c>
    </row>
    <row r="24" spans="1:4">
      <c r="A24" s="144">
        <v>11</v>
      </c>
      <c r="B24" s="86" t="s">
        <v>203</v>
      </c>
      <c r="C24" s="654">
        <v>26240250</v>
      </c>
      <c r="D24" s="148"/>
    </row>
    <row r="25" spans="1:4">
      <c r="A25" s="144">
        <v>11.1</v>
      </c>
      <c r="B25" s="345" t="s">
        <v>807</v>
      </c>
      <c r="C25" s="653">
        <v>-2663</v>
      </c>
      <c r="D25" s="257" t="s">
        <v>770</v>
      </c>
    </row>
    <row r="26" spans="1:4">
      <c r="A26" s="144">
        <v>11.2</v>
      </c>
      <c r="B26" s="345" t="s">
        <v>809</v>
      </c>
      <c r="C26" s="653">
        <v>-47792</v>
      </c>
      <c r="D26" s="146"/>
    </row>
    <row r="27" spans="1:4">
      <c r="A27" s="144"/>
      <c r="B27" s="86" t="s">
        <v>808</v>
      </c>
      <c r="C27" s="655">
        <v>26189795</v>
      </c>
      <c r="D27" s="395"/>
    </row>
    <row r="28" spans="1:4">
      <c r="A28" s="144">
        <v>12</v>
      </c>
      <c r="B28" s="88" t="s">
        <v>204</v>
      </c>
      <c r="C28" s="656">
        <f>SUM(C6:C10,C14:C17,C22,C27)</f>
        <v>1076802628</v>
      </c>
      <c r="D28" s="149"/>
    </row>
    <row r="29" spans="1:4">
      <c r="A29" s="144">
        <v>13</v>
      </c>
      <c r="B29" s="84" t="s">
        <v>205</v>
      </c>
      <c r="C29" s="657">
        <v>14961307</v>
      </c>
      <c r="D29" s="150"/>
    </row>
    <row r="30" spans="1:4">
      <c r="A30" s="144">
        <v>14</v>
      </c>
      <c r="B30" s="84" t="s">
        <v>206</v>
      </c>
      <c r="C30" s="657">
        <v>283383547</v>
      </c>
      <c r="D30" s="146"/>
    </row>
    <row r="31" spans="1:4">
      <c r="A31" s="144">
        <v>15</v>
      </c>
      <c r="B31" s="84" t="s">
        <v>207</v>
      </c>
      <c r="C31" s="657">
        <v>36401144</v>
      </c>
      <c r="D31" s="146"/>
    </row>
    <row r="32" spans="1:4">
      <c r="A32" s="144">
        <v>16</v>
      </c>
      <c r="B32" s="84" t="s">
        <v>208</v>
      </c>
      <c r="C32" s="657">
        <v>301911878</v>
      </c>
      <c r="D32" s="146"/>
    </row>
    <row r="33" spans="1:4">
      <c r="A33" s="144">
        <v>17</v>
      </c>
      <c r="B33" s="84" t="s">
        <v>209</v>
      </c>
      <c r="C33" s="657">
        <v>0</v>
      </c>
      <c r="D33" s="146"/>
    </row>
    <row r="34" spans="1:4">
      <c r="A34" s="144">
        <v>18</v>
      </c>
      <c r="B34" s="84" t="s">
        <v>210</v>
      </c>
      <c r="C34" s="657">
        <v>0</v>
      </c>
      <c r="D34" s="146"/>
    </row>
    <row r="35" spans="1:4">
      <c r="A35" s="144">
        <v>19</v>
      </c>
      <c r="B35" s="84" t="s">
        <v>211</v>
      </c>
      <c r="C35" s="657">
        <v>12012112</v>
      </c>
      <c r="D35" s="146"/>
    </row>
    <row r="36" spans="1:4">
      <c r="A36" s="144">
        <v>20</v>
      </c>
      <c r="B36" s="84" t="s">
        <v>133</v>
      </c>
      <c r="C36" s="657">
        <v>13965218</v>
      </c>
      <c r="D36" s="146"/>
    </row>
    <row r="37" spans="1:4">
      <c r="A37" s="144">
        <v>20.100000000000001</v>
      </c>
      <c r="B37" s="341" t="s">
        <v>777</v>
      </c>
      <c r="C37" s="657">
        <v>824132</v>
      </c>
      <c r="D37" s="257" t="s">
        <v>770</v>
      </c>
    </row>
    <row r="38" spans="1:4">
      <c r="A38" s="144">
        <v>21</v>
      </c>
      <c r="B38" s="86" t="s">
        <v>212</v>
      </c>
      <c r="C38" s="657">
        <v>203469840</v>
      </c>
      <c r="D38" s="146"/>
    </row>
    <row r="39" spans="1:4">
      <c r="A39" s="144">
        <v>21.1</v>
      </c>
      <c r="B39" s="87" t="s">
        <v>272</v>
      </c>
      <c r="C39" s="654">
        <v>203469840</v>
      </c>
      <c r="D39" s="257" t="s">
        <v>772</v>
      </c>
    </row>
    <row r="40" spans="1:4">
      <c r="A40" s="144">
        <v>22</v>
      </c>
      <c r="B40" s="88" t="s">
        <v>213</v>
      </c>
      <c r="C40" s="656">
        <f>SUM(C29:C36,C38)</f>
        <v>866105046</v>
      </c>
      <c r="D40" s="149"/>
    </row>
    <row r="41" spans="1:4">
      <c r="A41" s="144">
        <v>23</v>
      </c>
      <c r="B41" s="86" t="s">
        <v>214</v>
      </c>
      <c r="C41" s="653">
        <v>114430000</v>
      </c>
      <c r="D41" s="257" t="s">
        <v>766</v>
      </c>
    </row>
    <row r="42" spans="1:4">
      <c r="A42" s="144">
        <v>24</v>
      </c>
      <c r="B42" s="86" t="s">
        <v>215</v>
      </c>
      <c r="C42" s="653">
        <v>0</v>
      </c>
      <c r="D42" s="146"/>
    </row>
    <row r="43" spans="1:4">
      <c r="A43" s="144">
        <v>25</v>
      </c>
      <c r="B43" s="342" t="s">
        <v>271</v>
      </c>
      <c r="C43" s="653">
        <v>0</v>
      </c>
      <c r="D43" s="146"/>
    </row>
    <row r="44" spans="1:4">
      <c r="A44" s="144">
        <v>26</v>
      </c>
      <c r="B44" s="86" t="s">
        <v>217</v>
      </c>
      <c r="C44" s="653">
        <v>0</v>
      </c>
      <c r="D44" s="146"/>
    </row>
    <row r="45" spans="1:4">
      <c r="A45" s="144">
        <v>27</v>
      </c>
      <c r="B45" s="86" t="s">
        <v>218</v>
      </c>
      <c r="C45" s="653">
        <v>7438034</v>
      </c>
      <c r="D45" s="146"/>
    </row>
    <row r="46" spans="1:4">
      <c r="A46" s="144">
        <v>27.1</v>
      </c>
      <c r="B46" s="341" t="s">
        <v>767</v>
      </c>
      <c r="C46" s="653">
        <v>6838034</v>
      </c>
      <c r="D46" s="257" t="s">
        <v>768</v>
      </c>
    </row>
    <row r="47" spans="1:4">
      <c r="A47" s="144">
        <v>27.2</v>
      </c>
      <c r="B47" s="341" t="s">
        <v>771</v>
      </c>
      <c r="C47" s="653">
        <v>600000</v>
      </c>
      <c r="D47" s="257" t="s">
        <v>772</v>
      </c>
    </row>
    <row r="48" spans="1:4">
      <c r="A48" s="144">
        <v>28</v>
      </c>
      <c r="B48" s="86" t="s">
        <v>219</v>
      </c>
      <c r="C48" s="653">
        <v>88829548</v>
      </c>
      <c r="D48" s="257" t="s">
        <v>782</v>
      </c>
    </row>
    <row r="49" spans="1:4">
      <c r="A49" s="144">
        <v>29</v>
      </c>
      <c r="B49" s="86" t="s">
        <v>36</v>
      </c>
      <c r="C49" s="653">
        <v>0</v>
      </c>
      <c r="D49" s="146"/>
    </row>
    <row r="50" spans="1:4" ht="15" thickBot="1">
      <c r="A50" s="151">
        <v>30</v>
      </c>
      <c r="B50" s="152" t="s">
        <v>220</v>
      </c>
      <c r="C50" s="298">
        <f>SUM(C41:C45,C48:C49)</f>
        <v>210697582</v>
      </c>
      <c r="D50" s="153"/>
    </row>
    <row r="51" spans="1:4">
      <c r="C51" s="34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S23"/>
  <sheetViews>
    <sheetView workbookViewId="0">
      <pane xSplit="2" ySplit="7" topLeftCell="F8" activePane="bottomRight" state="frozen"/>
      <selection activeCell="K8" sqref="K8"/>
      <selection pane="topRight" activeCell="K8" sqref="K8"/>
      <selection pane="bottomLeft" activeCell="K8" sqref="K8"/>
      <selection pane="bottomRight" activeCell="S23" sqref="S23"/>
    </sheetView>
  </sheetViews>
  <sheetFormatPr defaultColWidth="9.109375" defaultRowHeight="13.8"/>
  <cols>
    <col min="1" max="1" width="10.5546875" style="2" bestFit="1" customWidth="1"/>
    <col min="2" max="2" width="83.5546875" style="2" customWidth="1"/>
    <col min="3" max="3" width="12.88671875" style="2" customWidth="1"/>
    <col min="4" max="4" width="13.33203125" style="2" bestFit="1" customWidth="1"/>
    <col min="5" max="5" width="12.5546875" style="2" customWidth="1"/>
    <col min="6" max="6" width="13.33203125" style="2" bestFit="1" customWidth="1"/>
    <col min="7" max="7" width="12.33203125" style="2" customWidth="1"/>
    <col min="8" max="8" width="13.33203125" style="2" bestFit="1" customWidth="1"/>
    <col min="9" max="9" width="11.88671875" style="2" customWidth="1"/>
    <col min="10" max="10" width="13.33203125" style="2" bestFit="1" customWidth="1"/>
    <col min="11" max="11" width="10.5546875" style="2" customWidth="1"/>
    <col min="12" max="12" width="13.33203125" style="2" bestFit="1" customWidth="1"/>
    <col min="13" max="13" width="11.5546875" style="2" customWidth="1"/>
    <col min="14" max="14" width="13.33203125" style="2" bestFit="1" customWidth="1"/>
    <col min="15" max="15" width="11" style="2" customWidth="1"/>
    <col min="16" max="16" width="13.33203125" style="2" bestFit="1" customWidth="1"/>
    <col min="17" max="17" width="11.109375" style="2" customWidth="1"/>
    <col min="18" max="18" width="10.6640625" style="2" customWidth="1"/>
    <col min="19" max="19" width="18" style="2" customWidth="1"/>
    <col min="20" max="16384" width="9.109375" style="8"/>
  </cols>
  <sheetData>
    <row r="1" spans="1:19">
      <c r="A1" s="2" t="s">
        <v>227</v>
      </c>
      <c r="B1" s="2" t="s">
        <v>752</v>
      </c>
    </row>
    <row r="2" spans="1:19">
      <c r="A2" s="2" t="s">
        <v>228</v>
      </c>
      <c r="B2" s="322">
        <f>'1. key ratios'!B2</f>
        <v>43555</v>
      </c>
    </row>
    <row r="4" spans="1:19" ht="42" thickBot="1">
      <c r="A4" s="66" t="s">
        <v>659</v>
      </c>
      <c r="B4" s="360" t="s">
        <v>790</v>
      </c>
      <c r="C4" s="495">
        <v>0</v>
      </c>
      <c r="D4" s="495">
        <v>0</v>
      </c>
      <c r="E4" s="495">
        <v>0.2</v>
      </c>
      <c r="F4" s="495">
        <v>0.2</v>
      </c>
      <c r="G4" s="495">
        <v>0.35</v>
      </c>
      <c r="H4" s="495">
        <v>0.35</v>
      </c>
      <c r="I4" s="495">
        <v>0.5</v>
      </c>
      <c r="J4" s="495">
        <v>0.5</v>
      </c>
      <c r="K4" s="495">
        <v>0.75</v>
      </c>
      <c r="L4" s="495">
        <v>0.75</v>
      </c>
      <c r="M4" s="495">
        <v>1</v>
      </c>
      <c r="N4" s="495">
        <v>1</v>
      </c>
      <c r="O4" s="495">
        <v>1.5</v>
      </c>
      <c r="P4" s="495">
        <v>1.5</v>
      </c>
      <c r="Q4" s="495">
        <v>2.5</v>
      </c>
      <c r="R4" s="495">
        <v>2.5</v>
      </c>
    </row>
    <row r="5" spans="1:19">
      <c r="A5" s="133"/>
      <c r="B5" s="135"/>
      <c r="C5" s="114" t="s">
        <v>0</v>
      </c>
      <c r="D5" s="114" t="s">
        <v>1</v>
      </c>
      <c r="E5" s="114" t="s">
        <v>2</v>
      </c>
      <c r="F5" s="114" t="s">
        <v>3</v>
      </c>
      <c r="G5" s="114" t="s">
        <v>4</v>
      </c>
      <c r="H5" s="114" t="s">
        <v>5</v>
      </c>
      <c r="I5" s="114" t="s">
        <v>275</v>
      </c>
      <c r="J5" s="114" t="s">
        <v>276</v>
      </c>
      <c r="K5" s="114" t="s">
        <v>277</v>
      </c>
      <c r="L5" s="114" t="s">
        <v>278</v>
      </c>
      <c r="M5" s="114" t="s">
        <v>279</v>
      </c>
      <c r="N5" s="114" t="s">
        <v>280</v>
      </c>
      <c r="O5" s="114" t="s">
        <v>783</v>
      </c>
      <c r="P5" s="114" t="s">
        <v>784</v>
      </c>
      <c r="Q5" s="114" t="s">
        <v>785</v>
      </c>
      <c r="R5" s="358" t="s">
        <v>786</v>
      </c>
      <c r="S5" s="115" t="s">
        <v>791</v>
      </c>
    </row>
    <row r="6" spans="1:19" ht="76.5" customHeight="1">
      <c r="A6" s="158"/>
      <c r="B6" s="572" t="s">
        <v>787</v>
      </c>
      <c r="C6" s="568">
        <v>0</v>
      </c>
      <c r="D6" s="569"/>
      <c r="E6" s="568">
        <v>0.2</v>
      </c>
      <c r="F6" s="569"/>
      <c r="G6" s="568">
        <v>0.35</v>
      </c>
      <c r="H6" s="569"/>
      <c r="I6" s="568">
        <v>0.5</v>
      </c>
      <c r="J6" s="569"/>
      <c r="K6" s="568">
        <v>0.75</v>
      </c>
      <c r="L6" s="569"/>
      <c r="M6" s="568">
        <v>1</v>
      </c>
      <c r="N6" s="569"/>
      <c r="O6" s="568">
        <v>1.5</v>
      </c>
      <c r="P6" s="569"/>
      <c r="Q6" s="568">
        <v>2.5</v>
      </c>
      <c r="R6" s="569"/>
      <c r="S6" s="570" t="s">
        <v>287</v>
      </c>
    </row>
    <row r="7" spans="1:19">
      <c r="A7" s="158"/>
      <c r="B7" s="573"/>
      <c r="C7" s="359" t="s">
        <v>788</v>
      </c>
      <c r="D7" s="359" t="s">
        <v>789</v>
      </c>
      <c r="E7" s="359" t="s">
        <v>788</v>
      </c>
      <c r="F7" s="359" t="s">
        <v>789</v>
      </c>
      <c r="G7" s="359" t="s">
        <v>788</v>
      </c>
      <c r="H7" s="359" t="s">
        <v>789</v>
      </c>
      <c r="I7" s="359" t="s">
        <v>788</v>
      </c>
      <c r="J7" s="359" t="s">
        <v>789</v>
      </c>
      <c r="K7" s="359" t="s">
        <v>788</v>
      </c>
      <c r="L7" s="359" t="s">
        <v>789</v>
      </c>
      <c r="M7" s="359" t="s">
        <v>788</v>
      </c>
      <c r="N7" s="359" t="s">
        <v>789</v>
      </c>
      <c r="O7" s="359" t="s">
        <v>788</v>
      </c>
      <c r="P7" s="359" t="s">
        <v>789</v>
      </c>
      <c r="Q7" s="359" t="s">
        <v>788</v>
      </c>
      <c r="R7" s="359" t="s">
        <v>789</v>
      </c>
      <c r="S7" s="571"/>
    </row>
    <row r="8" spans="1:19" s="161" customFormat="1" ht="27.6">
      <c r="A8" s="118">
        <v>1</v>
      </c>
      <c r="B8" s="72" t="s">
        <v>255</v>
      </c>
      <c r="C8" s="299">
        <v>28531197.809999999</v>
      </c>
      <c r="D8" s="299"/>
      <c r="E8" s="299"/>
      <c r="F8" s="361"/>
      <c r="G8" s="299"/>
      <c r="H8" s="299"/>
      <c r="I8" s="299"/>
      <c r="J8" s="299"/>
      <c r="K8" s="299"/>
      <c r="L8" s="299"/>
      <c r="M8" s="299">
        <v>149559855</v>
      </c>
      <c r="N8" s="539"/>
      <c r="O8" s="299"/>
      <c r="P8" s="299"/>
      <c r="Q8" s="299"/>
      <c r="R8" s="361"/>
      <c r="S8" s="362">
        <f>SUMPRODUCT($C$4:$R$4,C8:R8)</f>
        <v>149559855</v>
      </c>
    </row>
    <row r="9" spans="1:19" s="161" customFormat="1" ht="27.6">
      <c r="A9" s="118">
        <v>2</v>
      </c>
      <c r="B9" s="72" t="s">
        <v>256</v>
      </c>
      <c r="C9" s="299"/>
      <c r="D9" s="299"/>
      <c r="E9" s="299"/>
      <c r="F9" s="299"/>
      <c r="G9" s="299"/>
      <c r="H9" s="299"/>
      <c r="I9" s="299"/>
      <c r="J9" s="299"/>
      <c r="K9" s="299"/>
      <c r="L9" s="299"/>
      <c r="M9" s="299">
        <v>0</v>
      </c>
      <c r="N9" s="539"/>
      <c r="O9" s="299"/>
      <c r="P9" s="299"/>
      <c r="Q9" s="299"/>
      <c r="R9" s="361"/>
      <c r="S9" s="362">
        <f t="shared" ref="S9:S21" si="0">SUMPRODUCT($C$4:$R$4,C9:R9)</f>
        <v>0</v>
      </c>
    </row>
    <row r="10" spans="1:19" s="161" customFormat="1">
      <c r="A10" s="118">
        <v>3</v>
      </c>
      <c r="B10" s="72" t="s">
        <v>257</v>
      </c>
      <c r="C10" s="299"/>
      <c r="D10" s="299"/>
      <c r="E10" s="299"/>
      <c r="F10" s="299"/>
      <c r="G10" s="299"/>
      <c r="H10" s="299"/>
      <c r="I10" s="299"/>
      <c r="J10" s="299"/>
      <c r="K10" s="299"/>
      <c r="L10" s="299"/>
      <c r="M10" s="299">
        <v>0</v>
      </c>
      <c r="N10" s="539"/>
      <c r="O10" s="299"/>
      <c r="P10" s="299"/>
      <c r="Q10" s="299"/>
      <c r="R10" s="361"/>
      <c r="S10" s="362">
        <f t="shared" si="0"/>
        <v>0</v>
      </c>
    </row>
    <row r="11" spans="1:19" s="161" customFormat="1">
      <c r="A11" s="118">
        <v>4</v>
      </c>
      <c r="B11" s="72" t="s">
        <v>258</v>
      </c>
      <c r="C11" s="299"/>
      <c r="D11" s="299"/>
      <c r="E11" s="299"/>
      <c r="F11" s="299"/>
      <c r="G11" s="299"/>
      <c r="H11" s="299"/>
      <c r="I11" s="299"/>
      <c r="J11" s="299"/>
      <c r="K11" s="299"/>
      <c r="L11" s="299"/>
      <c r="M11" s="299">
        <v>0</v>
      </c>
      <c r="N11" s="539"/>
      <c r="O11" s="299"/>
      <c r="P11" s="299"/>
      <c r="Q11" s="299"/>
      <c r="R11" s="361"/>
      <c r="S11" s="362">
        <f t="shared" si="0"/>
        <v>0</v>
      </c>
    </row>
    <row r="12" spans="1:19" s="161" customFormat="1">
      <c r="A12" s="118">
        <v>5</v>
      </c>
      <c r="B12" s="72" t="s">
        <v>259</v>
      </c>
      <c r="C12" s="299"/>
      <c r="D12" s="299"/>
      <c r="E12" s="299"/>
      <c r="F12" s="299"/>
      <c r="G12" s="299"/>
      <c r="H12" s="299"/>
      <c r="I12" s="299"/>
      <c r="J12" s="299"/>
      <c r="K12" s="299"/>
      <c r="L12" s="299"/>
      <c r="M12" s="299">
        <v>0</v>
      </c>
      <c r="N12" s="539"/>
      <c r="O12" s="299"/>
      <c r="P12" s="299"/>
      <c r="Q12" s="299"/>
      <c r="R12" s="361"/>
      <c r="S12" s="362">
        <f t="shared" si="0"/>
        <v>0</v>
      </c>
    </row>
    <row r="13" spans="1:19" s="161" customFormat="1">
      <c r="A13" s="118">
        <v>6</v>
      </c>
      <c r="B13" s="72" t="s">
        <v>260</v>
      </c>
      <c r="C13" s="299">
        <v>0</v>
      </c>
      <c r="D13" s="299"/>
      <c r="E13" s="299">
        <v>48548004.090000004</v>
      </c>
      <c r="F13" s="299"/>
      <c r="G13" s="299"/>
      <c r="H13" s="299"/>
      <c r="I13" s="299">
        <v>27545533.959999997</v>
      </c>
      <c r="J13" s="299"/>
      <c r="K13" s="299"/>
      <c r="L13" s="299"/>
      <c r="M13" s="299">
        <v>130112.13999999687</v>
      </c>
      <c r="N13" s="539"/>
      <c r="O13" s="299">
        <v>0</v>
      </c>
      <c r="P13" s="299"/>
      <c r="Q13" s="299"/>
      <c r="R13" s="396"/>
      <c r="S13" s="362">
        <f t="shared" si="0"/>
        <v>23612479.937999997</v>
      </c>
    </row>
    <row r="14" spans="1:19" s="161" customFormat="1">
      <c r="A14" s="118">
        <v>7</v>
      </c>
      <c r="B14" s="72" t="s">
        <v>74</v>
      </c>
      <c r="C14" s="299"/>
      <c r="D14" s="299"/>
      <c r="E14" s="299"/>
      <c r="F14" s="299"/>
      <c r="G14" s="299"/>
      <c r="H14" s="299"/>
      <c r="I14" s="299"/>
      <c r="J14" s="299"/>
      <c r="K14" s="299"/>
      <c r="L14" s="299"/>
      <c r="M14" s="299">
        <v>558707813.01743686</v>
      </c>
      <c r="N14" s="539">
        <v>69946968.04410094</v>
      </c>
      <c r="O14" s="299"/>
      <c r="P14" s="299"/>
      <c r="Q14" s="299">
        <v>0</v>
      </c>
      <c r="R14" s="396">
        <v>0</v>
      </c>
      <c r="S14" s="362">
        <f t="shared" si="0"/>
        <v>628654781.06153774</v>
      </c>
    </row>
    <row r="15" spans="1:19" s="161" customFormat="1">
      <c r="A15" s="118">
        <v>8</v>
      </c>
      <c r="B15" s="72" t="s">
        <v>75</v>
      </c>
      <c r="C15" s="299"/>
      <c r="D15" s="299"/>
      <c r="E15" s="299"/>
      <c r="F15" s="299"/>
      <c r="G15" s="299"/>
      <c r="H15" s="299"/>
      <c r="I15" s="299"/>
      <c r="J15" s="299"/>
      <c r="K15" s="299"/>
      <c r="L15" s="299"/>
      <c r="M15" s="299">
        <v>0</v>
      </c>
      <c r="N15" s="539"/>
      <c r="O15" s="299"/>
      <c r="P15" s="299"/>
      <c r="Q15" s="299"/>
      <c r="R15" s="361"/>
      <c r="S15" s="362">
        <f t="shared" si="0"/>
        <v>0</v>
      </c>
    </row>
    <row r="16" spans="1:19" s="161" customFormat="1" ht="27.6">
      <c r="A16" s="118">
        <v>9</v>
      </c>
      <c r="B16" s="72" t="s">
        <v>76</v>
      </c>
      <c r="C16" s="299"/>
      <c r="D16" s="299"/>
      <c r="E16" s="299"/>
      <c r="F16" s="299"/>
      <c r="G16" s="299"/>
      <c r="H16" s="299"/>
      <c r="I16" s="299"/>
      <c r="J16" s="299"/>
      <c r="K16" s="299"/>
      <c r="L16" s="299"/>
      <c r="M16" s="299">
        <v>0</v>
      </c>
      <c r="N16" s="539"/>
      <c r="O16" s="299"/>
      <c r="P16" s="299"/>
      <c r="Q16" s="299"/>
      <c r="R16" s="361"/>
      <c r="S16" s="362">
        <f t="shared" si="0"/>
        <v>0</v>
      </c>
    </row>
    <row r="17" spans="1:19" s="161" customFormat="1">
      <c r="A17" s="118">
        <v>10</v>
      </c>
      <c r="B17" s="72" t="s">
        <v>70</v>
      </c>
      <c r="C17" s="299"/>
      <c r="D17" s="299"/>
      <c r="E17" s="299"/>
      <c r="F17" s="299"/>
      <c r="G17" s="299"/>
      <c r="H17" s="299"/>
      <c r="I17" s="299"/>
      <c r="J17" s="299"/>
      <c r="K17" s="299"/>
      <c r="L17" s="299"/>
      <c r="M17" s="299">
        <v>81732225.080173761</v>
      </c>
      <c r="N17" s="539">
        <v>27363.465000003576</v>
      </c>
      <c r="O17" s="299">
        <v>0</v>
      </c>
      <c r="P17" s="299"/>
      <c r="Q17" s="299">
        <v>43777428.417515993</v>
      </c>
      <c r="R17" s="361"/>
      <c r="S17" s="362">
        <f t="shared" si="0"/>
        <v>191203159.58896375</v>
      </c>
    </row>
    <row r="18" spans="1:19" s="161" customFormat="1">
      <c r="A18" s="118">
        <v>11</v>
      </c>
      <c r="B18" s="72" t="s">
        <v>71</v>
      </c>
      <c r="C18" s="299"/>
      <c r="D18" s="299"/>
      <c r="E18" s="299"/>
      <c r="F18" s="299"/>
      <c r="G18" s="299"/>
      <c r="H18" s="299"/>
      <c r="I18" s="299"/>
      <c r="J18" s="299"/>
      <c r="K18" s="299"/>
      <c r="L18" s="299"/>
      <c r="M18" s="299">
        <v>0</v>
      </c>
      <c r="N18" s="539"/>
      <c r="O18" s="299"/>
      <c r="P18" s="299"/>
      <c r="Q18" s="299"/>
      <c r="R18" s="361"/>
      <c r="S18" s="362">
        <f t="shared" si="0"/>
        <v>0</v>
      </c>
    </row>
    <row r="19" spans="1:19" s="161" customFormat="1">
      <c r="A19" s="118">
        <v>12</v>
      </c>
      <c r="B19" s="72" t="s">
        <v>72</v>
      </c>
      <c r="C19" s="299"/>
      <c r="D19" s="299"/>
      <c r="E19" s="299"/>
      <c r="F19" s="299"/>
      <c r="G19" s="299"/>
      <c r="H19" s="299"/>
      <c r="I19" s="299"/>
      <c r="J19" s="299"/>
      <c r="K19" s="299"/>
      <c r="L19" s="299"/>
      <c r="M19" s="299">
        <v>0</v>
      </c>
      <c r="N19" s="539"/>
      <c r="O19" s="299"/>
      <c r="P19" s="299"/>
      <c r="Q19" s="299"/>
      <c r="R19" s="361"/>
      <c r="S19" s="362">
        <f t="shared" si="0"/>
        <v>0</v>
      </c>
    </row>
    <row r="20" spans="1:19" s="161" customFormat="1">
      <c r="A20" s="118">
        <v>13</v>
      </c>
      <c r="B20" s="72" t="s">
        <v>73</v>
      </c>
      <c r="C20" s="299"/>
      <c r="D20" s="299"/>
      <c r="E20" s="299"/>
      <c r="F20" s="299"/>
      <c r="G20" s="299"/>
      <c r="H20" s="299"/>
      <c r="I20" s="299"/>
      <c r="J20" s="299"/>
      <c r="K20" s="299"/>
      <c r="L20" s="299"/>
      <c r="M20" s="299">
        <v>0</v>
      </c>
      <c r="N20" s="539"/>
      <c r="O20" s="299"/>
      <c r="P20" s="299"/>
      <c r="Q20" s="299"/>
      <c r="R20" s="361"/>
      <c r="S20" s="362">
        <f t="shared" si="0"/>
        <v>0</v>
      </c>
    </row>
    <row r="21" spans="1:19" s="161" customFormat="1">
      <c r="A21" s="118">
        <v>14</v>
      </c>
      <c r="B21" s="72" t="s">
        <v>285</v>
      </c>
      <c r="C21" s="299">
        <v>23375171</v>
      </c>
      <c r="D21" s="299"/>
      <c r="E21" s="299">
        <v>0</v>
      </c>
      <c r="F21" s="299"/>
      <c r="G21" s="299"/>
      <c r="H21" s="299">
        <v>0</v>
      </c>
      <c r="I21" s="299">
        <v>0</v>
      </c>
      <c r="J21" s="299"/>
      <c r="K21" s="299"/>
      <c r="L21" s="299"/>
      <c r="M21" s="299">
        <v>87457832.359054983</v>
      </c>
      <c r="N21" s="539">
        <v>1158276.020000003</v>
      </c>
      <c r="O21" s="299">
        <v>0</v>
      </c>
      <c r="P21" s="299"/>
      <c r="Q21" s="299">
        <v>30322081.219999999</v>
      </c>
      <c r="R21" s="361"/>
      <c r="S21" s="362">
        <f t="shared" si="0"/>
        <v>164421311.42905498</v>
      </c>
    </row>
    <row r="22" spans="1:19" ht="14.4" thickBot="1">
      <c r="A22" s="100"/>
      <c r="B22" s="163" t="s">
        <v>69</v>
      </c>
      <c r="C22" s="300">
        <f>SUM(C8:C21)</f>
        <v>51906368.810000002</v>
      </c>
      <c r="D22" s="300">
        <f t="shared" ref="D22:S22" si="1">SUM(D8:D21)</f>
        <v>0</v>
      </c>
      <c r="E22" s="300">
        <f t="shared" si="1"/>
        <v>48548004.090000004</v>
      </c>
      <c r="F22" s="300">
        <f t="shared" si="1"/>
        <v>0</v>
      </c>
      <c r="G22" s="300">
        <f t="shared" si="1"/>
        <v>0</v>
      </c>
      <c r="H22" s="300">
        <f t="shared" si="1"/>
        <v>0</v>
      </c>
      <c r="I22" s="300">
        <f t="shared" si="1"/>
        <v>27545533.959999997</v>
      </c>
      <c r="J22" s="300">
        <f t="shared" si="1"/>
        <v>0</v>
      </c>
      <c r="K22" s="300">
        <f t="shared" si="1"/>
        <v>0</v>
      </c>
      <c r="L22" s="300">
        <f t="shared" si="1"/>
        <v>0</v>
      </c>
      <c r="M22" s="300">
        <f t="shared" si="1"/>
        <v>877587837.59666562</v>
      </c>
      <c r="N22" s="300">
        <f t="shared" si="1"/>
        <v>71132607.52910094</v>
      </c>
      <c r="O22" s="300">
        <f t="shared" si="1"/>
        <v>0</v>
      </c>
      <c r="P22" s="300">
        <f t="shared" si="1"/>
        <v>0</v>
      </c>
      <c r="Q22" s="300">
        <f t="shared" si="1"/>
        <v>74099509.637515992</v>
      </c>
      <c r="R22" s="300">
        <f t="shared" si="1"/>
        <v>0</v>
      </c>
      <c r="S22" s="374">
        <f t="shared" si="1"/>
        <v>1157451587.0175564</v>
      </c>
    </row>
    <row r="23" spans="1:19">
      <c r="S23" s="316"/>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N7" activePane="bottomRight" state="frozen"/>
      <selection activeCell="K8" sqref="K8"/>
      <selection pane="topRight" activeCell="K8" sqref="K8"/>
      <selection pane="bottomLeft" activeCell="K8" sqref="K8"/>
      <selection pane="bottomRight" activeCell="V22" sqref="V22"/>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24.6640625" style="2" customWidth="1"/>
    <col min="20" max="20" width="19.44140625" style="2" customWidth="1"/>
    <col min="21" max="21" width="19.109375" style="2" customWidth="1"/>
    <col min="22" max="22" width="18" style="2" customWidth="1"/>
    <col min="23" max="16384" width="9.109375" style="8"/>
  </cols>
  <sheetData>
    <row r="1" spans="1:22">
      <c r="A1" s="2" t="s">
        <v>227</v>
      </c>
      <c r="B1" s="2" t="s">
        <v>752</v>
      </c>
    </row>
    <row r="2" spans="1:22">
      <c r="A2" s="2" t="s">
        <v>228</v>
      </c>
      <c r="B2" s="322">
        <f>'1. key ratios'!B2</f>
        <v>43555</v>
      </c>
    </row>
    <row r="4" spans="1:22" ht="28.2" thickBot="1">
      <c r="A4" s="2" t="s">
        <v>660</v>
      </c>
      <c r="B4" s="363" t="s">
        <v>792</v>
      </c>
      <c r="V4" s="205" t="s">
        <v>130</v>
      </c>
    </row>
    <row r="5" spans="1:22">
      <c r="A5" s="98"/>
      <c r="B5" s="99"/>
      <c r="C5" s="574" t="s">
        <v>237</v>
      </c>
      <c r="D5" s="575"/>
      <c r="E5" s="575"/>
      <c r="F5" s="575"/>
      <c r="G5" s="575"/>
      <c r="H5" s="575"/>
      <c r="I5" s="575"/>
      <c r="J5" s="575"/>
      <c r="K5" s="575"/>
      <c r="L5" s="576"/>
      <c r="M5" s="574" t="s">
        <v>238</v>
      </c>
      <c r="N5" s="575"/>
      <c r="O5" s="575"/>
      <c r="P5" s="575"/>
      <c r="Q5" s="575"/>
      <c r="R5" s="575"/>
      <c r="S5" s="576"/>
      <c r="T5" s="577" t="s">
        <v>793</v>
      </c>
      <c r="U5" s="577" t="s">
        <v>794</v>
      </c>
      <c r="V5" s="579" t="s">
        <v>239</v>
      </c>
    </row>
    <row r="6" spans="1:22" s="66" customFormat="1" ht="151.80000000000001">
      <c r="A6" s="116"/>
      <c r="B6" s="177"/>
      <c r="C6" s="96" t="s">
        <v>240</v>
      </c>
      <c r="D6" s="95" t="s">
        <v>241</v>
      </c>
      <c r="E6" s="92" t="s">
        <v>242</v>
      </c>
      <c r="F6" s="364" t="s">
        <v>795</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78"/>
      <c r="U6" s="578"/>
      <c r="V6" s="580"/>
    </row>
    <row r="7" spans="1:22" s="161" customFormat="1" ht="27.6">
      <c r="A7" s="162">
        <v>1</v>
      </c>
      <c r="B7" s="72" t="s">
        <v>255</v>
      </c>
      <c r="C7" s="301"/>
      <c r="D7" s="299"/>
      <c r="E7" s="299"/>
      <c r="F7" s="299"/>
      <c r="G7" s="299"/>
      <c r="H7" s="299"/>
      <c r="I7" s="299"/>
      <c r="J7" s="299"/>
      <c r="K7" s="299"/>
      <c r="L7" s="302"/>
      <c r="M7" s="301"/>
      <c r="N7" s="299"/>
      <c r="O7" s="299"/>
      <c r="P7" s="299"/>
      <c r="Q7" s="299"/>
      <c r="R7" s="299"/>
      <c r="S7" s="302"/>
      <c r="T7" s="365"/>
      <c r="U7" s="366"/>
      <c r="V7" s="303">
        <f>SUM(C7:S7)</f>
        <v>0</v>
      </c>
    </row>
    <row r="8" spans="1:22" s="161" customFormat="1" ht="27.6">
      <c r="A8" s="162">
        <v>2</v>
      </c>
      <c r="B8" s="72" t="s">
        <v>256</v>
      </c>
      <c r="C8" s="301"/>
      <c r="D8" s="299"/>
      <c r="E8" s="299"/>
      <c r="F8" s="299"/>
      <c r="G8" s="299"/>
      <c r="H8" s="299"/>
      <c r="I8" s="299"/>
      <c r="J8" s="299"/>
      <c r="K8" s="299"/>
      <c r="L8" s="302"/>
      <c r="M8" s="301"/>
      <c r="N8" s="299"/>
      <c r="O8" s="299"/>
      <c r="P8" s="299"/>
      <c r="Q8" s="299"/>
      <c r="R8" s="299"/>
      <c r="S8" s="302"/>
      <c r="T8" s="366"/>
      <c r="U8" s="366"/>
      <c r="V8" s="303">
        <f t="shared" ref="V8:V20" si="0">SUM(C8:S8)</f>
        <v>0</v>
      </c>
    </row>
    <row r="9" spans="1:22" s="161" customFormat="1">
      <c r="A9" s="162">
        <v>3</v>
      </c>
      <c r="B9" s="72" t="s">
        <v>257</v>
      </c>
      <c r="C9" s="301"/>
      <c r="D9" s="299"/>
      <c r="E9" s="299"/>
      <c r="F9" s="299"/>
      <c r="G9" s="299"/>
      <c r="H9" s="299"/>
      <c r="I9" s="299"/>
      <c r="J9" s="299"/>
      <c r="K9" s="299"/>
      <c r="L9" s="302"/>
      <c r="M9" s="301"/>
      <c r="N9" s="299"/>
      <c r="O9" s="299"/>
      <c r="P9" s="299"/>
      <c r="Q9" s="299"/>
      <c r="R9" s="299"/>
      <c r="S9" s="302"/>
      <c r="T9" s="366"/>
      <c r="U9" s="366"/>
      <c r="V9" s="303">
        <f>SUM(C9:S9)</f>
        <v>0</v>
      </c>
    </row>
    <row r="10" spans="1:22" s="161" customFormat="1" ht="27.6">
      <c r="A10" s="162">
        <v>4</v>
      </c>
      <c r="B10" s="72" t="s">
        <v>258</v>
      </c>
      <c r="C10" s="301"/>
      <c r="D10" s="299"/>
      <c r="E10" s="299"/>
      <c r="F10" s="299"/>
      <c r="G10" s="299"/>
      <c r="H10" s="299"/>
      <c r="I10" s="299"/>
      <c r="J10" s="299"/>
      <c r="K10" s="299"/>
      <c r="L10" s="302"/>
      <c r="M10" s="301"/>
      <c r="N10" s="299"/>
      <c r="O10" s="299"/>
      <c r="P10" s="299"/>
      <c r="Q10" s="299"/>
      <c r="R10" s="299"/>
      <c r="S10" s="302"/>
      <c r="T10" s="366"/>
      <c r="U10" s="366"/>
      <c r="V10" s="303">
        <f t="shared" si="0"/>
        <v>0</v>
      </c>
    </row>
    <row r="11" spans="1:22" s="161" customFormat="1">
      <c r="A11" s="162">
        <v>5</v>
      </c>
      <c r="B11" s="72" t="s">
        <v>259</v>
      </c>
      <c r="C11" s="301"/>
      <c r="D11" s="299"/>
      <c r="E11" s="299"/>
      <c r="F11" s="299"/>
      <c r="G11" s="299"/>
      <c r="H11" s="299"/>
      <c r="I11" s="299"/>
      <c r="J11" s="299"/>
      <c r="K11" s="299"/>
      <c r="L11" s="302"/>
      <c r="M11" s="301"/>
      <c r="N11" s="299"/>
      <c r="O11" s="299"/>
      <c r="P11" s="299"/>
      <c r="Q11" s="299"/>
      <c r="R11" s="299"/>
      <c r="S11" s="302"/>
      <c r="T11" s="366"/>
      <c r="U11" s="366"/>
      <c r="V11" s="303">
        <f t="shared" si="0"/>
        <v>0</v>
      </c>
    </row>
    <row r="12" spans="1:22" s="161" customFormat="1">
      <c r="A12" s="162">
        <v>6</v>
      </c>
      <c r="B12" s="72" t="s">
        <v>260</v>
      </c>
      <c r="C12" s="301"/>
      <c r="D12" s="299"/>
      <c r="E12" s="299"/>
      <c r="F12" s="299"/>
      <c r="G12" s="299"/>
      <c r="H12" s="299"/>
      <c r="I12" s="299"/>
      <c r="J12" s="299"/>
      <c r="K12" s="299"/>
      <c r="L12" s="302"/>
      <c r="M12" s="301"/>
      <c r="N12" s="299"/>
      <c r="O12" s="299"/>
      <c r="P12" s="299"/>
      <c r="Q12" s="299"/>
      <c r="R12" s="299"/>
      <c r="S12" s="302"/>
      <c r="T12" s="366"/>
      <c r="U12" s="366"/>
      <c r="V12" s="303">
        <f t="shared" si="0"/>
        <v>0</v>
      </c>
    </row>
    <row r="13" spans="1:22" s="161" customFormat="1">
      <c r="A13" s="162">
        <v>7</v>
      </c>
      <c r="B13" s="72" t="s">
        <v>74</v>
      </c>
      <c r="C13" s="301"/>
      <c r="D13" s="299">
        <f>T13+U13</f>
        <v>12862946.841975816</v>
      </c>
      <c r="E13" s="299"/>
      <c r="F13" s="299"/>
      <c r="G13" s="299"/>
      <c r="H13" s="299"/>
      <c r="I13" s="299"/>
      <c r="J13" s="299"/>
      <c r="K13" s="299"/>
      <c r="L13" s="302"/>
      <c r="M13" s="301"/>
      <c r="N13" s="299"/>
      <c r="O13" s="299"/>
      <c r="P13" s="299"/>
      <c r="Q13" s="299"/>
      <c r="R13" s="299"/>
      <c r="S13" s="302"/>
      <c r="T13" s="366">
        <v>4273437.9072157945</v>
      </c>
      <c r="U13" s="366">
        <v>8589508.934760021</v>
      </c>
      <c r="V13" s="303">
        <f t="shared" si="0"/>
        <v>12862946.841975816</v>
      </c>
    </row>
    <row r="14" spans="1:22" s="161" customFormat="1">
      <c r="A14" s="162">
        <v>8</v>
      </c>
      <c r="B14" s="72" t="s">
        <v>75</v>
      </c>
      <c r="C14" s="301"/>
      <c r="D14" s="299"/>
      <c r="E14" s="299"/>
      <c r="F14" s="299"/>
      <c r="G14" s="299"/>
      <c r="H14" s="299"/>
      <c r="I14" s="299"/>
      <c r="J14" s="299"/>
      <c r="K14" s="299"/>
      <c r="L14" s="302"/>
      <c r="M14" s="301"/>
      <c r="N14" s="299"/>
      <c r="O14" s="299"/>
      <c r="P14" s="299"/>
      <c r="Q14" s="299"/>
      <c r="R14" s="299"/>
      <c r="S14" s="302"/>
      <c r="T14" s="366"/>
      <c r="U14" s="366"/>
      <c r="V14" s="303">
        <f t="shared" si="0"/>
        <v>0</v>
      </c>
    </row>
    <row r="15" spans="1:22" s="161" customFormat="1" ht="27.6">
      <c r="A15" s="162">
        <v>9</v>
      </c>
      <c r="B15" s="72" t="s">
        <v>76</v>
      </c>
      <c r="C15" s="301"/>
      <c r="D15" s="299"/>
      <c r="E15" s="299"/>
      <c r="F15" s="299"/>
      <c r="G15" s="299"/>
      <c r="H15" s="299"/>
      <c r="I15" s="299"/>
      <c r="J15" s="299"/>
      <c r="K15" s="299"/>
      <c r="L15" s="302"/>
      <c r="M15" s="301"/>
      <c r="N15" s="299"/>
      <c r="O15" s="299"/>
      <c r="P15" s="299"/>
      <c r="Q15" s="299"/>
      <c r="R15" s="299"/>
      <c r="S15" s="302"/>
      <c r="T15" s="366"/>
      <c r="U15" s="366"/>
      <c r="V15" s="303">
        <f t="shared" si="0"/>
        <v>0</v>
      </c>
    </row>
    <row r="16" spans="1:22" s="161" customFormat="1">
      <c r="A16" s="162">
        <v>10</v>
      </c>
      <c r="B16" s="72" t="s">
        <v>70</v>
      </c>
      <c r="C16" s="301"/>
      <c r="D16" s="299">
        <f>T16+U16</f>
        <v>0</v>
      </c>
      <c r="E16" s="299"/>
      <c r="F16" s="299"/>
      <c r="G16" s="299"/>
      <c r="H16" s="299"/>
      <c r="I16" s="299"/>
      <c r="J16" s="299"/>
      <c r="K16" s="299"/>
      <c r="L16" s="302"/>
      <c r="M16" s="301"/>
      <c r="N16" s="299"/>
      <c r="O16" s="299"/>
      <c r="P16" s="299"/>
      <c r="Q16" s="299"/>
      <c r="R16" s="299"/>
      <c r="S16" s="302"/>
      <c r="T16" s="366">
        <v>0</v>
      </c>
      <c r="U16" s="366"/>
      <c r="V16" s="303">
        <f t="shared" si="0"/>
        <v>0</v>
      </c>
    </row>
    <row r="17" spans="1:22" s="161" customFormat="1">
      <c r="A17" s="162">
        <v>11</v>
      </c>
      <c r="B17" s="72" t="s">
        <v>71</v>
      </c>
      <c r="C17" s="301"/>
      <c r="D17" s="299"/>
      <c r="E17" s="299"/>
      <c r="F17" s="299"/>
      <c r="G17" s="299"/>
      <c r="H17" s="299"/>
      <c r="I17" s="299"/>
      <c r="J17" s="299"/>
      <c r="K17" s="299"/>
      <c r="L17" s="302"/>
      <c r="M17" s="301"/>
      <c r="N17" s="299"/>
      <c r="O17" s="299"/>
      <c r="P17" s="299"/>
      <c r="Q17" s="299"/>
      <c r="R17" s="299"/>
      <c r="S17" s="302"/>
      <c r="T17" s="366"/>
      <c r="U17" s="366"/>
      <c r="V17" s="303">
        <f t="shared" si="0"/>
        <v>0</v>
      </c>
    </row>
    <row r="18" spans="1:22" s="161" customFormat="1">
      <c r="A18" s="162">
        <v>12</v>
      </c>
      <c r="B18" s="72" t="s">
        <v>72</v>
      </c>
      <c r="C18" s="301"/>
      <c r="D18" s="299"/>
      <c r="E18" s="299"/>
      <c r="F18" s="299"/>
      <c r="G18" s="299"/>
      <c r="H18" s="299"/>
      <c r="I18" s="299"/>
      <c r="J18" s="299"/>
      <c r="K18" s="299"/>
      <c r="L18" s="302"/>
      <c r="M18" s="301"/>
      <c r="N18" s="299"/>
      <c r="O18" s="299"/>
      <c r="P18" s="299"/>
      <c r="Q18" s="299"/>
      <c r="R18" s="299"/>
      <c r="S18" s="302"/>
      <c r="T18" s="366"/>
      <c r="U18" s="366"/>
      <c r="V18" s="303">
        <f t="shared" si="0"/>
        <v>0</v>
      </c>
    </row>
    <row r="19" spans="1:22" s="161" customFormat="1">
      <c r="A19" s="162">
        <v>13</v>
      </c>
      <c r="B19" s="72" t="s">
        <v>73</v>
      </c>
      <c r="C19" s="301"/>
      <c r="D19" s="299"/>
      <c r="E19" s="299"/>
      <c r="F19" s="299"/>
      <c r="G19" s="299"/>
      <c r="H19" s="299"/>
      <c r="I19" s="299"/>
      <c r="J19" s="299"/>
      <c r="K19" s="299"/>
      <c r="L19" s="302"/>
      <c r="M19" s="301"/>
      <c r="N19" s="299"/>
      <c r="O19" s="299"/>
      <c r="P19" s="299"/>
      <c r="Q19" s="299"/>
      <c r="R19" s="299"/>
      <c r="S19" s="302"/>
      <c r="T19" s="366"/>
      <c r="U19" s="366"/>
      <c r="V19" s="303">
        <f t="shared" si="0"/>
        <v>0</v>
      </c>
    </row>
    <row r="20" spans="1:22" s="161" customFormat="1">
      <c r="A20" s="162">
        <v>14</v>
      </c>
      <c r="B20" s="72" t="s">
        <v>285</v>
      </c>
      <c r="C20" s="301"/>
      <c r="D20" s="299">
        <f>T20+U20</f>
        <v>2538968.5298468154</v>
      </c>
      <c r="E20" s="299"/>
      <c r="F20" s="299"/>
      <c r="G20" s="299"/>
      <c r="H20" s="299"/>
      <c r="I20" s="299"/>
      <c r="J20" s="299"/>
      <c r="K20" s="299"/>
      <c r="L20" s="302"/>
      <c r="M20" s="301"/>
      <c r="N20" s="299"/>
      <c r="O20" s="299"/>
      <c r="P20" s="299"/>
      <c r="Q20" s="299"/>
      <c r="R20" s="299"/>
      <c r="S20" s="302"/>
      <c r="T20" s="366">
        <v>2162172.5298468154</v>
      </c>
      <c r="U20" s="532">
        <v>376796</v>
      </c>
      <c r="V20" s="303">
        <f t="shared" si="0"/>
        <v>2538968.5298468154</v>
      </c>
    </row>
    <row r="21" spans="1:22" ht="14.4" thickBot="1">
      <c r="A21" s="100"/>
      <c r="B21" s="101" t="s">
        <v>69</v>
      </c>
      <c r="C21" s="304">
        <f>SUM(C7:C20)</f>
        <v>0</v>
      </c>
      <c r="D21" s="300">
        <f t="shared" ref="D21:V21" si="1">SUM(D7:D20)</f>
        <v>15401915.371822631</v>
      </c>
      <c r="E21" s="300">
        <f t="shared" si="1"/>
        <v>0</v>
      </c>
      <c r="F21" s="300">
        <f t="shared" si="1"/>
        <v>0</v>
      </c>
      <c r="G21" s="300">
        <f t="shared" si="1"/>
        <v>0</v>
      </c>
      <c r="H21" s="300">
        <f t="shared" si="1"/>
        <v>0</v>
      </c>
      <c r="I21" s="300">
        <f t="shared" si="1"/>
        <v>0</v>
      </c>
      <c r="J21" s="300">
        <f t="shared" si="1"/>
        <v>0</v>
      </c>
      <c r="K21" s="300">
        <f t="shared" si="1"/>
        <v>0</v>
      </c>
      <c r="L21" s="305">
        <f t="shared" si="1"/>
        <v>0</v>
      </c>
      <c r="M21" s="304">
        <f t="shared" si="1"/>
        <v>0</v>
      </c>
      <c r="N21" s="300">
        <f t="shared" si="1"/>
        <v>0</v>
      </c>
      <c r="O21" s="300">
        <f t="shared" si="1"/>
        <v>0</v>
      </c>
      <c r="P21" s="300">
        <f t="shared" si="1"/>
        <v>0</v>
      </c>
      <c r="Q21" s="300">
        <f t="shared" si="1"/>
        <v>0</v>
      </c>
      <c r="R21" s="300">
        <f t="shared" si="1"/>
        <v>0</v>
      </c>
      <c r="S21" s="305">
        <f t="shared" si="1"/>
        <v>0</v>
      </c>
      <c r="T21" s="305">
        <f>SUM(T7:T20)</f>
        <v>6435610.4370626099</v>
      </c>
      <c r="U21" s="305">
        <f t="shared" si="1"/>
        <v>8966304.934760021</v>
      </c>
      <c r="V21" s="306">
        <f t="shared" si="1"/>
        <v>15401915.371822631</v>
      </c>
    </row>
    <row r="22" spans="1:22">
      <c r="V22" s="316"/>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2" sqref="B2"/>
    </sheetView>
  </sheetViews>
  <sheetFormatPr defaultColWidth="9.109375" defaultRowHeight="13.8"/>
  <cols>
    <col min="1" max="1" width="10.5546875" style="2" bestFit="1" customWidth="1"/>
    <col min="2" max="2" width="101.88671875" style="2" customWidth="1"/>
    <col min="3" max="3" width="16.332031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8"/>
  </cols>
  <sheetData>
    <row r="1" spans="1:9">
      <c r="A1" s="2" t="s">
        <v>227</v>
      </c>
      <c r="B1" s="2" t="s">
        <v>752</v>
      </c>
    </row>
    <row r="2" spans="1:9">
      <c r="A2" s="2" t="s">
        <v>228</v>
      </c>
      <c r="B2" s="322">
        <f>'1. key ratios'!B2</f>
        <v>43555</v>
      </c>
    </row>
    <row r="4" spans="1:9" ht="14.4" thickBot="1">
      <c r="A4" s="2" t="s">
        <v>661</v>
      </c>
      <c r="B4" s="367" t="s">
        <v>796</v>
      </c>
    </row>
    <row r="5" spans="1:9">
      <c r="A5" s="98"/>
      <c r="B5" s="159"/>
      <c r="C5" s="368" t="s">
        <v>0</v>
      </c>
      <c r="D5" s="368" t="s">
        <v>1</v>
      </c>
      <c r="E5" s="368" t="s">
        <v>2</v>
      </c>
      <c r="F5" s="368" t="s">
        <v>3</v>
      </c>
      <c r="G5" s="369" t="s">
        <v>4</v>
      </c>
      <c r="H5" s="370" t="s">
        <v>5</v>
      </c>
      <c r="I5" s="17"/>
    </row>
    <row r="6" spans="1:9" ht="15" customHeight="1">
      <c r="A6" s="158"/>
      <c r="B6" s="16"/>
      <c r="C6" s="581" t="s">
        <v>797</v>
      </c>
      <c r="D6" s="583" t="s">
        <v>798</v>
      </c>
      <c r="E6" s="584"/>
      <c r="F6" s="581" t="s">
        <v>799</v>
      </c>
      <c r="G6" s="581" t="s">
        <v>800</v>
      </c>
      <c r="H6" s="585" t="s">
        <v>801</v>
      </c>
      <c r="I6" s="17"/>
    </row>
    <row r="7" spans="1:9" ht="69">
      <c r="A7" s="158"/>
      <c r="B7" s="16"/>
      <c r="C7" s="582"/>
      <c r="D7" s="357" t="s">
        <v>802</v>
      </c>
      <c r="E7" s="357" t="s">
        <v>803</v>
      </c>
      <c r="F7" s="582"/>
      <c r="G7" s="582"/>
      <c r="H7" s="586"/>
      <c r="I7" s="17"/>
    </row>
    <row r="8" spans="1:9">
      <c r="A8" s="89">
        <v>1</v>
      </c>
      <c r="B8" s="72" t="s">
        <v>255</v>
      </c>
      <c r="C8" s="307">
        <f>SUM('11. CRWA'!C8:R8)-E8</f>
        <v>178091052.81</v>
      </c>
      <c r="D8" s="658"/>
      <c r="E8" s="307"/>
      <c r="F8" s="307">
        <f>'11. CRWA'!S8</f>
        <v>149559855</v>
      </c>
      <c r="G8" s="371">
        <f>'11. CRWA'!S8-'12. CRM'!V7</f>
        <v>149559855</v>
      </c>
      <c r="H8" s="372">
        <f>IFERROR(G8/(C8+E8),0)</f>
        <v>0.83979432228726791</v>
      </c>
    </row>
    <row r="9" spans="1:9" ht="15" customHeight="1">
      <c r="A9" s="89">
        <v>2</v>
      </c>
      <c r="B9" s="72" t="s">
        <v>256</v>
      </c>
      <c r="C9" s="307">
        <f>SUM('11. CRWA'!C9:R9)-E9</f>
        <v>0</v>
      </c>
      <c r="D9" s="658"/>
      <c r="E9" s="307"/>
      <c r="F9" s="307">
        <f>'11. CRWA'!S9</f>
        <v>0</v>
      </c>
      <c r="G9" s="371">
        <f>'11. CRWA'!S9-'12. CRM'!V8</f>
        <v>0</v>
      </c>
      <c r="H9" s="372">
        <f t="shared" ref="H9:H22" si="0">IFERROR(G9/(C9+E9),0)</f>
        <v>0</v>
      </c>
    </row>
    <row r="10" spans="1:9">
      <c r="A10" s="89">
        <v>3</v>
      </c>
      <c r="B10" s="72" t="s">
        <v>257</v>
      </c>
      <c r="C10" s="307">
        <f>SUM('11. CRWA'!C10:R10)-E10</f>
        <v>0</v>
      </c>
      <c r="D10" s="658"/>
      <c r="E10" s="307"/>
      <c r="F10" s="307">
        <f>'11. CRWA'!S10</f>
        <v>0</v>
      </c>
      <c r="G10" s="371">
        <f>'11. CRWA'!S10-'12. CRM'!V9</f>
        <v>0</v>
      </c>
      <c r="H10" s="372">
        <f t="shared" si="0"/>
        <v>0</v>
      </c>
    </row>
    <row r="11" spans="1:9">
      <c r="A11" s="89">
        <v>4</v>
      </c>
      <c r="B11" s="72" t="s">
        <v>258</v>
      </c>
      <c r="C11" s="307">
        <f>SUM('11. CRWA'!C11:R11)-E11</f>
        <v>0</v>
      </c>
      <c r="D11" s="658"/>
      <c r="E11" s="307"/>
      <c r="F11" s="307">
        <f>'11. CRWA'!S11</f>
        <v>0</v>
      </c>
      <c r="G11" s="371">
        <f>'11. CRWA'!S11-'12. CRM'!V10</f>
        <v>0</v>
      </c>
      <c r="H11" s="372">
        <f t="shared" si="0"/>
        <v>0</v>
      </c>
    </row>
    <row r="12" spans="1:9">
      <c r="A12" s="89">
        <v>5</v>
      </c>
      <c r="B12" s="72" t="s">
        <v>259</v>
      </c>
      <c r="C12" s="307">
        <f>SUM('11. CRWA'!C12:R12)-E12</f>
        <v>0</v>
      </c>
      <c r="D12" s="658"/>
      <c r="E12" s="307"/>
      <c r="F12" s="307">
        <f>'11. CRWA'!S12</f>
        <v>0</v>
      </c>
      <c r="G12" s="371">
        <f>'11. CRWA'!S12-'12. CRM'!V11</f>
        <v>0</v>
      </c>
      <c r="H12" s="372">
        <f t="shared" si="0"/>
        <v>0</v>
      </c>
    </row>
    <row r="13" spans="1:9">
      <c r="A13" s="89">
        <v>6</v>
      </c>
      <c r="B13" s="72" t="s">
        <v>260</v>
      </c>
      <c r="C13" s="307">
        <f>SUM('11. CRWA'!C13:R13)-E13</f>
        <v>76223650.189999998</v>
      </c>
      <c r="D13" s="658"/>
      <c r="E13" s="307"/>
      <c r="F13" s="307">
        <f>'11. CRWA'!S13</f>
        <v>23612479.937999997</v>
      </c>
      <c r="G13" s="371">
        <f>'11. CRWA'!S13-'12. CRM'!V12</f>
        <v>23612479.937999997</v>
      </c>
      <c r="H13" s="372">
        <f t="shared" si="0"/>
        <v>0.30977891873640273</v>
      </c>
    </row>
    <row r="14" spans="1:9">
      <c r="A14" s="89">
        <v>7</v>
      </c>
      <c r="B14" s="72" t="s">
        <v>74</v>
      </c>
      <c r="C14" s="307">
        <f>SUM('11. CRWA'!C14:R14)-E14</f>
        <v>558707813.01743674</v>
      </c>
      <c r="D14" s="658">
        <v>83552719.914100885</v>
      </c>
      <c r="E14" s="307">
        <f>'11. CRWA'!N14+'11. CRWA'!R14</f>
        <v>69946968.04410094</v>
      </c>
      <c r="F14" s="307">
        <f>'11. CRWA'!S14</f>
        <v>628654781.06153774</v>
      </c>
      <c r="G14" s="371">
        <f>'11. CRWA'!S14-'12. CRM'!V13</f>
        <v>615791834.21956193</v>
      </c>
      <c r="H14" s="372">
        <f t="shared" si="0"/>
        <v>0.97953893419810534</v>
      </c>
    </row>
    <row r="15" spans="1:9">
      <c r="A15" s="89">
        <v>8</v>
      </c>
      <c r="B15" s="72" t="s">
        <v>75</v>
      </c>
      <c r="C15" s="307">
        <f>SUM('11. CRWA'!C15:R15)-E15</f>
        <v>0</v>
      </c>
      <c r="D15" s="658"/>
      <c r="E15" s="307">
        <f>'11. CRWA'!N15</f>
        <v>0</v>
      </c>
      <c r="F15" s="307">
        <f>'11. CRWA'!S15</f>
        <v>0</v>
      </c>
      <c r="G15" s="371">
        <f>'11. CRWA'!S15-'12. CRM'!V14</f>
        <v>0</v>
      </c>
      <c r="H15" s="372">
        <f t="shared" si="0"/>
        <v>0</v>
      </c>
    </row>
    <row r="16" spans="1:9">
      <c r="A16" s="89">
        <v>9</v>
      </c>
      <c r="B16" s="72" t="s">
        <v>76</v>
      </c>
      <c r="C16" s="307">
        <f>SUM('11. CRWA'!C16:R16)-E16</f>
        <v>0</v>
      </c>
      <c r="D16" s="658"/>
      <c r="E16" s="307">
        <f>'11. CRWA'!N16</f>
        <v>0</v>
      </c>
      <c r="F16" s="307">
        <f>'11. CRWA'!S16</f>
        <v>0</v>
      </c>
      <c r="G16" s="371">
        <f>'11. CRWA'!S16-'12. CRM'!V15</f>
        <v>0</v>
      </c>
      <c r="H16" s="372">
        <f t="shared" si="0"/>
        <v>0</v>
      </c>
    </row>
    <row r="17" spans="1:8">
      <c r="A17" s="89">
        <v>10</v>
      </c>
      <c r="B17" s="72" t="s">
        <v>70</v>
      </c>
      <c r="C17" s="307">
        <f>SUM('11. CRWA'!C17:R17)-E17</f>
        <v>125509653.49768975</v>
      </c>
      <c r="D17" s="658">
        <v>54726.930000007153</v>
      </c>
      <c r="E17" s="307">
        <f>'11. CRWA'!N17</f>
        <v>27363.465000003576</v>
      </c>
      <c r="F17" s="307">
        <f>'11. CRWA'!S17</f>
        <v>191203159.58896375</v>
      </c>
      <c r="G17" s="371">
        <f>'11. CRWA'!S17-'12. CRM'!V16</f>
        <v>191203159.58896375</v>
      </c>
      <c r="H17" s="372">
        <f t="shared" si="0"/>
        <v>1.5230819101412161</v>
      </c>
    </row>
    <row r="18" spans="1:8">
      <c r="A18" s="89">
        <v>11</v>
      </c>
      <c r="B18" s="72" t="s">
        <v>71</v>
      </c>
      <c r="C18" s="307">
        <f>SUM('11. CRWA'!C18:R18)-E18</f>
        <v>0</v>
      </c>
      <c r="D18" s="658"/>
      <c r="E18" s="307">
        <f>'11. CRWA'!N18</f>
        <v>0</v>
      </c>
      <c r="F18" s="307">
        <f>'11. CRWA'!S18</f>
        <v>0</v>
      </c>
      <c r="G18" s="371">
        <f>'11. CRWA'!S18-'12. CRM'!V17</f>
        <v>0</v>
      </c>
      <c r="H18" s="372">
        <f t="shared" si="0"/>
        <v>0</v>
      </c>
    </row>
    <row r="19" spans="1:8">
      <c r="A19" s="89">
        <v>12</v>
      </c>
      <c r="B19" s="72" t="s">
        <v>72</v>
      </c>
      <c r="C19" s="307">
        <f>SUM('11. CRWA'!C19:R19)-E19</f>
        <v>0</v>
      </c>
      <c r="D19" s="658"/>
      <c r="E19" s="307">
        <f>'11. CRWA'!N19</f>
        <v>0</v>
      </c>
      <c r="F19" s="307">
        <f>'11. CRWA'!S19</f>
        <v>0</v>
      </c>
      <c r="G19" s="371">
        <f>'11. CRWA'!S19-'12. CRM'!V18</f>
        <v>0</v>
      </c>
      <c r="H19" s="372">
        <f t="shared" si="0"/>
        <v>0</v>
      </c>
    </row>
    <row r="20" spans="1:8">
      <c r="A20" s="89">
        <v>13</v>
      </c>
      <c r="B20" s="72" t="s">
        <v>73</v>
      </c>
      <c r="C20" s="307">
        <f>SUM('11. CRWA'!C20:R20)-E20</f>
        <v>0</v>
      </c>
      <c r="D20" s="658"/>
      <c r="E20" s="307">
        <f>'11. CRWA'!N20</f>
        <v>0</v>
      </c>
      <c r="F20" s="307">
        <f>'11. CRWA'!S20</f>
        <v>0</v>
      </c>
      <c r="G20" s="371">
        <f>'11. CRWA'!S20-'12. CRM'!V19</f>
        <v>0</v>
      </c>
      <c r="H20" s="372">
        <f t="shared" si="0"/>
        <v>0</v>
      </c>
    </row>
    <row r="21" spans="1:8">
      <c r="A21" s="89">
        <v>14</v>
      </c>
      <c r="B21" s="72" t="s">
        <v>285</v>
      </c>
      <c r="C21" s="307">
        <f>SUM('11. CRWA'!C21:R21)-E21</f>
        <v>141155084.57905498</v>
      </c>
      <c r="D21" s="658">
        <v>2316552.0400000061</v>
      </c>
      <c r="E21" s="307">
        <f>'11. CRWA'!N21</f>
        <v>1158276.020000003</v>
      </c>
      <c r="F21" s="307">
        <f>'11. CRWA'!S21</f>
        <v>164421311.42905498</v>
      </c>
      <c r="G21" s="371">
        <f>'11. CRWA'!S21-'12. CRM'!V20</f>
        <v>161882342.89920816</v>
      </c>
      <c r="H21" s="372">
        <f t="shared" si="0"/>
        <v>1.1375062904689999</v>
      </c>
    </row>
    <row r="22" spans="1:8" ht="14.4" thickBot="1">
      <c r="A22" s="160"/>
      <c r="B22" s="164" t="s">
        <v>69</v>
      </c>
      <c r="C22" s="300">
        <f t="shared" ref="C22:E22" si="1">SUM(C8:C21)</f>
        <v>1079687254.0941815</v>
      </c>
      <c r="D22" s="300">
        <f t="shared" si="1"/>
        <v>85923998.884100899</v>
      </c>
      <c r="E22" s="300">
        <f t="shared" si="1"/>
        <v>71132607.52910094</v>
      </c>
      <c r="F22" s="300">
        <f>SUM(F8:F21)</f>
        <v>1157451587.0175564</v>
      </c>
      <c r="G22" s="300">
        <f>SUM(G8:G21)</f>
        <v>1142049671.6457338</v>
      </c>
      <c r="H22" s="373">
        <f t="shared" si="0"/>
        <v>0.99237918090397059</v>
      </c>
    </row>
    <row r="23" spans="1:8">
      <c r="G23" s="316"/>
    </row>
    <row r="28" spans="1:8" ht="10.5" customHeight="1"/>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K25" sqref="K25"/>
    </sheetView>
  </sheetViews>
  <sheetFormatPr defaultColWidth="9.109375" defaultRowHeight="13.8"/>
  <cols>
    <col min="1" max="1" width="10.5546875" style="2" bestFit="1" customWidth="1"/>
    <col min="2" max="2" width="73.33203125" style="2" customWidth="1"/>
    <col min="3" max="3" width="12.6640625" style="2" customWidth="1"/>
    <col min="4" max="4" width="14.5546875" style="2" customWidth="1"/>
    <col min="5" max="5" width="13.5546875" style="2" bestFit="1" customWidth="1"/>
    <col min="6" max="11" width="12.6640625" style="2" customWidth="1"/>
    <col min="12" max="16384" width="9.109375" style="2"/>
  </cols>
  <sheetData>
    <row r="1" spans="1:11">
      <c r="A1" s="2" t="s">
        <v>227</v>
      </c>
      <c r="B1" s="2" t="s">
        <v>752</v>
      </c>
    </row>
    <row r="2" spans="1:11">
      <c r="A2" s="2" t="s">
        <v>228</v>
      </c>
      <c r="B2" s="322">
        <f>'1. key ratios'!B2</f>
        <v>43555</v>
      </c>
      <c r="C2" s="5"/>
      <c r="D2" s="5"/>
    </row>
    <row r="3" spans="1:11">
      <c r="B3" s="5"/>
      <c r="C3" s="5"/>
      <c r="D3" s="5"/>
    </row>
    <row r="4" spans="1:11" ht="14.4" thickBot="1">
      <c r="A4" s="2" t="s">
        <v>662</v>
      </c>
      <c r="B4" s="367" t="s">
        <v>810</v>
      </c>
      <c r="C4" s="5"/>
      <c r="D4" s="5"/>
    </row>
    <row r="5" spans="1:11" ht="33" customHeight="1">
      <c r="A5" s="587"/>
      <c r="B5" s="588"/>
      <c r="C5" s="589" t="s">
        <v>892</v>
      </c>
      <c r="D5" s="589"/>
      <c r="E5" s="589"/>
      <c r="F5" s="589" t="s">
        <v>889</v>
      </c>
      <c r="G5" s="589"/>
      <c r="H5" s="589"/>
      <c r="I5" s="589" t="s">
        <v>893</v>
      </c>
      <c r="J5" s="589"/>
      <c r="K5" s="590"/>
    </row>
    <row r="6" spans="1:11">
      <c r="A6" s="397"/>
      <c r="B6" s="398"/>
      <c r="C6" s="399" t="s">
        <v>28</v>
      </c>
      <c r="D6" s="399" t="s">
        <v>134</v>
      </c>
      <c r="E6" s="399" t="s">
        <v>69</v>
      </c>
      <c r="F6" s="399" t="s">
        <v>28</v>
      </c>
      <c r="G6" s="399" t="s">
        <v>134</v>
      </c>
      <c r="H6" s="399" t="s">
        <v>69</v>
      </c>
      <c r="I6" s="399" t="s">
        <v>28</v>
      </c>
      <c r="J6" s="399" t="s">
        <v>134</v>
      </c>
      <c r="K6" s="400" t="s">
        <v>69</v>
      </c>
    </row>
    <row r="7" spans="1:11">
      <c r="A7" s="401" t="s">
        <v>811</v>
      </c>
      <c r="B7" s="402"/>
      <c r="C7" s="402"/>
      <c r="D7" s="402"/>
      <c r="E7" s="402"/>
      <c r="F7" s="402"/>
      <c r="G7" s="402"/>
      <c r="H7" s="402"/>
      <c r="I7" s="402"/>
      <c r="J7" s="402"/>
      <c r="K7" s="403"/>
    </row>
    <row r="8" spans="1:11">
      <c r="A8" s="404">
        <v>1</v>
      </c>
      <c r="B8" s="405" t="s">
        <v>811</v>
      </c>
      <c r="C8" s="383"/>
      <c r="D8" s="383"/>
      <c r="E8" s="383"/>
      <c r="F8" s="426">
        <v>70280945.170000002</v>
      </c>
      <c r="G8" s="427">
        <v>191503953.41272914</v>
      </c>
      <c r="H8" s="427">
        <v>261784898.58272907</v>
      </c>
      <c r="I8" s="427">
        <v>36341245.554431811</v>
      </c>
      <c r="J8" s="427">
        <v>152578856.71272457</v>
      </c>
      <c r="K8" s="431">
        <v>188920102.26715645</v>
      </c>
    </row>
    <row r="9" spans="1:11">
      <c r="A9" s="401" t="s">
        <v>812</v>
      </c>
      <c r="B9" s="402"/>
      <c r="C9" s="402"/>
      <c r="D9" s="402"/>
      <c r="E9" s="402"/>
      <c r="F9" s="402"/>
      <c r="G9" s="402"/>
      <c r="H9" s="402"/>
      <c r="I9" s="402"/>
      <c r="J9" s="402"/>
      <c r="K9" s="403"/>
    </row>
    <row r="10" spans="1:11">
      <c r="A10" s="430">
        <v>2</v>
      </c>
      <c r="B10" s="406" t="s">
        <v>813</v>
      </c>
      <c r="C10" s="426">
        <v>13758104.122150134</v>
      </c>
      <c r="D10" s="427">
        <v>167598477.16927388</v>
      </c>
      <c r="E10" s="427">
        <v>181356581.29142401</v>
      </c>
      <c r="F10" s="426">
        <v>2672404.919051908</v>
      </c>
      <c r="G10" s="427">
        <v>15657181.009355461</v>
      </c>
      <c r="H10" s="427">
        <v>18329585.928407364</v>
      </c>
      <c r="I10" s="426">
        <v>596455.15651091642</v>
      </c>
      <c r="J10" s="427">
        <v>2034468.7695826141</v>
      </c>
      <c r="K10" s="431">
        <v>2630923.9260935304</v>
      </c>
    </row>
    <row r="11" spans="1:11">
      <c r="A11" s="430">
        <v>3</v>
      </c>
      <c r="B11" s="406" t="s">
        <v>814</v>
      </c>
      <c r="C11" s="426">
        <v>78538621.149886325</v>
      </c>
      <c r="D11" s="427">
        <v>623541509.14959896</v>
      </c>
      <c r="E11" s="427">
        <v>702080130.29948533</v>
      </c>
      <c r="F11" s="426">
        <v>33481824.403177965</v>
      </c>
      <c r="G11" s="427">
        <v>36718032.483506806</v>
      </c>
      <c r="H11" s="427">
        <v>70199856.88668479</v>
      </c>
      <c r="I11" s="426">
        <v>23276626.721619327</v>
      </c>
      <c r="J11" s="427">
        <v>22004593.159176018</v>
      </c>
      <c r="K11" s="431">
        <v>45281219.880795337</v>
      </c>
    </row>
    <row r="12" spans="1:11">
      <c r="A12" s="430">
        <v>4</v>
      </c>
      <c r="B12" s="406" t="s">
        <v>815</v>
      </c>
      <c r="C12" s="426">
        <v>0</v>
      </c>
      <c r="D12" s="427">
        <v>0</v>
      </c>
      <c r="E12" s="427">
        <v>0</v>
      </c>
      <c r="F12" s="426">
        <v>0</v>
      </c>
      <c r="G12" s="427">
        <v>0</v>
      </c>
      <c r="H12" s="427">
        <v>0</v>
      </c>
      <c r="I12" s="426">
        <v>0</v>
      </c>
      <c r="J12" s="427">
        <v>0</v>
      </c>
      <c r="K12" s="431">
        <v>0</v>
      </c>
    </row>
    <row r="13" spans="1:11" ht="27.6">
      <c r="A13" s="430">
        <v>5</v>
      </c>
      <c r="B13" s="418" t="s">
        <v>816</v>
      </c>
      <c r="C13" s="426">
        <v>37695554.148295455</v>
      </c>
      <c r="D13" s="427">
        <v>60862668.496053167</v>
      </c>
      <c r="E13" s="427">
        <v>98558222.644348577</v>
      </c>
      <c r="F13" s="426">
        <v>7129782.1079920465</v>
      </c>
      <c r="G13" s="427">
        <v>11906868.07274811</v>
      </c>
      <c r="H13" s="427">
        <v>19036650.180740163</v>
      </c>
      <c r="I13" s="426">
        <v>2559895.6196931819</v>
      </c>
      <c r="J13" s="427">
        <v>4191133.9549365402</v>
      </c>
      <c r="K13" s="431">
        <v>6751029.5746297212</v>
      </c>
    </row>
    <row r="14" spans="1:11" ht="41.4">
      <c r="A14" s="430">
        <v>6</v>
      </c>
      <c r="B14" s="418" t="s">
        <v>817</v>
      </c>
      <c r="C14" s="426"/>
      <c r="D14" s="427"/>
      <c r="E14" s="427"/>
      <c r="F14" s="426"/>
      <c r="G14" s="427"/>
      <c r="H14" s="427"/>
      <c r="I14" s="426"/>
      <c r="J14" s="427"/>
      <c r="K14" s="431"/>
    </row>
    <row r="15" spans="1:11">
      <c r="A15" s="430">
        <v>7</v>
      </c>
      <c r="B15" s="406" t="s">
        <v>818</v>
      </c>
      <c r="C15" s="426">
        <v>7591475.7386363633</v>
      </c>
      <c r="D15" s="427">
        <v>13945679.306818182</v>
      </c>
      <c r="E15" s="427">
        <v>21537155.045454547</v>
      </c>
      <c r="F15" s="426">
        <v>2295295.7915479988</v>
      </c>
      <c r="G15" s="427">
        <v>2747599.6086367615</v>
      </c>
      <c r="H15" s="427">
        <v>5042895.4001847599</v>
      </c>
      <c r="I15" s="426">
        <v>2295295.7915479988</v>
      </c>
      <c r="J15" s="427">
        <v>2747599.6086367615</v>
      </c>
      <c r="K15" s="431">
        <v>5042895.4001847599</v>
      </c>
    </row>
    <row r="16" spans="1:11">
      <c r="A16" s="430">
        <v>8</v>
      </c>
      <c r="B16" s="407" t="s">
        <v>819</v>
      </c>
      <c r="C16" s="428">
        <f>SUM(C10:C15)</f>
        <v>137583755.1589683</v>
      </c>
      <c r="D16" s="428">
        <f t="shared" ref="D16:E16" si="0">SUM(D10:D15)</f>
        <v>865948334.12174416</v>
      </c>
      <c r="E16" s="428">
        <f t="shared" si="0"/>
        <v>1003532089.2807125</v>
      </c>
      <c r="F16" s="428">
        <f t="shared" ref="F16" si="1">SUM(F10:F15)</f>
        <v>45579307.221769921</v>
      </c>
      <c r="G16" s="428">
        <f t="shared" ref="G16" si="2">SUM(G10:G15)</f>
        <v>67029681.174247138</v>
      </c>
      <c r="H16" s="428">
        <f t="shared" ref="H16" si="3">SUM(H10:H15)</f>
        <v>112608988.39601707</v>
      </c>
      <c r="I16" s="428">
        <f t="shared" ref="I16" si="4">SUM(I10:I15)</f>
        <v>28728273.289371423</v>
      </c>
      <c r="J16" s="428">
        <f t="shared" ref="J16" si="5">SUM(J10:J15)</f>
        <v>30977795.492331937</v>
      </c>
      <c r="K16" s="432">
        <f t="shared" ref="K16" si="6">SUM(K10:K15)</f>
        <v>59706068.781703353</v>
      </c>
    </row>
    <row r="17" spans="1:11">
      <c r="A17" s="401" t="s">
        <v>820</v>
      </c>
      <c r="B17" s="402"/>
      <c r="C17" s="426"/>
      <c r="D17" s="427"/>
      <c r="E17" s="427"/>
      <c r="F17" s="426"/>
      <c r="G17" s="427"/>
      <c r="H17" s="427"/>
      <c r="I17" s="426"/>
      <c r="J17" s="427"/>
      <c r="K17" s="431"/>
    </row>
    <row r="18" spans="1:11">
      <c r="A18" s="430">
        <v>9</v>
      </c>
      <c r="B18" s="406" t="s">
        <v>821</v>
      </c>
      <c r="C18" s="426">
        <v>0</v>
      </c>
      <c r="D18" s="427">
        <v>0</v>
      </c>
      <c r="E18" s="427">
        <v>0</v>
      </c>
      <c r="F18" s="426">
        <v>0</v>
      </c>
      <c r="G18" s="427">
        <v>0</v>
      </c>
      <c r="H18" s="427">
        <v>0</v>
      </c>
      <c r="I18" s="426">
        <v>0</v>
      </c>
      <c r="J18" s="427">
        <v>0</v>
      </c>
      <c r="K18" s="431">
        <v>0</v>
      </c>
    </row>
    <row r="19" spans="1:11">
      <c r="A19" s="430">
        <v>10</v>
      </c>
      <c r="B19" s="406" t="s">
        <v>822</v>
      </c>
      <c r="C19" s="426">
        <v>209705675.94772717</v>
      </c>
      <c r="D19" s="427">
        <v>326037351.24702245</v>
      </c>
      <c r="E19" s="427">
        <v>535743027.19474977</v>
      </c>
      <c r="F19" s="426">
        <v>3036248.9800701453</v>
      </c>
      <c r="G19" s="427">
        <v>2584351.4566468638</v>
      </c>
      <c r="H19" s="427">
        <v>5620600.4367170101</v>
      </c>
      <c r="I19" s="426">
        <v>37043798.922683768</v>
      </c>
      <c r="J19" s="427">
        <v>88886757.565060481</v>
      </c>
      <c r="K19" s="431">
        <v>125930556.48774427</v>
      </c>
    </row>
    <row r="20" spans="1:11">
      <c r="A20" s="430">
        <v>11</v>
      </c>
      <c r="B20" s="406" t="s">
        <v>823</v>
      </c>
      <c r="C20" s="426">
        <v>14181832.46363637</v>
      </c>
      <c r="D20" s="427">
        <v>1605898.3114772735</v>
      </c>
      <c r="E20" s="427">
        <v>15787730.775113637</v>
      </c>
      <c r="F20" s="426">
        <v>0</v>
      </c>
      <c r="G20" s="427">
        <v>0</v>
      </c>
      <c r="H20" s="427">
        <v>0</v>
      </c>
      <c r="I20" s="426">
        <v>0</v>
      </c>
      <c r="J20" s="427">
        <v>0</v>
      </c>
      <c r="K20" s="431">
        <v>0</v>
      </c>
    </row>
    <row r="21" spans="1:11" ht="14.4" thickBot="1">
      <c r="A21" s="221">
        <v>12</v>
      </c>
      <c r="B21" s="433" t="s">
        <v>824</v>
      </c>
      <c r="C21" s="429">
        <f>SUM(C18:C20)</f>
        <v>223887508.41136354</v>
      </c>
      <c r="D21" s="429">
        <f t="shared" ref="D21:E21" si="7">SUM(D18:D20)</f>
        <v>327643249.55849969</v>
      </c>
      <c r="E21" s="429">
        <f t="shared" si="7"/>
        <v>551530757.96986341</v>
      </c>
      <c r="F21" s="429">
        <f t="shared" ref="F21" si="8">SUM(F18:F20)</f>
        <v>3036248.9800701453</v>
      </c>
      <c r="G21" s="429">
        <f t="shared" ref="G21" si="9">SUM(G18:G20)</f>
        <v>2584351.4566468638</v>
      </c>
      <c r="H21" s="429">
        <f t="shared" ref="H21" si="10">SUM(H18:H20)</f>
        <v>5620600.4367170101</v>
      </c>
      <c r="I21" s="429">
        <f t="shared" ref="I21" si="11">SUM(I18:I20)</f>
        <v>37043798.922683768</v>
      </c>
      <c r="J21" s="429">
        <f t="shared" ref="J21" si="12">SUM(J18:J20)</f>
        <v>88886757.565060481</v>
      </c>
      <c r="K21" s="434">
        <f t="shared" ref="K21" si="13">SUM(K18:K20)</f>
        <v>125930556.48774427</v>
      </c>
    </row>
    <row r="22" spans="1:11" ht="39" customHeight="1" thickBot="1">
      <c r="A22" s="408"/>
      <c r="B22" s="409"/>
      <c r="C22" s="409"/>
      <c r="D22" s="409"/>
      <c r="E22" s="409"/>
      <c r="F22" s="591" t="s">
        <v>825</v>
      </c>
      <c r="G22" s="589"/>
      <c r="H22" s="589"/>
      <c r="I22" s="591" t="s">
        <v>826</v>
      </c>
      <c r="J22" s="589"/>
      <c r="K22" s="590"/>
    </row>
    <row r="23" spans="1:11">
      <c r="A23" s="410">
        <v>13</v>
      </c>
      <c r="B23" s="411" t="s">
        <v>811</v>
      </c>
      <c r="C23" s="412"/>
      <c r="D23" s="412"/>
      <c r="E23" s="412"/>
      <c r="F23" s="438">
        <f>F8</f>
        <v>70280945.170000002</v>
      </c>
      <c r="G23" s="438">
        <f t="shared" ref="G23:K23" si="14">G8</f>
        <v>191503953.41272914</v>
      </c>
      <c r="H23" s="438">
        <f t="shared" si="14"/>
        <v>261784898.58272907</v>
      </c>
      <c r="I23" s="438">
        <f t="shared" si="14"/>
        <v>36341245.554431811</v>
      </c>
      <c r="J23" s="438">
        <f t="shared" si="14"/>
        <v>152578856.71272457</v>
      </c>
      <c r="K23" s="439">
        <f t="shared" si="14"/>
        <v>188920102.26715645</v>
      </c>
    </row>
    <row r="24" spans="1:11" ht="14.4" thickBot="1">
      <c r="A24" s="413">
        <v>14</v>
      </c>
      <c r="B24" s="414" t="s">
        <v>827</v>
      </c>
      <c r="C24" s="435"/>
      <c r="D24" s="436"/>
      <c r="E24" s="437"/>
      <c r="F24" s="440">
        <f>MAX(F16-F21,F16*0.25)</f>
        <v>42543058.241699778</v>
      </c>
      <c r="G24" s="440">
        <f t="shared" ref="G24:K24" si="15">MAX(G16-G21,G16*0.25)</f>
        <v>64445329.717600271</v>
      </c>
      <c r="H24" s="440">
        <f t="shared" si="15"/>
        <v>106988387.95930007</v>
      </c>
      <c r="I24" s="440">
        <f t="shared" si="15"/>
        <v>7182068.3223428559</v>
      </c>
      <c r="J24" s="440">
        <f t="shared" si="15"/>
        <v>7744448.8730829842</v>
      </c>
      <c r="K24" s="441">
        <f t="shared" si="15"/>
        <v>14926517.195425838</v>
      </c>
    </row>
    <row r="25" spans="1:11" ht="14.4" thickBot="1">
      <c r="A25" s="415">
        <v>15</v>
      </c>
      <c r="B25" s="416" t="s">
        <v>806</v>
      </c>
      <c r="C25" s="417"/>
      <c r="D25" s="417"/>
      <c r="E25" s="417"/>
      <c r="F25" s="442">
        <f>F23/F24</f>
        <v>1.6519956033887604</v>
      </c>
      <c r="G25" s="442">
        <f t="shared" ref="G25:H25" si="16">G23/G24</f>
        <v>2.9715722497177119</v>
      </c>
      <c r="H25" s="442">
        <f t="shared" si="16"/>
        <v>2.446853378913568</v>
      </c>
      <c r="I25" s="442">
        <f t="shared" ref="I25" si="17">I23/I24</f>
        <v>5.0599971934793526</v>
      </c>
      <c r="J25" s="442">
        <f t="shared" ref="J25" si="18">J23/J24</f>
        <v>19.701706243169312</v>
      </c>
      <c r="K25" s="443">
        <f t="shared" ref="K25" si="19">K23/K24</f>
        <v>12.65667669113396</v>
      </c>
    </row>
    <row r="26" spans="1:11">
      <c r="F26" s="498"/>
      <c r="G26" s="498"/>
      <c r="H26" s="498"/>
      <c r="I26" s="498"/>
      <c r="J26" s="498"/>
      <c r="K26" s="498"/>
    </row>
    <row r="28" spans="1:11" ht="55.2">
      <c r="B28" s="496" t="s">
        <v>891</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activeCell="C8" sqref="C8"/>
    </sheetView>
  </sheetViews>
  <sheetFormatPr defaultColWidth="9.109375" defaultRowHeight="13.8"/>
  <cols>
    <col min="1" max="1" width="8.33203125" style="67" customWidth="1"/>
    <col min="2" max="2" width="56.88671875" style="67" customWidth="1"/>
    <col min="3" max="3" width="12.5546875" style="67" bestFit="1" customWidth="1"/>
    <col min="4" max="4" width="10" style="67" bestFit="1" customWidth="1"/>
    <col min="5" max="5" width="13.6640625" style="67" customWidth="1"/>
    <col min="6" max="13" width="10.33203125" style="67" customWidth="1"/>
    <col min="14" max="14" width="19.88671875" style="67" customWidth="1"/>
    <col min="15" max="16384" width="9.109375" style="8"/>
  </cols>
  <sheetData>
    <row r="1" spans="1:14" ht="14.4">
      <c r="A1" s="67" t="s">
        <v>227</v>
      </c>
      <c r="B1" s="319" t="s">
        <v>752</v>
      </c>
    </row>
    <row r="2" spans="1:14" ht="14.25" customHeight="1">
      <c r="A2" s="67" t="s">
        <v>228</v>
      </c>
      <c r="B2" s="322">
        <f>'1. key ratios'!B2</f>
        <v>43555</v>
      </c>
    </row>
    <row r="3" spans="1:14" ht="14.25" customHeight="1"/>
    <row r="4" spans="1:14" ht="14.4" thickBot="1">
      <c r="A4" s="2" t="s">
        <v>663</v>
      </c>
      <c r="B4" s="91" t="s">
        <v>78</v>
      </c>
    </row>
    <row r="5" spans="1:14" s="18" customFormat="1">
      <c r="A5" s="172"/>
      <c r="B5" s="173"/>
      <c r="C5" s="174" t="s">
        <v>0</v>
      </c>
      <c r="D5" s="174" t="s">
        <v>1</v>
      </c>
      <c r="E5" s="174" t="s">
        <v>2</v>
      </c>
      <c r="F5" s="174" t="s">
        <v>3</v>
      </c>
      <c r="G5" s="174" t="s">
        <v>4</v>
      </c>
      <c r="H5" s="174" t="s">
        <v>5</v>
      </c>
      <c r="I5" s="174" t="s">
        <v>275</v>
      </c>
      <c r="J5" s="174" t="s">
        <v>276</v>
      </c>
      <c r="K5" s="174" t="s">
        <v>277</v>
      </c>
      <c r="L5" s="174" t="s">
        <v>278</v>
      </c>
      <c r="M5" s="174" t="s">
        <v>279</v>
      </c>
      <c r="N5" s="175" t="s">
        <v>280</v>
      </c>
    </row>
    <row r="6" spans="1:14" ht="72" customHeight="1">
      <c r="A6" s="165"/>
      <c r="B6" s="103"/>
      <c r="C6" s="104" t="s">
        <v>88</v>
      </c>
      <c r="D6" s="105" t="s">
        <v>77</v>
      </c>
      <c r="E6" s="106" t="s">
        <v>87</v>
      </c>
      <c r="F6" s="107">
        <v>0</v>
      </c>
      <c r="G6" s="107">
        <v>0.2</v>
      </c>
      <c r="H6" s="107">
        <v>0.35</v>
      </c>
      <c r="I6" s="107">
        <v>0.5</v>
      </c>
      <c r="J6" s="107">
        <v>0.75</v>
      </c>
      <c r="K6" s="107">
        <v>1</v>
      </c>
      <c r="L6" s="107">
        <v>1.5</v>
      </c>
      <c r="M6" s="107">
        <v>2.5</v>
      </c>
      <c r="N6" s="166" t="s">
        <v>78</v>
      </c>
    </row>
    <row r="7" spans="1:14">
      <c r="A7" s="167">
        <v>1</v>
      </c>
      <c r="B7" s="108" t="s">
        <v>79</v>
      </c>
      <c r="C7" s="308">
        <f>SUM(C8:C13)</f>
        <v>0</v>
      </c>
      <c r="D7" s="103"/>
      <c r="E7" s="311">
        <f>SUM(E8:E12)</f>
        <v>0</v>
      </c>
      <c r="F7" s="311">
        <f t="shared" ref="F7:N7" si="0">SUM(F8:F12)</f>
        <v>0</v>
      </c>
      <c r="G7" s="311">
        <f t="shared" si="0"/>
        <v>0</v>
      </c>
      <c r="H7" s="311">
        <f t="shared" si="0"/>
        <v>0</v>
      </c>
      <c r="I7" s="311">
        <f t="shared" si="0"/>
        <v>0</v>
      </c>
      <c r="J7" s="311">
        <f t="shared" si="0"/>
        <v>0</v>
      </c>
      <c r="K7" s="311">
        <f t="shared" si="0"/>
        <v>0</v>
      </c>
      <c r="L7" s="311">
        <f t="shared" si="0"/>
        <v>0</v>
      </c>
      <c r="M7" s="311">
        <f t="shared" si="0"/>
        <v>0</v>
      </c>
      <c r="N7" s="317">
        <f t="shared" si="0"/>
        <v>0</v>
      </c>
    </row>
    <row r="8" spans="1:14">
      <c r="A8" s="167">
        <v>1.1000000000000001</v>
      </c>
      <c r="B8" s="109" t="s">
        <v>80</v>
      </c>
      <c r="C8" s="309"/>
      <c r="D8" s="110">
        <v>0.02</v>
      </c>
      <c r="E8" s="311">
        <f>C8*D8</f>
        <v>0</v>
      </c>
      <c r="F8" s="309"/>
      <c r="G8" s="309"/>
      <c r="H8" s="309"/>
      <c r="I8" s="309"/>
      <c r="J8" s="309"/>
      <c r="K8" s="309">
        <f>E8</f>
        <v>0</v>
      </c>
      <c r="L8" s="309"/>
      <c r="M8" s="309"/>
      <c r="N8" s="168">
        <f t="shared" ref="N8:N13" si="1">SUMPRODUCT($F$6:$M$6,F8:M8)</f>
        <v>0</v>
      </c>
    </row>
    <row r="9" spans="1:14">
      <c r="A9" s="167">
        <v>1.2</v>
      </c>
      <c r="B9" s="109" t="s">
        <v>81</v>
      </c>
      <c r="C9" s="309"/>
      <c r="D9" s="110">
        <v>0.05</v>
      </c>
      <c r="E9" s="311">
        <f>C9*D9</f>
        <v>0</v>
      </c>
      <c r="F9" s="309"/>
      <c r="G9" s="309"/>
      <c r="H9" s="309"/>
      <c r="I9" s="309"/>
      <c r="J9" s="309"/>
      <c r="K9" s="309"/>
      <c r="L9" s="309"/>
      <c r="M9" s="309"/>
      <c r="N9" s="168">
        <f t="shared" si="1"/>
        <v>0</v>
      </c>
    </row>
    <row r="10" spans="1:14">
      <c r="A10" s="167">
        <v>1.3</v>
      </c>
      <c r="B10" s="109" t="s">
        <v>82</v>
      </c>
      <c r="C10" s="309"/>
      <c r="D10" s="110">
        <v>0.08</v>
      </c>
      <c r="E10" s="311">
        <f>C10*D10</f>
        <v>0</v>
      </c>
      <c r="F10" s="309"/>
      <c r="G10" s="309"/>
      <c r="H10" s="309"/>
      <c r="I10" s="309"/>
      <c r="J10" s="309"/>
      <c r="K10" s="309"/>
      <c r="L10" s="309"/>
      <c r="M10" s="309"/>
      <c r="N10" s="168">
        <f t="shared" si="1"/>
        <v>0</v>
      </c>
    </row>
    <row r="11" spans="1:14">
      <c r="A11" s="167">
        <v>1.4</v>
      </c>
      <c r="B11" s="109" t="s">
        <v>83</v>
      </c>
      <c r="C11" s="309"/>
      <c r="D11" s="110">
        <v>0.11</v>
      </c>
      <c r="E11" s="311">
        <f>C11*D11</f>
        <v>0</v>
      </c>
      <c r="F11" s="309"/>
      <c r="G11" s="309"/>
      <c r="H11" s="309"/>
      <c r="I11" s="309"/>
      <c r="J11" s="309"/>
      <c r="K11" s="309"/>
      <c r="L11" s="309"/>
      <c r="M11" s="309"/>
      <c r="N11" s="168">
        <f t="shared" si="1"/>
        <v>0</v>
      </c>
    </row>
    <row r="12" spans="1:14">
      <c r="A12" s="167">
        <v>1.5</v>
      </c>
      <c r="B12" s="109" t="s">
        <v>84</v>
      </c>
      <c r="C12" s="309"/>
      <c r="D12" s="110">
        <v>0.14000000000000001</v>
      </c>
      <c r="E12" s="311">
        <f>C12*D12</f>
        <v>0</v>
      </c>
      <c r="F12" s="309"/>
      <c r="G12" s="309"/>
      <c r="H12" s="309"/>
      <c r="I12" s="309"/>
      <c r="J12" s="309"/>
      <c r="K12" s="309"/>
      <c r="L12" s="309"/>
      <c r="M12" s="309"/>
      <c r="N12" s="168">
        <f t="shared" si="1"/>
        <v>0</v>
      </c>
    </row>
    <row r="13" spans="1:14">
      <c r="A13" s="167">
        <v>1.6</v>
      </c>
      <c r="B13" s="111" t="s">
        <v>85</v>
      </c>
      <c r="C13" s="309"/>
      <c r="D13" s="112"/>
      <c r="E13" s="309"/>
      <c r="F13" s="309"/>
      <c r="G13" s="309"/>
      <c r="H13" s="309"/>
      <c r="I13" s="309"/>
      <c r="J13" s="309"/>
      <c r="K13" s="309"/>
      <c r="L13" s="309"/>
      <c r="M13" s="309"/>
      <c r="N13" s="168">
        <f t="shared" si="1"/>
        <v>0</v>
      </c>
    </row>
    <row r="14" spans="1:14" ht="27.6">
      <c r="A14" s="167">
        <v>2</v>
      </c>
      <c r="B14" s="113" t="s">
        <v>86</v>
      </c>
      <c r="C14" s="308">
        <f>SUM(C15:C20)</f>
        <v>0</v>
      </c>
      <c r="D14" s="103"/>
      <c r="E14" s="311">
        <f>SUM(E15:E19)</f>
        <v>0</v>
      </c>
      <c r="F14" s="311">
        <f t="shared" ref="F14:N14" si="2">SUM(F15:F19)</f>
        <v>0</v>
      </c>
      <c r="G14" s="311">
        <f t="shared" si="2"/>
        <v>0</v>
      </c>
      <c r="H14" s="311">
        <f t="shared" si="2"/>
        <v>0</v>
      </c>
      <c r="I14" s="311">
        <f t="shared" si="2"/>
        <v>0</v>
      </c>
      <c r="J14" s="311">
        <f t="shared" si="2"/>
        <v>0</v>
      </c>
      <c r="K14" s="311">
        <f t="shared" si="2"/>
        <v>0</v>
      </c>
      <c r="L14" s="311">
        <f t="shared" si="2"/>
        <v>0</v>
      </c>
      <c r="M14" s="311">
        <f t="shared" si="2"/>
        <v>0</v>
      </c>
      <c r="N14" s="317">
        <f t="shared" si="2"/>
        <v>0</v>
      </c>
    </row>
    <row r="15" spans="1:14">
      <c r="A15" s="167">
        <v>2.1</v>
      </c>
      <c r="B15" s="111" t="s">
        <v>80</v>
      </c>
      <c r="C15" s="309"/>
      <c r="D15" s="110">
        <v>5.0000000000000001E-3</v>
      </c>
      <c r="E15" s="311">
        <f>D15*C15</f>
        <v>0</v>
      </c>
      <c r="F15" s="309"/>
      <c r="G15" s="309"/>
      <c r="H15" s="309"/>
      <c r="I15" s="309"/>
      <c r="J15" s="309"/>
      <c r="K15" s="309"/>
      <c r="L15" s="309"/>
      <c r="M15" s="309"/>
      <c r="N15" s="168">
        <f t="shared" ref="N15:N20" si="3">SUMPRODUCT($F$6:$M$6,F15:M15)</f>
        <v>0</v>
      </c>
    </row>
    <row r="16" spans="1:14">
      <c r="A16" s="167">
        <v>2.2000000000000002</v>
      </c>
      <c r="B16" s="111" t="s">
        <v>81</v>
      </c>
      <c r="C16" s="309"/>
      <c r="D16" s="110">
        <v>0.01</v>
      </c>
      <c r="E16" s="311">
        <f>D16*C16</f>
        <v>0</v>
      </c>
      <c r="F16" s="309"/>
      <c r="G16" s="309"/>
      <c r="H16" s="309"/>
      <c r="I16" s="309"/>
      <c r="J16" s="309"/>
      <c r="K16" s="309"/>
      <c r="L16" s="309"/>
      <c r="M16" s="309"/>
      <c r="N16" s="168">
        <f t="shared" si="3"/>
        <v>0</v>
      </c>
    </row>
    <row r="17" spans="1:14">
      <c r="A17" s="167">
        <v>2.2999999999999998</v>
      </c>
      <c r="B17" s="111" t="s">
        <v>82</v>
      </c>
      <c r="C17" s="309"/>
      <c r="D17" s="110">
        <v>0.02</v>
      </c>
      <c r="E17" s="311">
        <f>D17*C17</f>
        <v>0</v>
      </c>
      <c r="F17" s="309"/>
      <c r="G17" s="309"/>
      <c r="H17" s="309"/>
      <c r="I17" s="309"/>
      <c r="J17" s="309"/>
      <c r="K17" s="309"/>
      <c r="L17" s="309"/>
      <c r="M17" s="309"/>
      <c r="N17" s="168">
        <f t="shared" si="3"/>
        <v>0</v>
      </c>
    </row>
    <row r="18" spans="1:14">
      <c r="A18" s="167">
        <v>2.4</v>
      </c>
      <c r="B18" s="111" t="s">
        <v>83</v>
      </c>
      <c r="C18" s="309"/>
      <c r="D18" s="110">
        <v>0.03</v>
      </c>
      <c r="E18" s="311">
        <f>D18*C18</f>
        <v>0</v>
      </c>
      <c r="F18" s="309"/>
      <c r="G18" s="309"/>
      <c r="H18" s="309"/>
      <c r="I18" s="309"/>
      <c r="J18" s="309"/>
      <c r="K18" s="309"/>
      <c r="L18" s="309"/>
      <c r="M18" s="309"/>
      <c r="N18" s="168">
        <f t="shared" si="3"/>
        <v>0</v>
      </c>
    </row>
    <row r="19" spans="1:14">
      <c r="A19" s="167">
        <v>2.5</v>
      </c>
      <c r="B19" s="111" t="s">
        <v>84</v>
      </c>
      <c r="C19" s="309"/>
      <c r="D19" s="110">
        <v>0.04</v>
      </c>
      <c r="E19" s="311">
        <f>D19*C19</f>
        <v>0</v>
      </c>
      <c r="F19" s="309"/>
      <c r="G19" s="309"/>
      <c r="H19" s="309"/>
      <c r="I19" s="309"/>
      <c r="J19" s="309"/>
      <c r="K19" s="309"/>
      <c r="L19" s="309"/>
      <c r="M19" s="309"/>
      <c r="N19" s="168">
        <f t="shared" si="3"/>
        <v>0</v>
      </c>
    </row>
    <row r="20" spans="1:14">
      <c r="A20" s="167">
        <v>2.6</v>
      </c>
      <c r="B20" s="111" t="s">
        <v>85</v>
      </c>
      <c r="C20" s="309"/>
      <c r="D20" s="112"/>
      <c r="E20" s="312"/>
      <c r="F20" s="309"/>
      <c r="G20" s="309"/>
      <c r="H20" s="309"/>
      <c r="I20" s="309"/>
      <c r="J20" s="309"/>
      <c r="K20" s="309"/>
      <c r="L20" s="309"/>
      <c r="M20" s="309"/>
      <c r="N20" s="168">
        <f t="shared" si="3"/>
        <v>0</v>
      </c>
    </row>
    <row r="21" spans="1:14" ht="14.4" thickBot="1">
      <c r="A21" s="169">
        <v>3</v>
      </c>
      <c r="B21" s="170" t="s">
        <v>69</v>
      </c>
      <c r="C21" s="310">
        <f>C7+C14</f>
        <v>0</v>
      </c>
      <c r="D21" s="171"/>
      <c r="E21" s="313">
        <f>SUM(E7+E14)</f>
        <v>0</v>
      </c>
      <c r="F21" s="313">
        <f t="shared" ref="F21:N21" si="4">SUM(F7+F14)</f>
        <v>0</v>
      </c>
      <c r="G21" s="313">
        <f t="shared" si="4"/>
        <v>0</v>
      </c>
      <c r="H21" s="313">
        <f t="shared" si="4"/>
        <v>0</v>
      </c>
      <c r="I21" s="313">
        <f t="shared" si="4"/>
        <v>0</v>
      </c>
      <c r="J21" s="313">
        <f t="shared" si="4"/>
        <v>0</v>
      </c>
      <c r="K21" s="313">
        <f t="shared" si="4"/>
        <v>0</v>
      </c>
      <c r="L21" s="313">
        <f t="shared" si="4"/>
        <v>0</v>
      </c>
      <c r="M21" s="313">
        <f t="shared" si="4"/>
        <v>0</v>
      </c>
      <c r="N21" s="318">
        <f t="shared" si="4"/>
        <v>0</v>
      </c>
    </row>
    <row r="22" spans="1:14">
      <c r="E22" s="314"/>
      <c r="F22" s="314"/>
      <c r="G22" s="314"/>
      <c r="H22" s="314"/>
      <c r="I22" s="314"/>
      <c r="J22" s="314"/>
      <c r="K22" s="314"/>
      <c r="L22" s="314"/>
      <c r="M22"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2" sqref="B2"/>
    </sheetView>
  </sheetViews>
  <sheetFormatPr defaultRowHeight="14.4"/>
  <cols>
    <col min="1" max="1" width="11.44140625" customWidth="1"/>
    <col min="2" max="2" width="76.88671875" style="4" customWidth="1"/>
    <col min="3" max="3" width="22.88671875" customWidth="1"/>
  </cols>
  <sheetData>
    <row r="1" spans="1:3">
      <c r="A1" s="2" t="s">
        <v>227</v>
      </c>
      <c r="B1" t="str">
        <f>Info!C2</f>
        <v>სს "ბანკი ქართუ"</v>
      </c>
    </row>
    <row r="2" spans="1:3">
      <c r="A2" s="2" t="s">
        <v>228</v>
      </c>
      <c r="B2" s="322">
        <f>'1. key ratios'!B2</f>
        <v>43555</v>
      </c>
    </row>
    <row r="3" spans="1:3">
      <c r="A3" s="2"/>
      <c r="B3"/>
    </row>
    <row r="4" spans="1:3">
      <c r="A4" s="2" t="s">
        <v>941</v>
      </c>
      <c r="B4" t="s">
        <v>905</v>
      </c>
    </row>
    <row r="5" spans="1:3">
      <c r="A5" s="529"/>
      <c r="B5" s="529" t="s">
        <v>940</v>
      </c>
      <c r="C5" s="528"/>
    </row>
    <row r="6" spans="1:3">
      <c r="A6" s="527">
        <v>1</v>
      </c>
      <c r="B6" s="519" t="s">
        <v>940</v>
      </c>
      <c r="C6" s="518">
        <v>1084782374.934181</v>
      </c>
    </row>
    <row r="7" spans="1:3">
      <c r="A7" s="527">
        <v>2</v>
      </c>
      <c r="B7" s="519" t="s">
        <v>939</v>
      </c>
      <c r="C7" s="518">
        <v>-5095122</v>
      </c>
    </row>
    <row r="8" spans="1:3">
      <c r="A8" s="526">
        <v>3</v>
      </c>
      <c r="B8" s="525" t="s">
        <v>938</v>
      </c>
      <c r="C8" s="512">
        <f>SUM(C6:C7)</f>
        <v>1079687252.934181</v>
      </c>
    </row>
    <row r="9" spans="1:3">
      <c r="A9" s="515"/>
      <c r="B9" s="515" t="s">
        <v>937</v>
      </c>
      <c r="C9" s="510"/>
    </row>
    <row r="10" spans="1:3">
      <c r="A10" s="516">
        <v>4</v>
      </c>
      <c r="B10" s="508" t="s">
        <v>936</v>
      </c>
      <c r="C10" s="518"/>
    </row>
    <row r="11" spans="1:3">
      <c r="A11" s="516">
        <v>5</v>
      </c>
      <c r="B11" s="506" t="s">
        <v>935</v>
      </c>
      <c r="C11" s="518"/>
    </row>
    <row r="12" spans="1:3">
      <c r="A12" s="516" t="s">
        <v>934</v>
      </c>
      <c r="B12" s="519" t="s">
        <v>933</v>
      </c>
      <c r="C12" s="512"/>
    </row>
    <row r="13" spans="1:3">
      <c r="A13" s="520">
        <v>6</v>
      </c>
      <c r="B13" s="524" t="s">
        <v>932</v>
      </c>
      <c r="C13" s="518"/>
    </row>
    <row r="14" spans="1:3">
      <c r="A14" s="520">
        <v>7</v>
      </c>
      <c r="B14" s="522" t="s">
        <v>931</v>
      </c>
      <c r="C14" s="518"/>
    </row>
    <row r="15" spans="1:3">
      <c r="A15" s="523">
        <v>8</v>
      </c>
      <c r="B15" s="519" t="s">
        <v>930</v>
      </c>
      <c r="C15" s="518"/>
    </row>
    <row r="16" spans="1:3" ht="22.8">
      <c r="A16" s="520">
        <v>9</v>
      </c>
      <c r="B16" s="522" t="s">
        <v>929</v>
      </c>
      <c r="C16" s="518"/>
    </row>
    <row r="17" spans="1:3">
      <c r="A17" s="520">
        <v>10</v>
      </c>
      <c r="B17" s="522" t="s">
        <v>928</v>
      </c>
      <c r="C17" s="518"/>
    </row>
    <row r="18" spans="1:3">
      <c r="A18" s="514">
        <v>11</v>
      </c>
      <c r="B18" s="513" t="s">
        <v>927</v>
      </c>
      <c r="C18" s="512">
        <f>SUM(C10:C17)</f>
        <v>0</v>
      </c>
    </row>
    <row r="19" spans="1:3">
      <c r="A19" s="515"/>
      <c r="B19" s="515" t="s">
        <v>926</v>
      </c>
      <c r="C19" s="521"/>
    </row>
    <row r="20" spans="1:3">
      <c r="A20" s="520">
        <v>12</v>
      </c>
      <c r="B20" s="508" t="s">
        <v>925</v>
      </c>
      <c r="C20" s="518"/>
    </row>
    <row r="21" spans="1:3">
      <c r="A21" s="520">
        <v>13</v>
      </c>
      <c r="B21" s="508" t="s">
        <v>924</v>
      </c>
      <c r="C21" s="518"/>
    </row>
    <row r="22" spans="1:3">
      <c r="A22" s="520">
        <v>14</v>
      </c>
      <c r="B22" s="508" t="s">
        <v>923</v>
      </c>
      <c r="C22" s="518"/>
    </row>
    <row r="23" spans="1:3" ht="22.8">
      <c r="A23" s="520" t="s">
        <v>922</v>
      </c>
      <c r="B23" s="508" t="s">
        <v>921</v>
      </c>
      <c r="C23" s="518"/>
    </row>
    <row r="24" spans="1:3">
      <c r="A24" s="520">
        <v>15</v>
      </c>
      <c r="B24" s="508" t="s">
        <v>920</v>
      </c>
      <c r="C24" s="518"/>
    </row>
    <row r="25" spans="1:3">
      <c r="A25" s="520" t="s">
        <v>919</v>
      </c>
      <c r="B25" s="519" t="s">
        <v>918</v>
      </c>
      <c r="C25" s="518"/>
    </row>
    <row r="26" spans="1:3">
      <c r="A26" s="514">
        <v>16</v>
      </c>
      <c r="B26" s="513" t="s">
        <v>917</v>
      </c>
      <c r="C26" s="512">
        <f>SUM(C20:C25)</f>
        <v>0</v>
      </c>
    </row>
    <row r="27" spans="1:3">
      <c r="A27" s="515"/>
      <c r="B27" s="515" t="s">
        <v>916</v>
      </c>
      <c r="C27" s="510"/>
    </row>
    <row r="28" spans="1:3">
      <c r="A28" s="516">
        <v>17</v>
      </c>
      <c r="B28" s="519" t="s">
        <v>915</v>
      </c>
      <c r="C28" s="518">
        <v>85923998.884100914</v>
      </c>
    </row>
    <row r="29" spans="1:3">
      <c r="A29" s="516">
        <v>18</v>
      </c>
      <c r="B29" s="519" t="s">
        <v>914</v>
      </c>
      <c r="C29" s="518">
        <v>-14791391.354999974</v>
      </c>
    </row>
    <row r="30" spans="1:3">
      <c r="A30" s="514">
        <v>19</v>
      </c>
      <c r="B30" s="513" t="s">
        <v>913</v>
      </c>
      <c r="C30" s="512">
        <f>SUM(C28:C29)</f>
        <v>71132607.52910094</v>
      </c>
    </row>
    <row r="31" spans="1:3">
      <c r="A31" s="517"/>
      <c r="B31" s="515" t="s">
        <v>912</v>
      </c>
      <c r="C31" s="510"/>
    </row>
    <row r="32" spans="1:3">
      <c r="A32" s="516" t="s">
        <v>911</v>
      </c>
      <c r="B32" s="508" t="s">
        <v>910</v>
      </c>
      <c r="C32" s="505"/>
    </row>
    <row r="33" spans="1:3">
      <c r="A33" s="516" t="s">
        <v>909</v>
      </c>
      <c r="B33" s="506" t="s">
        <v>908</v>
      </c>
      <c r="C33" s="505"/>
    </row>
    <row r="34" spans="1:3">
      <c r="A34" s="515"/>
      <c r="B34" s="515" t="s">
        <v>907</v>
      </c>
      <c r="C34" s="510"/>
    </row>
    <row r="35" spans="1:3">
      <c r="A35" s="514">
        <v>20</v>
      </c>
      <c r="B35" s="513" t="s">
        <v>125</v>
      </c>
      <c r="C35" s="512">
        <v>205002460</v>
      </c>
    </row>
    <row r="36" spans="1:3">
      <c r="A36" s="514">
        <v>21</v>
      </c>
      <c r="B36" s="513" t="s">
        <v>906</v>
      </c>
      <c r="C36" s="512">
        <f>C8+C18+C26+C30</f>
        <v>1150819860.4632819</v>
      </c>
    </row>
    <row r="37" spans="1:3">
      <c r="A37" s="511"/>
      <c r="B37" s="511" t="s">
        <v>905</v>
      </c>
      <c r="C37" s="510"/>
    </row>
    <row r="38" spans="1:3">
      <c r="A38" s="514">
        <v>22</v>
      </c>
      <c r="B38" s="513" t="s">
        <v>905</v>
      </c>
      <c r="C38" s="530">
        <f>IFERROR(C35/C36,0)</f>
        <v>0.17813601158870582</v>
      </c>
    </row>
    <row r="39" spans="1:3">
      <c r="A39" s="511"/>
      <c r="B39" s="511" t="s">
        <v>904</v>
      </c>
      <c r="C39" s="510"/>
    </row>
    <row r="40" spans="1:3">
      <c r="A40" s="509" t="s">
        <v>903</v>
      </c>
      <c r="B40" s="508" t="s">
        <v>902</v>
      </c>
      <c r="C40" s="505"/>
    </row>
    <row r="41" spans="1:3">
      <c r="A41" s="507" t="s">
        <v>901</v>
      </c>
      <c r="B41" s="506" t="s">
        <v>900</v>
      </c>
      <c r="C41" s="50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topLeftCell="B28" zoomScale="145" zoomScaleNormal="145" workbookViewId="0">
      <selection activeCell="B38" sqref="B38:C38"/>
    </sheetView>
  </sheetViews>
  <sheetFormatPr defaultColWidth="43.5546875" defaultRowHeight="12"/>
  <cols>
    <col min="1" max="1" width="5.33203125" style="236" customWidth="1"/>
    <col min="2" max="2" width="66.109375" style="237" customWidth="1"/>
    <col min="3" max="3" width="131.44140625" style="238" customWidth="1"/>
    <col min="4" max="5" width="10.33203125" style="223" customWidth="1"/>
    <col min="6" max="16384" width="43.5546875" style="223"/>
  </cols>
  <sheetData>
    <row r="1" spans="1:3" ht="13.2" thickTop="1" thickBot="1">
      <c r="A1" s="607" t="s">
        <v>366</v>
      </c>
      <c r="B1" s="608"/>
      <c r="C1" s="609"/>
    </row>
    <row r="2" spans="1:3" ht="26.25" customHeight="1">
      <c r="A2" s="421"/>
      <c r="B2" s="645" t="s">
        <v>367</v>
      </c>
      <c r="C2" s="645"/>
    </row>
    <row r="3" spans="1:3" s="228" customFormat="1" ht="11.25" customHeight="1">
      <c r="A3" s="227"/>
      <c r="B3" s="645" t="s">
        <v>673</v>
      </c>
      <c r="C3" s="645"/>
    </row>
    <row r="4" spans="1:3" ht="12" customHeight="1" thickBot="1">
      <c r="A4" s="632" t="s">
        <v>677</v>
      </c>
      <c r="B4" s="633"/>
      <c r="C4" s="634"/>
    </row>
    <row r="5" spans="1:3" ht="12.6" thickTop="1">
      <c r="A5" s="224"/>
      <c r="B5" s="635" t="s">
        <v>368</v>
      </c>
      <c r="C5" s="636"/>
    </row>
    <row r="6" spans="1:3">
      <c r="A6" s="421"/>
      <c r="B6" s="619" t="s">
        <v>674</v>
      </c>
      <c r="C6" s="620"/>
    </row>
    <row r="7" spans="1:3">
      <c r="A7" s="421"/>
      <c r="B7" s="619" t="s">
        <v>369</v>
      </c>
      <c r="C7" s="620"/>
    </row>
    <row r="8" spans="1:3">
      <c r="A8" s="421"/>
      <c r="B8" s="619" t="s">
        <v>675</v>
      </c>
      <c r="C8" s="620"/>
    </row>
    <row r="9" spans="1:3">
      <c r="A9" s="421"/>
      <c r="B9" s="646" t="s">
        <v>676</v>
      </c>
      <c r="C9" s="647"/>
    </row>
    <row r="10" spans="1:3">
      <c r="A10" s="421"/>
      <c r="B10" s="637" t="s">
        <v>370</v>
      </c>
      <c r="C10" s="638" t="s">
        <v>370</v>
      </c>
    </row>
    <row r="11" spans="1:3">
      <c r="A11" s="421"/>
      <c r="B11" s="637" t="s">
        <v>371</v>
      </c>
      <c r="C11" s="638" t="s">
        <v>371</v>
      </c>
    </row>
    <row r="12" spans="1:3">
      <c r="A12" s="421"/>
      <c r="B12" s="637" t="s">
        <v>372</v>
      </c>
      <c r="C12" s="638" t="s">
        <v>372</v>
      </c>
    </row>
    <row r="13" spans="1:3">
      <c r="A13" s="421"/>
      <c r="B13" s="637" t="s">
        <v>373</v>
      </c>
      <c r="C13" s="638" t="s">
        <v>373</v>
      </c>
    </row>
    <row r="14" spans="1:3">
      <c r="A14" s="421"/>
      <c r="B14" s="637" t="s">
        <v>374</v>
      </c>
      <c r="C14" s="638" t="s">
        <v>374</v>
      </c>
    </row>
    <row r="15" spans="1:3" ht="21.75" customHeight="1">
      <c r="A15" s="421"/>
      <c r="B15" s="637" t="s">
        <v>375</v>
      </c>
      <c r="C15" s="638" t="s">
        <v>375</v>
      </c>
    </row>
    <row r="16" spans="1:3">
      <c r="A16" s="421"/>
      <c r="B16" s="637" t="s">
        <v>376</v>
      </c>
      <c r="C16" s="638" t="s">
        <v>377</v>
      </c>
    </row>
    <row r="17" spans="1:3">
      <c r="A17" s="421"/>
      <c r="B17" s="637" t="s">
        <v>378</v>
      </c>
      <c r="C17" s="638" t="s">
        <v>379</v>
      </c>
    </row>
    <row r="18" spans="1:3">
      <c r="A18" s="421"/>
      <c r="B18" s="637" t="s">
        <v>380</v>
      </c>
      <c r="C18" s="638" t="s">
        <v>381</v>
      </c>
    </row>
    <row r="19" spans="1:3">
      <c r="A19" s="421"/>
      <c r="B19" s="637" t="s">
        <v>382</v>
      </c>
      <c r="C19" s="638" t="s">
        <v>382</v>
      </c>
    </row>
    <row r="20" spans="1:3">
      <c r="A20" s="421"/>
      <c r="B20" s="637" t="s">
        <v>383</v>
      </c>
      <c r="C20" s="638" t="s">
        <v>383</v>
      </c>
    </row>
    <row r="21" spans="1:3">
      <c r="A21" s="421"/>
      <c r="B21" s="637" t="s">
        <v>384</v>
      </c>
      <c r="C21" s="638" t="s">
        <v>384</v>
      </c>
    </row>
    <row r="22" spans="1:3" ht="23.25" customHeight="1">
      <c r="A22" s="421"/>
      <c r="B22" s="637" t="s">
        <v>385</v>
      </c>
      <c r="C22" s="638" t="s">
        <v>386</v>
      </c>
    </row>
    <row r="23" spans="1:3">
      <c r="A23" s="421"/>
      <c r="B23" s="637" t="s">
        <v>387</v>
      </c>
      <c r="C23" s="638" t="s">
        <v>387</v>
      </c>
    </row>
    <row r="24" spans="1:3">
      <c r="A24" s="421"/>
      <c r="B24" s="637" t="s">
        <v>388</v>
      </c>
      <c r="C24" s="638" t="s">
        <v>389</v>
      </c>
    </row>
    <row r="25" spans="1:3" ht="12.6" thickBot="1">
      <c r="A25" s="225"/>
      <c r="B25" s="643" t="s">
        <v>390</v>
      </c>
      <c r="C25" s="644"/>
    </row>
    <row r="26" spans="1:3" ht="13.2" thickTop="1" thickBot="1">
      <c r="A26" s="632" t="s">
        <v>687</v>
      </c>
      <c r="B26" s="633"/>
      <c r="C26" s="634"/>
    </row>
    <row r="27" spans="1:3" ht="13.2" thickTop="1" thickBot="1">
      <c r="A27" s="226"/>
      <c r="B27" s="648" t="s">
        <v>391</v>
      </c>
      <c r="C27" s="649"/>
    </row>
    <row r="28" spans="1:3" ht="13.2" thickTop="1" thickBot="1">
      <c r="A28" s="632" t="s">
        <v>678</v>
      </c>
      <c r="B28" s="633"/>
      <c r="C28" s="634"/>
    </row>
    <row r="29" spans="1:3" ht="12.6" thickTop="1">
      <c r="A29" s="224"/>
      <c r="B29" s="641" t="s">
        <v>392</v>
      </c>
      <c r="C29" s="642" t="s">
        <v>393</v>
      </c>
    </row>
    <row r="30" spans="1:3">
      <c r="A30" s="421"/>
      <c r="B30" s="623" t="s">
        <v>394</v>
      </c>
      <c r="C30" s="624" t="s">
        <v>395</v>
      </c>
    </row>
    <row r="31" spans="1:3">
      <c r="A31" s="421"/>
      <c r="B31" s="623" t="s">
        <v>396</v>
      </c>
      <c r="C31" s="624" t="s">
        <v>397</v>
      </c>
    </row>
    <row r="32" spans="1:3">
      <c r="A32" s="421"/>
      <c r="B32" s="623" t="s">
        <v>398</v>
      </c>
      <c r="C32" s="624" t="s">
        <v>399</v>
      </c>
    </row>
    <row r="33" spans="1:3">
      <c r="A33" s="421"/>
      <c r="B33" s="623" t="s">
        <v>400</v>
      </c>
      <c r="C33" s="624" t="s">
        <v>401</v>
      </c>
    </row>
    <row r="34" spans="1:3">
      <c r="A34" s="421"/>
      <c r="B34" s="623" t="s">
        <v>402</v>
      </c>
      <c r="C34" s="624" t="s">
        <v>403</v>
      </c>
    </row>
    <row r="35" spans="1:3" ht="23.25" customHeight="1">
      <c r="A35" s="421"/>
      <c r="B35" s="623" t="s">
        <v>404</v>
      </c>
      <c r="C35" s="624" t="s">
        <v>405</v>
      </c>
    </row>
    <row r="36" spans="1:3" ht="24" customHeight="1">
      <c r="A36" s="421"/>
      <c r="B36" s="623" t="s">
        <v>406</v>
      </c>
      <c r="C36" s="624" t="s">
        <v>407</v>
      </c>
    </row>
    <row r="37" spans="1:3" ht="24.75" customHeight="1">
      <c r="A37" s="421"/>
      <c r="B37" s="623" t="s">
        <v>408</v>
      </c>
      <c r="C37" s="624" t="s">
        <v>409</v>
      </c>
    </row>
    <row r="38" spans="1:3" ht="23.25" customHeight="1">
      <c r="A38" s="421"/>
      <c r="B38" s="623" t="s">
        <v>679</v>
      </c>
      <c r="C38" s="624" t="s">
        <v>410</v>
      </c>
    </row>
    <row r="39" spans="1:3" ht="39.75" customHeight="1">
      <c r="A39" s="421"/>
      <c r="B39" s="637" t="s">
        <v>699</v>
      </c>
      <c r="C39" s="638" t="s">
        <v>411</v>
      </c>
    </row>
    <row r="40" spans="1:3" ht="12" customHeight="1">
      <c r="A40" s="421"/>
      <c r="B40" s="623" t="s">
        <v>412</v>
      </c>
      <c r="C40" s="624" t="s">
        <v>413</v>
      </c>
    </row>
    <row r="41" spans="1:3" ht="27" customHeight="1" thickBot="1">
      <c r="A41" s="225"/>
      <c r="B41" s="639" t="s">
        <v>414</v>
      </c>
      <c r="C41" s="640" t="s">
        <v>415</v>
      </c>
    </row>
    <row r="42" spans="1:3" ht="13.2" thickTop="1" thickBot="1">
      <c r="A42" s="632" t="s">
        <v>680</v>
      </c>
      <c r="B42" s="633"/>
      <c r="C42" s="634"/>
    </row>
    <row r="43" spans="1:3" ht="12.6" thickTop="1">
      <c r="A43" s="224"/>
      <c r="B43" s="635" t="s">
        <v>828</v>
      </c>
      <c r="C43" s="636" t="s">
        <v>416</v>
      </c>
    </row>
    <row r="44" spans="1:3">
      <c r="A44" s="421"/>
      <c r="B44" s="619" t="s">
        <v>829</v>
      </c>
      <c r="C44" s="620"/>
    </row>
    <row r="45" spans="1:3" ht="23.25" customHeight="1" thickBot="1">
      <c r="A45" s="225"/>
      <c r="B45" s="630" t="s">
        <v>417</v>
      </c>
      <c r="C45" s="631" t="s">
        <v>418</v>
      </c>
    </row>
    <row r="46" spans="1:3" ht="11.25" customHeight="1" thickTop="1" thickBot="1">
      <c r="A46" s="632" t="s">
        <v>681</v>
      </c>
      <c r="B46" s="633"/>
      <c r="C46" s="634"/>
    </row>
    <row r="47" spans="1:3" ht="26.25" customHeight="1" thickTop="1">
      <c r="A47" s="421"/>
      <c r="B47" s="619" t="s">
        <v>682</v>
      </c>
      <c r="C47" s="620"/>
    </row>
    <row r="48" spans="1:3" ht="12.6" thickBot="1">
      <c r="A48" s="632" t="s">
        <v>683</v>
      </c>
      <c r="B48" s="633"/>
      <c r="C48" s="634"/>
    </row>
    <row r="49" spans="1:3" ht="12.6" thickTop="1">
      <c r="A49" s="224"/>
      <c r="B49" s="635" t="s">
        <v>419</v>
      </c>
      <c r="C49" s="636" t="s">
        <v>419</v>
      </c>
    </row>
    <row r="50" spans="1:3" ht="11.25" customHeight="1">
      <c r="A50" s="421"/>
      <c r="B50" s="619" t="s">
        <v>420</v>
      </c>
      <c r="C50" s="620" t="s">
        <v>420</v>
      </c>
    </row>
    <row r="51" spans="1:3">
      <c r="A51" s="421"/>
      <c r="B51" s="619" t="s">
        <v>421</v>
      </c>
      <c r="C51" s="620" t="s">
        <v>421</v>
      </c>
    </row>
    <row r="52" spans="1:3" ht="11.25" customHeight="1">
      <c r="A52" s="421"/>
      <c r="B52" s="619" t="s">
        <v>830</v>
      </c>
      <c r="C52" s="620" t="s">
        <v>422</v>
      </c>
    </row>
    <row r="53" spans="1:3" ht="33.6" customHeight="1">
      <c r="A53" s="421"/>
      <c r="B53" s="619" t="s">
        <v>423</v>
      </c>
      <c r="C53" s="620" t="s">
        <v>423</v>
      </c>
    </row>
    <row r="54" spans="1:3" ht="11.25" customHeight="1">
      <c r="A54" s="421"/>
      <c r="B54" s="619" t="s">
        <v>831</v>
      </c>
      <c r="C54" s="620" t="s">
        <v>424</v>
      </c>
    </row>
    <row r="55" spans="1:3" ht="11.25" customHeight="1" thickBot="1">
      <c r="A55" s="632" t="s">
        <v>684</v>
      </c>
      <c r="B55" s="633"/>
      <c r="C55" s="634"/>
    </row>
    <row r="56" spans="1:3" ht="12.6" thickTop="1">
      <c r="A56" s="224"/>
      <c r="B56" s="635" t="s">
        <v>419</v>
      </c>
      <c r="C56" s="636" t="s">
        <v>419</v>
      </c>
    </row>
    <row r="57" spans="1:3">
      <c r="A57" s="421"/>
      <c r="B57" s="619" t="s">
        <v>425</v>
      </c>
      <c r="C57" s="620" t="s">
        <v>425</v>
      </c>
    </row>
    <row r="58" spans="1:3">
      <c r="A58" s="421"/>
      <c r="B58" s="619" t="s">
        <v>695</v>
      </c>
      <c r="C58" s="620" t="s">
        <v>426</v>
      </c>
    </row>
    <row r="59" spans="1:3">
      <c r="A59" s="421"/>
      <c r="B59" s="619" t="s">
        <v>427</v>
      </c>
      <c r="C59" s="620" t="s">
        <v>427</v>
      </c>
    </row>
    <row r="60" spans="1:3">
      <c r="A60" s="421"/>
      <c r="B60" s="619" t="s">
        <v>428</v>
      </c>
      <c r="C60" s="620" t="s">
        <v>428</v>
      </c>
    </row>
    <row r="61" spans="1:3">
      <c r="A61" s="421"/>
      <c r="B61" s="619" t="s">
        <v>429</v>
      </c>
      <c r="C61" s="620" t="s">
        <v>429</v>
      </c>
    </row>
    <row r="62" spans="1:3">
      <c r="A62" s="421"/>
      <c r="B62" s="619" t="s">
        <v>696</v>
      </c>
      <c r="C62" s="620" t="s">
        <v>430</v>
      </c>
    </row>
    <row r="63" spans="1:3">
      <c r="A63" s="421"/>
      <c r="B63" s="619" t="s">
        <v>431</v>
      </c>
      <c r="C63" s="620" t="s">
        <v>431</v>
      </c>
    </row>
    <row r="64" spans="1:3" ht="12.6" thickBot="1">
      <c r="A64" s="225"/>
      <c r="B64" s="630" t="s">
        <v>432</v>
      </c>
      <c r="C64" s="631" t="s">
        <v>432</v>
      </c>
    </row>
    <row r="65" spans="1:3" ht="11.25" customHeight="1" thickTop="1">
      <c r="A65" s="625" t="s">
        <v>685</v>
      </c>
      <c r="B65" s="626"/>
      <c r="C65" s="627"/>
    </row>
    <row r="66" spans="1:3" ht="12.6" thickBot="1">
      <c r="A66" s="225"/>
      <c r="B66" s="630" t="s">
        <v>433</v>
      </c>
      <c r="C66" s="631" t="s">
        <v>433</v>
      </c>
    </row>
    <row r="67" spans="1:3" ht="11.25" customHeight="1" thickTop="1" thickBot="1">
      <c r="A67" s="632" t="s">
        <v>686</v>
      </c>
      <c r="B67" s="633"/>
      <c r="C67" s="634"/>
    </row>
    <row r="68" spans="1:3" ht="12.6" thickTop="1">
      <c r="A68" s="224"/>
      <c r="B68" s="635" t="s">
        <v>434</v>
      </c>
      <c r="C68" s="636" t="s">
        <v>434</v>
      </c>
    </row>
    <row r="69" spans="1:3">
      <c r="A69" s="421"/>
      <c r="B69" s="619" t="s">
        <v>435</v>
      </c>
      <c r="C69" s="620" t="s">
        <v>435</v>
      </c>
    </row>
    <row r="70" spans="1:3">
      <c r="A70" s="421"/>
      <c r="B70" s="619" t="s">
        <v>436</v>
      </c>
      <c r="C70" s="620" t="s">
        <v>436</v>
      </c>
    </row>
    <row r="71" spans="1:3" ht="38.25" customHeight="1">
      <c r="A71" s="421"/>
      <c r="B71" s="628" t="s">
        <v>698</v>
      </c>
      <c r="C71" s="629" t="s">
        <v>437</v>
      </c>
    </row>
    <row r="72" spans="1:3" ht="33.75" customHeight="1">
      <c r="A72" s="421"/>
      <c r="B72" s="628" t="s">
        <v>701</v>
      </c>
      <c r="C72" s="629" t="s">
        <v>438</v>
      </c>
    </row>
    <row r="73" spans="1:3" ht="15.75" customHeight="1">
      <c r="A73" s="421"/>
      <c r="B73" s="628" t="s">
        <v>697</v>
      </c>
      <c r="C73" s="629" t="s">
        <v>439</v>
      </c>
    </row>
    <row r="74" spans="1:3">
      <c r="A74" s="421"/>
      <c r="B74" s="619" t="s">
        <v>440</v>
      </c>
      <c r="C74" s="620" t="s">
        <v>440</v>
      </c>
    </row>
    <row r="75" spans="1:3" ht="12.6" thickBot="1">
      <c r="A75" s="225"/>
      <c r="B75" s="630" t="s">
        <v>441</v>
      </c>
      <c r="C75" s="631" t="s">
        <v>441</v>
      </c>
    </row>
    <row r="76" spans="1:3" ht="12.6" thickTop="1">
      <c r="A76" s="625" t="s">
        <v>832</v>
      </c>
      <c r="B76" s="626"/>
      <c r="C76" s="627"/>
    </row>
    <row r="77" spans="1:3">
      <c r="A77" s="421"/>
      <c r="B77" s="619" t="s">
        <v>433</v>
      </c>
      <c r="C77" s="620"/>
    </row>
    <row r="78" spans="1:3">
      <c r="A78" s="421"/>
      <c r="B78" s="619" t="s">
        <v>833</v>
      </c>
      <c r="C78" s="620"/>
    </row>
    <row r="79" spans="1:3">
      <c r="A79" s="421"/>
      <c r="B79" s="619" t="s">
        <v>834</v>
      </c>
      <c r="C79" s="620"/>
    </row>
    <row r="80" spans="1:3">
      <c r="A80" s="625" t="s">
        <v>835</v>
      </c>
      <c r="B80" s="626"/>
      <c r="C80" s="627"/>
    </row>
    <row r="81" spans="1:3">
      <c r="A81" s="421"/>
      <c r="B81" s="619" t="s">
        <v>433</v>
      </c>
      <c r="C81" s="620"/>
    </row>
    <row r="82" spans="1:3">
      <c r="A82" s="421"/>
      <c r="B82" s="619" t="s">
        <v>836</v>
      </c>
      <c r="C82" s="620"/>
    </row>
    <row r="83" spans="1:3" ht="76.5" customHeight="1">
      <c r="A83" s="421"/>
      <c r="B83" s="619" t="s">
        <v>837</v>
      </c>
      <c r="C83" s="620"/>
    </row>
    <row r="84" spans="1:3" ht="53.25" customHeight="1">
      <c r="A84" s="421"/>
      <c r="B84" s="619" t="s">
        <v>838</v>
      </c>
      <c r="C84" s="620"/>
    </row>
    <row r="85" spans="1:3">
      <c r="A85" s="421"/>
      <c r="B85" s="619" t="s">
        <v>839</v>
      </c>
      <c r="C85" s="620"/>
    </row>
    <row r="86" spans="1:3">
      <c r="A86" s="421"/>
      <c r="B86" s="619" t="s">
        <v>840</v>
      </c>
      <c r="C86" s="620"/>
    </row>
    <row r="87" spans="1:3">
      <c r="A87" s="421"/>
      <c r="B87" s="619" t="s">
        <v>841</v>
      </c>
      <c r="C87" s="620"/>
    </row>
    <row r="88" spans="1:3">
      <c r="A88" s="625" t="s">
        <v>842</v>
      </c>
      <c r="B88" s="626"/>
      <c r="C88" s="627"/>
    </row>
    <row r="89" spans="1:3">
      <c r="A89" s="421"/>
      <c r="B89" s="619" t="s">
        <v>433</v>
      </c>
      <c r="C89" s="620"/>
    </row>
    <row r="90" spans="1:3">
      <c r="A90" s="421"/>
      <c r="B90" s="619" t="s">
        <v>843</v>
      </c>
      <c r="C90" s="620"/>
    </row>
    <row r="91" spans="1:3" ht="12" customHeight="1">
      <c r="A91" s="421"/>
      <c r="B91" s="619" t="s">
        <v>844</v>
      </c>
      <c r="C91" s="620"/>
    </row>
    <row r="92" spans="1:3">
      <c r="A92" s="421"/>
      <c r="B92" s="619" t="s">
        <v>845</v>
      </c>
      <c r="C92" s="620"/>
    </row>
    <row r="93" spans="1:3" ht="24.75" customHeight="1">
      <c r="A93" s="421"/>
      <c r="B93" s="621" t="s">
        <v>846</v>
      </c>
      <c r="C93" s="622"/>
    </row>
    <row r="94" spans="1:3" ht="24" customHeight="1">
      <c r="A94" s="421"/>
      <c r="B94" s="621" t="s">
        <v>847</v>
      </c>
      <c r="C94" s="622"/>
    </row>
    <row r="95" spans="1:3" ht="13.5" customHeight="1">
      <c r="A95" s="421"/>
      <c r="B95" s="623" t="s">
        <v>848</v>
      </c>
      <c r="C95" s="624"/>
    </row>
    <row r="96" spans="1:3" ht="11.25" customHeight="1" thickBot="1">
      <c r="A96" s="593" t="s">
        <v>849</v>
      </c>
      <c r="B96" s="594"/>
      <c r="C96" s="595"/>
    </row>
    <row r="97" spans="1:3" ht="13.2" thickTop="1" thickBot="1">
      <c r="A97" s="599" t="s">
        <v>534</v>
      </c>
      <c r="B97" s="599"/>
      <c r="C97" s="599"/>
    </row>
    <row r="98" spans="1:3">
      <c r="A98" s="422">
        <v>2</v>
      </c>
      <c r="B98" s="425" t="s">
        <v>813</v>
      </c>
      <c r="C98" s="425" t="s">
        <v>850</v>
      </c>
    </row>
    <row r="99" spans="1:3">
      <c r="A99" s="233">
        <v>3</v>
      </c>
      <c r="B99" s="234" t="s">
        <v>814</v>
      </c>
      <c r="C99" s="424" t="s">
        <v>851</v>
      </c>
    </row>
    <row r="100" spans="1:3">
      <c r="A100" s="233">
        <v>4</v>
      </c>
      <c r="B100" s="234" t="s">
        <v>815</v>
      </c>
      <c r="C100" s="424" t="s">
        <v>852</v>
      </c>
    </row>
    <row r="101" spans="1:3" ht="11.25" customHeight="1">
      <c r="A101" s="233">
        <v>5</v>
      </c>
      <c r="B101" s="234" t="s">
        <v>816</v>
      </c>
      <c r="C101" s="424" t="s">
        <v>853</v>
      </c>
    </row>
    <row r="102" spans="1:3" ht="12" customHeight="1">
      <c r="A102" s="233">
        <v>6</v>
      </c>
      <c r="B102" s="234" t="s">
        <v>854</v>
      </c>
      <c r="C102" s="424" t="s">
        <v>817</v>
      </c>
    </row>
    <row r="103" spans="1:3" ht="12" customHeight="1">
      <c r="A103" s="233">
        <v>7</v>
      </c>
      <c r="B103" s="234" t="s">
        <v>818</v>
      </c>
      <c r="C103" s="424" t="s">
        <v>855</v>
      </c>
    </row>
    <row r="104" spans="1:3">
      <c r="A104" s="233">
        <v>8</v>
      </c>
      <c r="B104" s="234" t="s">
        <v>823</v>
      </c>
      <c r="C104" s="424" t="s">
        <v>856</v>
      </c>
    </row>
    <row r="105" spans="1:3" ht="11.25" customHeight="1">
      <c r="A105" s="625" t="s">
        <v>857</v>
      </c>
      <c r="B105" s="626"/>
      <c r="C105" s="627"/>
    </row>
    <row r="106" spans="1:3" ht="27.6" customHeight="1">
      <c r="A106" s="421"/>
      <c r="B106" s="619" t="s">
        <v>433</v>
      </c>
      <c r="C106" s="620"/>
    </row>
    <row r="107" spans="1:3" ht="12.6" thickBot="1">
      <c r="A107" s="604" t="s">
        <v>688</v>
      </c>
      <c r="B107" s="605"/>
      <c r="C107" s="606"/>
    </row>
    <row r="108" spans="1:3" ht="24" customHeight="1" thickTop="1" thickBot="1">
      <c r="A108" s="607" t="s">
        <v>366</v>
      </c>
      <c r="B108" s="608"/>
      <c r="C108" s="609"/>
    </row>
    <row r="109" spans="1:3">
      <c r="A109" s="227" t="s">
        <v>442</v>
      </c>
      <c r="B109" s="610" t="s">
        <v>443</v>
      </c>
      <c r="C109" s="611"/>
    </row>
    <row r="110" spans="1:3">
      <c r="A110" s="229" t="s">
        <v>444</v>
      </c>
      <c r="B110" s="612" t="s">
        <v>445</v>
      </c>
      <c r="C110" s="613"/>
    </row>
    <row r="111" spans="1:3">
      <c r="A111" s="227" t="s">
        <v>446</v>
      </c>
      <c r="B111" s="592" t="s">
        <v>447</v>
      </c>
      <c r="C111" s="592"/>
    </row>
    <row r="112" spans="1:3">
      <c r="A112" s="229" t="s">
        <v>448</v>
      </c>
      <c r="B112" s="612" t="s">
        <v>449</v>
      </c>
      <c r="C112" s="613"/>
    </row>
    <row r="113" spans="1:3" ht="12.6" thickBot="1">
      <c r="A113" s="251" t="s">
        <v>450</v>
      </c>
      <c r="B113" s="614" t="s">
        <v>451</v>
      </c>
      <c r="C113" s="614"/>
    </row>
    <row r="114" spans="1:3" ht="12.6" thickBot="1">
      <c r="A114" s="615" t="s">
        <v>688</v>
      </c>
      <c r="B114" s="616"/>
      <c r="C114" s="617"/>
    </row>
    <row r="115" spans="1:3" ht="13.2" thickTop="1" thickBot="1">
      <c r="A115" s="618" t="s">
        <v>452</v>
      </c>
      <c r="B115" s="618"/>
      <c r="C115" s="618"/>
    </row>
    <row r="116" spans="1:3">
      <c r="A116" s="227">
        <v>1</v>
      </c>
      <c r="B116" s="230" t="s">
        <v>90</v>
      </c>
      <c r="C116" s="382" t="s">
        <v>453</v>
      </c>
    </row>
    <row r="117" spans="1:3">
      <c r="A117" s="227">
        <v>2</v>
      </c>
      <c r="B117" s="230" t="s">
        <v>91</v>
      </c>
      <c r="C117" s="382" t="s">
        <v>91</v>
      </c>
    </row>
    <row r="118" spans="1:3">
      <c r="A118" s="227">
        <v>3</v>
      </c>
      <c r="B118" s="230" t="s">
        <v>92</v>
      </c>
      <c r="C118" s="231" t="s">
        <v>454</v>
      </c>
    </row>
    <row r="119" spans="1:3" ht="24">
      <c r="A119" s="227">
        <v>4</v>
      </c>
      <c r="B119" s="230" t="s">
        <v>93</v>
      </c>
      <c r="C119" s="231" t="s">
        <v>664</v>
      </c>
    </row>
    <row r="120" spans="1:3">
      <c r="A120" s="227">
        <v>5</v>
      </c>
      <c r="B120" s="230" t="s">
        <v>94</v>
      </c>
      <c r="C120" s="231" t="s">
        <v>455</v>
      </c>
    </row>
    <row r="121" spans="1:3">
      <c r="A121" s="227">
        <v>5.0999999999999996</v>
      </c>
      <c r="B121" s="230" t="s">
        <v>456</v>
      </c>
      <c r="C121" s="382" t="s">
        <v>457</v>
      </c>
    </row>
    <row r="122" spans="1:3">
      <c r="A122" s="227">
        <v>5.2</v>
      </c>
      <c r="B122" s="230" t="s">
        <v>458</v>
      </c>
      <c r="C122" s="382" t="s">
        <v>459</v>
      </c>
    </row>
    <row r="123" spans="1:3">
      <c r="A123" s="227">
        <v>6</v>
      </c>
      <c r="B123" s="230" t="s">
        <v>95</v>
      </c>
      <c r="C123" s="231" t="s">
        <v>460</v>
      </c>
    </row>
    <row r="124" spans="1:3">
      <c r="A124" s="227">
        <v>7</v>
      </c>
      <c r="B124" s="230" t="s">
        <v>96</v>
      </c>
      <c r="C124" s="231" t="s">
        <v>461</v>
      </c>
    </row>
    <row r="125" spans="1:3" ht="24">
      <c r="A125" s="227">
        <v>8</v>
      </c>
      <c r="B125" s="230" t="s">
        <v>97</v>
      </c>
      <c r="C125" s="231" t="s">
        <v>462</v>
      </c>
    </row>
    <row r="126" spans="1:3">
      <c r="A126" s="227">
        <v>9</v>
      </c>
      <c r="B126" s="230" t="s">
        <v>98</v>
      </c>
      <c r="C126" s="231" t="s">
        <v>463</v>
      </c>
    </row>
    <row r="127" spans="1:3" ht="24">
      <c r="A127" s="227">
        <v>10</v>
      </c>
      <c r="B127" s="230" t="s">
        <v>464</v>
      </c>
      <c r="C127" s="231" t="s">
        <v>465</v>
      </c>
    </row>
    <row r="128" spans="1:3" ht="24">
      <c r="A128" s="227">
        <v>11</v>
      </c>
      <c r="B128" s="230" t="s">
        <v>99</v>
      </c>
      <c r="C128" s="231" t="s">
        <v>466</v>
      </c>
    </row>
    <row r="129" spans="1:3">
      <c r="A129" s="227">
        <v>12</v>
      </c>
      <c r="B129" s="230" t="s">
        <v>100</v>
      </c>
      <c r="C129" s="231" t="s">
        <v>467</v>
      </c>
    </row>
    <row r="130" spans="1:3">
      <c r="A130" s="227">
        <v>13</v>
      </c>
      <c r="B130" s="230" t="s">
        <v>468</v>
      </c>
      <c r="C130" s="231" t="s">
        <v>469</v>
      </c>
    </row>
    <row r="131" spans="1:3">
      <c r="A131" s="227">
        <v>14</v>
      </c>
      <c r="B131" s="230" t="s">
        <v>101</v>
      </c>
      <c r="C131" s="231" t="s">
        <v>470</v>
      </c>
    </row>
    <row r="132" spans="1:3">
      <c r="A132" s="227">
        <v>15</v>
      </c>
      <c r="B132" s="230" t="s">
        <v>102</v>
      </c>
      <c r="C132" s="231" t="s">
        <v>471</v>
      </c>
    </row>
    <row r="133" spans="1:3">
      <c r="A133" s="227">
        <v>16</v>
      </c>
      <c r="B133" s="230" t="s">
        <v>103</v>
      </c>
      <c r="C133" s="231" t="s">
        <v>472</v>
      </c>
    </row>
    <row r="134" spans="1:3">
      <c r="A134" s="227">
        <v>17</v>
      </c>
      <c r="B134" s="230" t="s">
        <v>104</v>
      </c>
      <c r="C134" s="231" t="s">
        <v>473</v>
      </c>
    </row>
    <row r="135" spans="1:3">
      <c r="A135" s="227">
        <v>18</v>
      </c>
      <c r="B135" s="230" t="s">
        <v>105</v>
      </c>
      <c r="C135" s="231" t="s">
        <v>665</v>
      </c>
    </row>
    <row r="136" spans="1:3" ht="24">
      <c r="A136" s="227">
        <v>19</v>
      </c>
      <c r="B136" s="230" t="s">
        <v>666</v>
      </c>
      <c r="C136" s="231" t="s">
        <v>667</v>
      </c>
    </row>
    <row r="137" spans="1:3">
      <c r="A137" s="227">
        <v>20</v>
      </c>
      <c r="B137" s="230" t="s">
        <v>106</v>
      </c>
      <c r="C137" s="231" t="s">
        <v>668</v>
      </c>
    </row>
    <row r="138" spans="1:3">
      <c r="A138" s="227">
        <v>21</v>
      </c>
      <c r="B138" s="230" t="s">
        <v>107</v>
      </c>
      <c r="C138" s="231" t="s">
        <v>474</v>
      </c>
    </row>
    <row r="139" spans="1:3">
      <c r="A139" s="227">
        <v>22</v>
      </c>
      <c r="B139" s="230" t="s">
        <v>108</v>
      </c>
      <c r="C139" s="231" t="s">
        <v>669</v>
      </c>
    </row>
    <row r="140" spans="1:3">
      <c r="A140" s="227">
        <v>23</v>
      </c>
      <c r="B140" s="230" t="s">
        <v>109</v>
      </c>
      <c r="C140" s="231" t="s">
        <v>475</v>
      </c>
    </row>
    <row r="141" spans="1:3">
      <c r="A141" s="227">
        <v>24</v>
      </c>
      <c r="B141" s="230" t="s">
        <v>110</v>
      </c>
      <c r="C141" s="231" t="s">
        <v>476</v>
      </c>
    </row>
    <row r="142" spans="1:3" ht="24">
      <c r="A142" s="227">
        <v>25</v>
      </c>
      <c r="B142" s="230" t="s">
        <v>111</v>
      </c>
      <c r="C142" s="231" t="s">
        <v>477</v>
      </c>
    </row>
    <row r="143" spans="1:3" ht="24">
      <c r="A143" s="227">
        <v>26</v>
      </c>
      <c r="B143" s="230" t="s">
        <v>112</v>
      </c>
      <c r="C143" s="231" t="s">
        <v>478</v>
      </c>
    </row>
    <row r="144" spans="1:3">
      <c r="A144" s="227">
        <v>27</v>
      </c>
      <c r="B144" s="230" t="s">
        <v>479</v>
      </c>
      <c r="C144" s="231" t="s">
        <v>480</v>
      </c>
    </row>
    <row r="145" spans="1:3" ht="24">
      <c r="A145" s="227">
        <v>28</v>
      </c>
      <c r="B145" s="230" t="s">
        <v>119</v>
      </c>
      <c r="C145" s="231" t="s">
        <v>481</v>
      </c>
    </row>
    <row r="146" spans="1:3">
      <c r="A146" s="227">
        <v>29</v>
      </c>
      <c r="B146" s="230" t="s">
        <v>113</v>
      </c>
      <c r="C146" s="382" t="s">
        <v>482</v>
      </c>
    </row>
    <row r="147" spans="1:3">
      <c r="A147" s="227">
        <v>30</v>
      </c>
      <c r="B147" s="230" t="s">
        <v>114</v>
      </c>
      <c r="C147" s="382" t="s">
        <v>483</v>
      </c>
    </row>
    <row r="148" spans="1:3" ht="32.25" customHeight="1">
      <c r="A148" s="227">
        <v>31</v>
      </c>
      <c r="B148" s="230" t="s">
        <v>484</v>
      </c>
      <c r="C148" s="382" t="s">
        <v>485</v>
      </c>
    </row>
    <row r="149" spans="1:3">
      <c r="A149" s="227">
        <v>31.1</v>
      </c>
      <c r="B149" s="230" t="s">
        <v>486</v>
      </c>
      <c r="C149" s="259" t="s">
        <v>487</v>
      </c>
    </row>
    <row r="150" spans="1:3" ht="24">
      <c r="A150" s="227" t="s">
        <v>488</v>
      </c>
      <c r="B150" s="230" t="s">
        <v>702</v>
      </c>
      <c r="C150" s="261" t="s">
        <v>712</v>
      </c>
    </row>
    <row r="151" spans="1:3">
      <c r="A151" s="227">
        <v>31.2</v>
      </c>
      <c r="B151" s="230" t="s">
        <v>489</v>
      </c>
      <c r="C151" s="261" t="s">
        <v>490</v>
      </c>
    </row>
    <row r="152" spans="1:3">
      <c r="A152" s="227" t="s">
        <v>491</v>
      </c>
      <c r="B152" s="230" t="s">
        <v>702</v>
      </c>
      <c r="C152" s="261" t="s">
        <v>703</v>
      </c>
    </row>
    <row r="153" spans="1:3" ht="36">
      <c r="A153" s="227">
        <v>32</v>
      </c>
      <c r="B153" s="258" t="s">
        <v>492</v>
      </c>
      <c r="C153" s="261" t="s">
        <v>704</v>
      </c>
    </row>
    <row r="154" spans="1:3">
      <c r="A154" s="227">
        <v>33</v>
      </c>
      <c r="B154" s="230" t="s">
        <v>115</v>
      </c>
      <c r="C154" s="261" t="s">
        <v>493</v>
      </c>
    </row>
    <row r="155" spans="1:3">
      <c r="A155" s="227">
        <v>34</v>
      </c>
      <c r="B155" s="260" t="s">
        <v>116</v>
      </c>
      <c r="C155" s="261" t="s">
        <v>494</v>
      </c>
    </row>
    <row r="156" spans="1:3">
      <c r="A156" s="227">
        <v>35</v>
      </c>
      <c r="B156" s="260" t="s">
        <v>117</v>
      </c>
      <c r="C156" s="261" t="s">
        <v>495</v>
      </c>
    </row>
    <row r="157" spans="1:3">
      <c r="A157" s="241" t="s">
        <v>713</v>
      </c>
      <c r="B157" s="260" t="s">
        <v>124</v>
      </c>
      <c r="C157" s="261" t="s">
        <v>741</v>
      </c>
    </row>
    <row r="158" spans="1:3">
      <c r="A158" s="241">
        <v>36.1</v>
      </c>
      <c r="B158" s="260" t="s">
        <v>496</v>
      </c>
      <c r="C158" s="261" t="s">
        <v>497</v>
      </c>
    </row>
    <row r="159" spans="1:3">
      <c r="A159" s="241" t="s">
        <v>714</v>
      </c>
      <c r="B159" s="260" t="s">
        <v>702</v>
      </c>
      <c r="C159" s="259" t="s">
        <v>705</v>
      </c>
    </row>
    <row r="160" spans="1:3" ht="24">
      <c r="A160" s="241">
        <v>36.200000000000003</v>
      </c>
      <c r="B160" s="423" t="s">
        <v>750</v>
      </c>
      <c r="C160" s="259" t="s">
        <v>742</v>
      </c>
    </row>
    <row r="161" spans="1:3" ht="24">
      <c r="A161" s="241" t="s">
        <v>715</v>
      </c>
      <c r="B161" s="260" t="s">
        <v>702</v>
      </c>
      <c r="C161" s="259" t="s">
        <v>743</v>
      </c>
    </row>
    <row r="162" spans="1:3" ht="24">
      <c r="A162" s="241">
        <v>36.299999999999997</v>
      </c>
      <c r="B162" s="423" t="s">
        <v>751</v>
      </c>
      <c r="C162" s="259" t="s">
        <v>744</v>
      </c>
    </row>
    <row r="163" spans="1:3" ht="24">
      <c r="A163" s="241" t="s">
        <v>716</v>
      </c>
      <c r="B163" s="260" t="s">
        <v>702</v>
      </c>
      <c r="C163" s="259" t="s">
        <v>745</v>
      </c>
    </row>
    <row r="164" spans="1:3">
      <c r="A164" s="241" t="s">
        <v>717</v>
      </c>
      <c r="B164" s="260" t="s">
        <v>118</v>
      </c>
      <c r="C164" s="259" t="s">
        <v>746</v>
      </c>
    </row>
    <row r="165" spans="1:3">
      <c r="A165" s="241" t="s">
        <v>718</v>
      </c>
      <c r="B165" s="260" t="s">
        <v>702</v>
      </c>
      <c r="C165" s="259" t="s">
        <v>747</v>
      </c>
    </row>
    <row r="166" spans="1:3">
      <c r="A166" s="239">
        <v>37</v>
      </c>
      <c r="B166" s="260" t="s">
        <v>500</v>
      </c>
      <c r="C166" s="259" t="s">
        <v>501</v>
      </c>
    </row>
    <row r="167" spans="1:3">
      <c r="A167" s="239">
        <v>37.1</v>
      </c>
      <c r="B167" s="260" t="s">
        <v>502</v>
      </c>
      <c r="C167" s="259" t="s">
        <v>503</v>
      </c>
    </row>
    <row r="168" spans="1:3">
      <c r="A168" s="240" t="s">
        <v>498</v>
      </c>
      <c r="B168" s="260" t="s">
        <v>702</v>
      </c>
      <c r="C168" s="259" t="s">
        <v>706</v>
      </c>
    </row>
    <row r="169" spans="1:3">
      <c r="A169" s="239">
        <v>37.200000000000003</v>
      </c>
      <c r="B169" s="260" t="s">
        <v>505</v>
      </c>
      <c r="C169" s="259" t="s">
        <v>506</v>
      </c>
    </row>
    <row r="170" spans="1:3" ht="24">
      <c r="A170" s="240" t="s">
        <v>499</v>
      </c>
      <c r="B170" s="230" t="s">
        <v>702</v>
      </c>
      <c r="C170" s="259" t="s">
        <v>707</v>
      </c>
    </row>
    <row r="171" spans="1:3">
      <c r="A171" s="239">
        <v>38</v>
      </c>
      <c r="B171" s="230" t="s">
        <v>120</v>
      </c>
      <c r="C171" s="259" t="s">
        <v>508</v>
      </c>
    </row>
    <row r="172" spans="1:3">
      <c r="A172" s="241">
        <v>38.1</v>
      </c>
      <c r="B172" s="230" t="s">
        <v>121</v>
      </c>
      <c r="C172" s="382" t="s">
        <v>121</v>
      </c>
    </row>
    <row r="173" spans="1:3">
      <c r="A173" s="241" t="s">
        <v>504</v>
      </c>
      <c r="B173" s="232" t="s">
        <v>509</v>
      </c>
      <c r="C173" s="592" t="s">
        <v>510</v>
      </c>
    </row>
    <row r="174" spans="1:3">
      <c r="A174" s="241" t="s">
        <v>719</v>
      </c>
      <c r="B174" s="232" t="s">
        <v>511</v>
      </c>
      <c r="C174" s="592"/>
    </row>
    <row r="175" spans="1:3">
      <c r="A175" s="241" t="s">
        <v>720</v>
      </c>
      <c r="B175" s="232" t="s">
        <v>512</v>
      </c>
      <c r="C175" s="592"/>
    </row>
    <row r="176" spans="1:3">
      <c r="A176" s="241" t="s">
        <v>721</v>
      </c>
      <c r="B176" s="232" t="s">
        <v>513</v>
      </c>
      <c r="C176" s="592"/>
    </row>
    <row r="177" spans="1:3">
      <c r="A177" s="241" t="s">
        <v>722</v>
      </c>
      <c r="B177" s="232" t="s">
        <v>514</v>
      </c>
      <c r="C177" s="592"/>
    </row>
    <row r="178" spans="1:3">
      <c r="A178" s="241" t="s">
        <v>723</v>
      </c>
      <c r="B178" s="232" t="s">
        <v>515</v>
      </c>
      <c r="C178" s="592"/>
    </row>
    <row r="179" spans="1:3">
      <c r="A179" s="241">
        <v>38.200000000000003</v>
      </c>
      <c r="B179" s="230" t="s">
        <v>122</v>
      </c>
      <c r="C179" s="382" t="s">
        <v>122</v>
      </c>
    </row>
    <row r="180" spans="1:3">
      <c r="A180" s="241" t="s">
        <v>507</v>
      </c>
      <c r="B180" s="232" t="s">
        <v>516</v>
      </c>
      <c r="C180" s="592" t="s">
        <v>517</v>
      </c>
    </row>
    <row r="181" spans="1:3">
      <c r="A181" s="241" t="s">
        <v>724</v>
      </c>
      <c r="B181" s="232" t="s">
        <v>518</v>
      </c>
      <c r="C181" s="592"/>
    </row>
    <row r="182" spans="1:3">
      <c r="A182" s="241" t="s">
        <v>725</v>
      </c>
      <c r="B182" s="232" t="s">
        <v>519</v>
      </c>
      <c r="C182" s="592"/>
    </row>
    <row r="183" spans="1:3">
      <c r="A183" s="241" t="s">
        <v>726</v>
      </c>
      <c r="B183" s="232" t="s">
        <v>520</v>
      </c>
      <c r="C183" s="592"/>
    </row>
    <row r="184" spans="1:3">
      <c r="A184" s="241" t="s">
        <v>727</v>
      </c>
      <c r="B184" s="232" t="s">
        <v>521</v>
      </c>
      <c r="C184" s="592"/>
    </row>
    <row r="185" spans="1:3">
      <c r="A185" s="241" t="s">
        <v>728</v>
      </c>
      <c r="B185" s="232" t="s">
        <v>522</v>
      </c>
      <c r="C185" s="592"/>
    </row>
    <row r="186" spans="1:3">
      <c r="A186" s="241" t="s">
        <v>729</v>
      </c>
      <c r="B186" s="232" t="s">
        <v>523</v>
      </c>
      <c r="C186" s="592"/>
    </row>
    <row r="187" spans="1:3">
      <c r="A187" s="241">
        <v>38.299999999999997</v>
      </c>
      <c r="B187" s="230" t="s">
        <v>123</v>
      </c>
      <c r="C187" s="382" t="s">
        <v>524</v>
      </c>
    </row>
    <row r="188" spans="1:3">
      <c r="A188" s="241" t="s">
        <v>730</v>
      </c>
      <c r="B188" s="232" t="s">
        <v>525</v>
      </c>
      <c r="C188" s="592" t="s">
        <v>526</v>
      </c>
    </row>
    <row r="189" spans="1:3">
      <c r="A189" s="241" t="s">
        <v>731</v>
      </c>
      <c r="B189" s="232" t="s">
        <v>527</v>
      </c>
      <c r="C189" s="592"/>
    </row>
    <row r="190" spans="1:3">
      <c r="A190" s="241" t="s">
        <v>732</v>
      </c>
      <c r="B190" s="232" t="s">
        <v>528</v>
      </c>
      <c r="C190" s="592"/>
    </row>
    <row r="191" spans="1:3">
      <c r="A191" s="241" t="s">
        <v>733</v>
      </c>
      <c r="B191" s="232" t="s">
        <v>529</v>
      </c>
      <c r="C191" s="592"/>
    </row>
    <row r="192" spans="1:3">
      <c r="A192" s="241" t="s">
        <v>734</v>
      </c>
      <c r="B192" s="232" t="s">
        <v>530</v>
      </c>
      <c r="C192" s="592"/>
    </row>
    <row r="193" spans="1:3">
      <c r="A193" s="241" t="s">
        <v>735</v>
      </c>
      <c r="B193" s="232" t="s">
        <v>531</v>
      </c>
      <c r="C193" s="592"/>
    </row>
    <row r="194" spans="1:3">
      <c r="A194" s="241">
        <v>38.4</v>
      </c>
      <c r="B194" s="230" t="s">
        <v>500</v>
      </c>
      <c r="C194" s="259" t="s">
        <v>501</v>
      </c>
    </row>
    <row r="195" spans="1:3" s="228" customFormat="1">
      <c r="A195" s="241" t="s">
        <v>736</v>
      </c>
      <c r="B195" s="232" t="s">
        <v>525</v>
      </c>
      <c r="C195" s="592" t="s">
        <v>532</v>
      </c>
    </row>
    <row r="196" spans="1:3">
      <c r="A196" s="241" t="s">
        <v>737</v>
      </c>
      <c r="B196" s="232" t="s">
        <v>527</v>
      </c>
      <c r="C196" s="592"/>
    </row>
    <row r="197" spans="1:3">
      <c r="A197" s="241" t="s">
        <v>738</v>
      </c>
      <c r="B197" s="232" t="s">
        <v>528</v>
      </c>
      <c r="C197" s="592"/>
    </row>
    <row r="198" spans="1:3">
      <c r="A198" s="241" t="s">
        <v>739</v>
      </c>
      <c r="B198" s="232" t="s">
        <v>529</v>
      </c>
      <c r="C198" s="592"/>
    </row>
    <row r="199" spans="1:3" ht="12.6" thickBot="1">
      <c r="A199" s="242" t="s">
        <v>740</v>
      </c>
      <c r="B199" s="232" t="s">
        <v>533</v>
      </c>
      <c r="C199" s="592"/>
    </row>
    <row r="200" spans="1:3" ht="12.6" thickBot="1">
      <c r="A200" s="593" t="s">
        <v>689</v>
      </c>
      <c r="B200" s="594"/>
      <c r="C200" s="595"/>
    </row>
    <row r="201" spans="1:3" ht="13.2" thickTop="1" thickBot="1">
      <c r="A201" s="599" t="s">
        <v>534</v>
      </c>
      <c r="B201" s="599"/>
      <c r="C201" s="599"/>
    </row>
    <row r="202" spans="1:3">
      <c r="A202" s="233">
        <v>11.1</v>
      </c>
      <c r="B202" s="234" t="s">
        <v>535</v>
      </c>
      <c r="C202" s="382" t="s">
        <v>536</v>
      </c>
    </row>
    <row r="203" spans="1:3">
      <c r="A203" s="233">
        <v>11.2</v>
      </c>
      <c r="B203" s="234" t="s">
        <v>537</v>
      </c>
      <c r="C203" s="382" t="s">
        <v>538</v>
      </c>
    </row>
    <row r="204" spans="1:3">
      <c r="A204" s="233">
        <v>11.3</v>
      </c>
      <c r="B204" s="234" t="s">
        <v>539</v>
      </c>
      <c r="C204" s="382" t="s">
        <v>540</v>
      </c>
    </row>
    <row r="205" spans="1:3" ht="24">
      <c r="A205" s="233">
        <v>11.4</v>
      </c>
      <c r="B205" s="234" t="s">
        <v>541</v>
      </c>
      <c r="C205" s="382" t="s">
        <v>542</v>
      </c>
    </row>
    <row r="206" spans="1:3" ht="24">
      <c r="A206" s="233">
        <v>11.5</v>
      </c>
      <c r="B206" s="234" t="s">
        <v>543</v>
      </c>
      <c r="C206" s="382" t="s">
        <v>544</v>
      </c>
    </row>
    <row r="207" spans="1:3">
      <c r="A207" s="233">
        <v>11.6</v>
      </c>
      <c r="B207" s="234" t="s">
        <v>545</v>
      </c>
      <c r="C207" s="382" t="s">
        <v>546</v>
      </c>
    </row>
    <row r="208" spans="1:3">
      <c r="A208" s="233">
        <v>11.7</v>
      </c>
      <c r="B208" s="234" t="s">
        <v>708</v>
      </c>
      <c r="C208" s="382" t="s">
        <v>709</v>
      </c>
    </row>
    <row r="209" spans="1:3">
      <c r="A209" s="233">
        <v>11.8</v>
      </c>
      <c r="B209" s="234" t="s">
        <v>710</v>
      </c>
      <c r="C209" s="382" t="s">
        <v>711</v>
      </c>
    </row>
    <row r="210" spans="1:3">
      <c r="A210" s="233">
        <v>11.9</v>
      </c>
      <c r="B210" s="382" t="s">
        <v>547</v>
      </c>
      <c r="C210" s="382" t="s">
        <v>548</v>
      </c>
    </row>
    <row r="211" spans="1:3">
      <c r="A211" s="233">
        <v>11.1</v>
      </c>
      <c r="B211" s="382" t="s">
        <v>549</v>
      </c>
      <c r="C211" s="382" t="s">
        <v>550</v>
      </c>
    </row>
    <row r="212" spans="1:3">
      <c r="A212" s="233">
        <v>11.11</v>
      </c>
      <c r="B212" s="259" t="s">
        <v>551</v>
      </c>
      <c r="C212" s="382" t="s">
        <v>552</v>
      </c>
    </row>
    <row r="213" spans="1:3">
      <c r="A213" s="233">
        <v>11.12</v>
      </c>
      <c r="B213" s="234" t="s">
        <v>553</v>
      </c>
      <c r="C213" s="382" t="s">
        <v>554</v>
      </c>
    </row>
    <row r="214" spans="1:3">
      <c r="A214" s="233">
        <v>11.13</v>
      </c>
      <c r="B214" s="234" t="s">
        <v>555</v>
      </c>
      <c r="C214" s="382" t="s">
        <v>556</v>
      </c>
    </row>
    <row r="215" spans="1:3" ht="24">
      <c r="A215" s="233">
        <v>11.14</v>
      </c>
      <c r="B215" s="234" t="s">
        <v>748</v>
      </c>
      <c r="C215" s="382" t="s">
        <v>749</v>
      </c>
    </row>
    <row r="216" spans="1:3">
      <c r="A216" s="233">
        <v>11.15</v>
      </c>
      <c r="B216" s="234" t="s">
        <v>557</v>
      </c>
      <c r="C216" s="382" t="s">
        <v>558</v>
      </c>
    </row>
    <row r="217" spans="1:3">
      <c r="A217" s="233">
        <v>11.16</v>
      </c>
      <c r="B217" s="234" t="s">
        <v>559</v>
      </c>
      <c r="C217" s="382" t="s">
        <v>560</v>
      </c>
    </row>
    <row r="218" spans="1:3">
      <c r="A218" s="233">
        <v>11.17</v>
      </c>
      <c r="B218" s="234" t="s">
        <v>561</v>
      </c>
      <c r="C218" s="382" t="s">
        <v>562</v>
      </c>
    </row>
    <row r="219" spans="1:3">
      <c r="A219" s="233">
        <v>11.18</v>
      </c>
      <c r="B219" s="234" t="s">
        <v>563</v>
      </c>
      <c r="C219" s="382" t="s">
        <v>564</v>
      </c>
    </row>
    <row r="220" spans="1:3" ht="24">
      <c r="A220" s="233">
        <v>11.19</v>
      </c>
      <c r="B220" s="234" t="s">
        <v>565</v>
      </c>
      <c r="C220" s="382" t="s">
        <v>670</v>
      </c>
    </row>
    <row r="221" spans="1:3" ht="24">
      <c r="A221" s="233">
        <v>11.2</v>
      </c>
      <c r="B221" s="234" t="s">
        <v>566</v>
      </c>
      <c r="C221" s="382" t="s">
        <v>671</v>
      </c>
    </row>
    <row r="222" spans="1:3" s="228" customFormat="1">
      <c r="A222" s="233">
        <v>11.21</v>
      </c>
      <c r="B222" s="234" t="s">
        <v>567</v>
      </c>
      <c r="C222" s="382" t="s">
        <v>568</v>
      </c>
    </row>
    <row r="223" spans="1:3">
      <c r="A223" s="233">
        <v>11.22</v>
      </c>
      <c r="B223" s="234" t="s">
        <v>569</v>
      </c>
      <c r="C223" s="382" t="s">
        <v>570</v>
      </c>
    </row>
    <row r="224" spans="1:3">
      <c r="A224" s="233">
        <v>11.23</v>
      </c>
      <c r="B224" s="234" t="s">
        <v>571</v>
      </c>
      <c r="C224" s="382" t="s">
        <v>572</v>
      </c>
    </row>
    <row r="225" spans="1:3">
      <c r="A225" s="233">
        <v>11.24</v>
      </c>
      <c r="B225" s="234" t="s">
        <v>573</v>
      </c>
      <c r="C225" s="382" t="s">
        <v>574</v>
      </c>
    </row>
    <row r="226" spans="1:3">
      <c r="A226" s="233">
        <v>11.25</v>
      </c>
      <c r="B226" s="255" t="s">
        <v>575</v>
      </c>
      <c r="C226" s="256" t="s">
        <v>576</v>
      </c>
    </row>
    <row r="227" spans="1:3" ht="12.6" thickBot="1">
      <c r="A227" s="600" t="s">
        <v>690</v>
      </c>
      <c r="B227" s="601"/>
      <c r="C227" s="602"/>
    </row>
    <row r="228" spans="1:3" ht="13.2" thickTop="1" thickBot="1">
      <c r="A228" s="599" t="s">
        <v>534</v>
      </c>
      <c r="B228" s="599"/>
      <c r="C228" s="599"/>
    </row>
    <row r="229" spans="1:3">
      <c r="A229" s="229" t="s">
        <v>577</v>
      </c>
      <c r="B229" s="235" t="s">
        <v>578</v>
      </c>
      <c r="C229" s="603" t="s">
        <v>579</v>
      </c>
    </row>
    <row r="230" spans="1:3">
      <c r="A230" s="227" t="s">
        <v>580</v>
      </c>
      <c r="B230" s="259" t="s">
        <v>581</v>
      </c>
      <c r="C230" s="592"/>
    </row>
    <row r="231" spans="1:3">
      <c r="A231" s="227" t="s">
        <v>582</v>
      </c>
      <c r="B231" s="259" t="s">
        <v>583</v>
      </c>
      <c r="C231" s="592"/>
    </row>
    <row r="232" spans="1:3">
      <c r="A232" s="227" t="s">
        <v>584</v>
      </c>
      <c r="B232" s="259" t="s">
        <v>585</v>
      </c>
      <c r="C232" s="592"/>
    </row>
    <row r="233" spans="1:3">
      <c r="A233" s="227" t="s">
        <v>586</v>
      </c>
      <c r="B233" s="259" t="s">
        <v>587</v>
      </c>
      <c r="C233" s="592"/>
    </row>
    <row r="234" spans="1:3">
      <c r="A234" s="227" t="s">
        <v>588</v>
      </c>
      <c r="B234" s="259" t="s">
        <v>589</v>
      </c>
      <c r="C234" s="382" t="s">
        <v>590</v>
      </c>
    </row>
    <row r="235" spans="1:3" ht="24">
      <c r="A235" s="227" t="s">
        <v>591</v>
      </c>
      <c r="B235" s="259" t="s">
        <v>592</v>
      </c>
      <c r="C235" s="382" t="s">
        <v>593</v>
      </c>
    </row>
    <row r="236" spans="1:3">
      <c r="A236" s="227" t="s">
        <v>594</v>
      </c>
      <c r="B236" s="259" t="s">
        <v>595</v>
      </c>
      <c r="C236" s="382" t="s">
        <v>596</v>
      </c>
    </row>
    <row r="237" spans="1:3">
      <c r="A237" s="227" t="s">
        <v>597</v>
      </c>
      <c r="B237" s="259" t="s">
        <v>598</v>
      </c>
      <c r="C237" s="592" t="s">
        <v>599</v>
      </c>
    </row>
    <row r="238" spans="1:3">
      <c r="A238" s="227" t="s">
        <v>600</v>
      </c>
      <c r="B238" s="259" t="s">
        <v>601</v>
      </c>
      <c r="C238" s="592"/>
    </row>
    <row r="239" spans="1:3">
      <c r="A239" s="227" t="s">
        <v>602</v>
      </c>
      <c r="B239" s="259" t="s">
        <v>603</v>
      </c>
      <c r="C239" s="592"/>
    </row>
    <row r="240" spans="1:3">
      <c r="A240" s="227" t="s">
        <v>604</v>
      </c>
      <c r="B240" s="259" t="s">
        <v>605</v>
      </c>
      <c r="C240" s="592" t="s">
        <v>579</v>
      </c>
    </row>
    <row r="241" spans="1:3">
      <c r="A241" s="227" t="s">
        <v>606</v>
      </c>
      <c r="B241" s="259" t="s">
        <v>607</v>
      </c>
      <c r="C241" s="592"/>
    </row>
    <row r="242" spans="1:3">
      <c r="A242" s="227" t="s">
        <v>608</v>
      </c>
      <c r="B242" s="259" t="s">
        <v>609</v>
      </c>
      <c r="C242" s="592"/>
    </row>
    <row r="243" spans="1:3" s="228" customFormat="1">
      <c r="A243" s="227" t="s">
        <v>610</v>
      </c>
      <c r="B243" s="259" t="s">
        <v>611</v>
      </c>
      <c r="C243" s="592"/>
    </row>
    <row r="244" spans="1:3">
      <c r="A244" s="227" t="s">
        <v>612</v>
      </c>
      <c r="B244" s="259" t="s">
        <v>613</v>
      </c>
      <c r="C244" s="592"/>
    </row>
    <row r="245" spans="1:3">
      <c r="A245" s="227" t="s">
        <v>614</v>
      </c>
      <c r="B245" s="259" t="s">
        <v>615</v>
      </c>
      <c r="C245" s="592"/>
    </row>
    <row r="246" spans="1:3">
      <c r="A246" s="227" t="s">
        <v>616</v>
      </c>
      <c r="B246" s="259" t="s">
        <v>617</v>
      </c>
      <c r="C246" s="592"/>
    </row>
    <row r="247" spans="1:3">
      <c r="A247" s="227" t="s">
        <v>618</v>
      </c>
      <c r="B247" s="259" t="s">
        <v>619</v>
      </c>
      <c r="C247" s="592"/>
    </row>
    <row r="248" spans="1:3" s="228" customFormat="1" ht="12.6" thickBot="1">
      <c r="A248" s="593" t="s">
        <v>691</v>
      </c>
      <c r="B248" s="594"/>
      <c r="C248" s="595"/>
    </row>
    <row r="249" spans="1:3" ht="13.2" thickTop="1" thickBot="1">
      <c r="A249" s="596" t="s">
        <v>620</v>
      </c>
      <c r="B249" s="596"/>
      <c r="C249" s="596"/>
    </row>
    <row r="250" spans="1:3">
      <c r="A250" s="227">
        <v>13.1</v>
      </c>
      <c r="B250" s="597" t="s">
        <v>621</v>
      </c>
      <c r="C250" s="598"/>
    </row>
    <row r="251" spans="1:3" ht="36">
      <c r="A251" s="227" t="s">
        <v>622</v>
      </c>
      <c r="B251" s="234" t="s">
        <v>623</v>
      </c>
      <c r="C251" s="382" t="s">
        <v>624</v>
      </c>
    </row>
    <row r="252" spans="1:3" ht="96">
      <c r="A252" s="227" t="s">
        <v>625</v>
      </c>
      <c r="B252" s="234" t="s">
        <v>626</v>
      </c>
      <c r="C252" s="382" t="s">
        <v>627</v>
      </c>
    </row>
    <row r="253" spans="1:3" ht="12.6" thickBot="1">
      <c r="A253" s="593" t="s">
        <v>692</v>
      </c>
      <c r="B253" s="594"/>
      <c r="C253" s="595"/>
    </row>
    <row r="254" spans="1:3" ht="13.2" thickTop="1" thickBot="1">
      <c r="A254" s="596" t="s">
        <v>620</v>
      </c>
      <c r="B254" s="596"/>
      <c r="C254" s="596"/>
    </row>
    <row r="255" spans="1:3">
      <c r="A255" s="227">
        <v>14.1</v>
      </c>
      <c r="B255" s="597" t="s">
        <v>628</v>
      </c>
      <c r="C255" s="598"/>
    </row>
    <row r="256" spans="1:3">
      <c r="A256" s="227" t="s">
        <v>629</v>
      </c>
      <c r="B256" s="234" t="s">
        <v>630</v>
      </c>
      <c r="C256" s="382" t="s">
        <v>631</v>
      </c>
    </row>
    <row r="257" spans="1:3" ht="48">
      <c r="A257" s="227" t="s">
        <v>632</v>
      </c>
      <c r="B257" s="234" t="s">
        <v>633</v>
      </c>
      <c r="C257" s="382" t="s">
        <v>634</v>
      </c>
    </row>
    <row r="258" spans="1:3" ht="12" customHeight="1">
      <c r="A258" s="227" t="s">
        <v>635</v>
      </c>
      <c r="B258" s="234" t="s">
        <v>636</v>
      </c>
      <c r="C258" s="382" t="s">
        <v>637</v>
      </c>
    </row>
    <row r="259" spans="1:3" ht="24">
      <c r="A259" s="227" t="s">
        <v>638</v>
      </c>
      <c r="B259" s="234" t="s">
        <v>639</v>
      </c>
      <c r="C259" s="382" t="s">
        <v>640</v>
      </c>
    </row>
    <row r="260" spans="1:3" ht="11.25" customHeight="1">
      <c r="A260" s="227" t="s">
        <v>641</v>
      </c>
      <c r="B260" s="234" t="s">
        <v>642</v>
      </c>
      <c r="C260" s="382" t="s">
        <v>643</v>
      </c>
    </row>
    <row r="261" spans="1:3" ht="60">
      <c r="A261" s="227" t="s">
        <v>644</v>
      </c>
      <c r="B261" s="234" t="s">
        <v>645</v>
      </c>
      <c r="C261" s="382" t="s">
        <v>646</v>
      </c>
    </row>
    <row r="262" spans="1:3">
      <c r="A262" s="223"/>
      <c r="B262" s="223"/>
      <c r="C262" s="223"/>
    </row>
    <row r="263" spans="1:3">
      <c r="A263" s="223"/>
      <c r="B263" s="223"/>
      <c r="C263" s="223"/>
    </row>
    <row r="264" spans="1:3">
      <c r="A264" s="223"/>
      <c r="B264" s="223"/>
      <c r="C264" s="223"/>
    </row>
    <row r="265" spans="1:3">
      <c r="A265" s="223"/>
      <c r="B265" s="223"/>
      <c r="C265" s="223"/>
    </row>
    <row r="266" spans="1:3">
      <c r="A266" s="223"/>
      <c r="B266" s="223"/>
      <c r="C266" s="223"/>
    </row>
  </sheetData>
  <mergeCells count="1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56:C56"/>
    <mergeCell ref="B57:C57"/>
    <mergeCell ref="B44:C44"/>
    <mergeCell ref="B45:C45"/>
    <mergeCell ref="A48:C48"/>
    <mergeCell ref="B49:C49"/>
    <mergeCell ref="B50:C50"/>
    <mergeCell ref="B51:C51"/>
    <mergeCell ref="A55:C55"/>
    <mergeCell ref="B59:C59"/>
    <mergeCell ref="B60:C60"/>
    <mergeCell ref="B61:C61"/>
    <mergeCell ref="B62:C62"/>
    <mergeCell ref="B63:C63"/>
    <mergeCell ref="B58:C58"/>
    <mergeCell ref="A65:C65"/>
    <mergeCell ref="A67:C67"/>
    <mergeCell ref="B68:C68"/>
    <mergeCell ref="B70:C70"/>
    <mergeCell ref="A76:C76"/>
    <mergeCell ref="B79:C79"/>
    <mergeCell ref="A80:C80"/>
    <mergeCell ref="B81:C81"/>
    <mergeCell ref="B84:C84"/>
    <mergeCell ref="B85:C85"/>
    <mergeCell ref="B64:C64"/>
    <mergeCell ref="B66:C66"/>
    <mergeCell ref="B69:C69"/>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91:C91"/>
    <mergeCell ref="B92:C92"/>
    <mergeCell ref="B93:C93"/>
    <mergeCell ref="B94:C94"/>
    <mergeCell ref="B95:C95"/>
    <mergeCell ref="A96:C96"/>
    <mergeCell ref="A97:C97"/>
    <mergeCell ref="A105:C105"/>
    <mergeCell ref="B106:C106"/>
    <mergeCell ref="A107:C107"/>
    <mergeCell ref="A108:C108"/>
    <mergeCell ref="B109:C109"/>
    <mergeCell ref="B110:C110"/>
    <mergeCell ref="B111:C111"/>
    <mergeCell ref="B112:C112"/>
    <mergeCell ref="B113:C113"/>
    <mergeCell ref="A114:C114"/>
    <mergeCell ref="A115:C11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H41"/>
  <sheetViews>
    <sheetView tabSelected="1"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4.4"/>
  <cols>
    <col min="1" max="1" width="9.5546875" style="13" bestFit="1" customWidth="1"/>
    <col min="2" max="2" width="86" style="10" customWidth="1"/>
    <col min="3" max="3" width="12.6640625" style="10" customWidth="1"/>
    <col min="4" max="7" width="12.6640625" style="2" customWidth="1"/>
    <col min="8" max="13" width="6.6640625" customWidth="1"/>
  </cols>
  <sheetData>
    <row r="1" spans="1:8">
      <c r="A1" s="11" t="s">
        <v>227</v>
      </c>
      <c r="B1" s="319" t="s">
        <v>752</v>
      </c>
    </row>
    <row r="2" spans="1:8">
      <c r="A2" s="11" t="s">
        <v>228</v>
      </c>
      <c r="B2" s="321">
        <v>43555</v>
      </c>
      <c r="C2" s="23"/>
      <c r="D2" s="12"/>
      <c r="E2" s="12"/>
      <c r="F2" s="12"/>
      <c r="G2" s="12"/>
      <c r="H2" s="1"/>
    </row>
    <row r="3" spans="1:8">
      <c r="A3" s="11"/>
      <c r="C3" s="23"/>
      <c r="D3" s="12"/>
      <c r="E3" s="12"/>
      <c r="F3" s="12"/>
      <c r="G3" s="12"/>
      <c r="H3" s="1"/>
    </row>
    <row r="4" spans="1:8" ht="15" thickBot="1">
      <c r="A4" s="68" t="s">
        <v>649</v>
      </c>
      <c r="B4" s="207" t="s">
        <v>262</v>
      </c>
      <c r="C4" s="208"/>
      <c r="D4" s="209"/>
      <c r="E4" s="209"/>
      <c r="F4" s="209"/>
      <c r="G4" s="209"/>
      <c r="H4" s="1"/>
    </row>
    <row r="5" spans="1:8">
      <c r="A5" s="253" t="s">
        <v>27</v>
      </c>
      <c r="B5" s="254"/>
      <c r="C5" s="330" t="s">
        <v>945</v>
      </c>
      <c r="D5" s="178" t="s">
        <v>899</v>
      </c>
      <c r="E5" s="178" t="s">
        <v>898</v>
      </c>
      <c r="F5" s="178" t="s">
        <v>897</v>
      </c>
      <c r="G5" s="315" t="s">
        <v>890</v>
      </c>
    </row>
    <row r="6" spans="1:8">
      <c r="A6" s="121"/>
      <c r="B6" s="469" t="s">
        <v>224</v>
      </c>
      <c r="C6" s="383"/>
      <c r="D6" s="383"/>
      <c r="E6" s="383"/>
      <c r="F6" s="383"/>
      <c r="G6" s="384"/>
    </row>
    <row r="7" spans="1:8">
      <c r="A7" s="121"/>
      <c r="B7" s="470" t="s">
        <v>229</v>
      </c>
      <c r="C7" s="383"/>
      <c r="D7" s="383"/>
      <c r="E7" s="383"/>
      <c r="F7" s="383"/>
      <c r="G7" s="384"/>
    </row>
    <row r="8" spans="1:8">
      <c r="A8" s="122">
        <v>1</v>
      </c>
      <c r="B8" s="471" t="s">
        <v>24</v>
      </c>
      <c r="C8" s="385">
        <v>205002460</v>
      </c>
      <c r="D8" s="262">
        <v>220763712</v>
      </c>
      <c r="E8" s="262">
        <v>213601018</v>
      </c>
      <c r="F8" s="262">
        <v>225887221</v>
      </c>
      <c r="G8" s="263">
        <v>221513688</v>
      </c>
    </row>
    <row r="9" spans="1:8">
      <c r="A9" s="122">
        <v>2</v>
      </c>
      <c r="B9" s="471" t="s">
        <v>125</v>
      </c>
      <c r="C9" s="385">
        <v>205002460</v>
      </c>
      <c r="D9" s="262">
        <v>220763712</v>
      </c>
      <c r="E9" s="262">
        <v>213601018</v>
      </c>
      <c r="F9" s="262">
        <v>225887221</v>
      </c>
      <c r="G9" s="263">
        <v>221513688</v>
      </c>
    </row>
    <row r="10" spans="1:8">
      <c r="A10" s="122">
        <v>3</v>
      </c>
      <c r="B10" s="471" t="s">
        <v>89</v>
      </c>
      <c r="C10" s="385">
        <v>417876184</v>
      </c>
      <c r="D10" s="262">
        <v>432657101</v>
      </c>
      <c r="E10" s="262">
        <v>449664223.14069903</v>
      </c>
      <c r="F10" s="262">
        <v>443649135</v>
      </c>
      <c r="G10" s="263">
        <v>437184479</v>
      </c>
    </row>
    <row r="11" spans="1:8">
      <c r="A11" s="121"/>
      <c r="B11" s="469" t="s">
        <v>225</v>
      </c>
      <c r="C11" s="535"/>
      <c r="D11" s="383"/>
      <c r="E11" s="383"/>
      <c r="F11" s="383"/>
      <c r="G11" s="384"/>
    </row>
    <row r="12" spans="1:8" ht="15" customHeight="1">
      <c r="A12" s="122">
        <v>4</v>
      </c>
      <c r="B12" s="471" t="s">
        <v>672</v>
      </c>
      <c r="C12" s="536">
        <v>1298103990.8676498</v>
      </c>
      <c r="D12" s="262">
        <v>1381508823.4325151</v>
      </c>
      <c r="E12" s="262">
        <v>1435351301.9981868</v>
      </c>
      <c r="F12" s="262">
        <v>1328011675.2486753</v>
      </c>
      <c r="G12" s="263">
        <v>1275546929.1857946</v>
      </c>
    </row>
    <row r="13" spans="1:8">
      <c r="A13" s="121"/>
      <c r="B13" s="469" t="s">
        <v>126</v>
      </c>
      <c r="C13" s="535"/>
      <c r="D13" s="383"/>
      <c r="E13" s="383"/>
      <c r="F13" s="383"/>
      <c r="G13" s="384"/>
    </row>
    <row r="14" spans="1:8" s="3" customFormat="1">
      <c r="A14" s="122"/>
      <c r="B14" s="470" t="s">
        <v>885</v>
      </c>
      <c r="C14" s="535"/>
      <c r="D14" s="383"/>
      <c r="E14" s="383"/>
      <c r="F14" s="383"/>
      <c r="G14" s="384"/>
    </row>
    <row r="15" spans="1:8">
      <c r="A15" s="120">
        <v>5</v>
      </c>
      <c r="B15" s="531" t="str">
        <f>"ძირითადი პირველადი კაპიტალის კოეფიციენტი &gt;="&amp;TEXT('9.1. Capital Requirements'!$C$19*100,"#.##")&amp;"%"</f>
        <v>ძირითადი პირველადი კაპიტალის კოეფიციენტი &gt;=9.39%</v>
      </c>
      <c r="C15" s="537">
        <v>0.15792452795941012</v>
      </c>
      <c r="D15" s="333">
        <v>0.15979898807413156</v>
      </c>
      <c r="E15" s="333">
        <v>0.14881445239408703</v>
      </c>
      <c r="F15" s="333">
        <v>0.17009430354420774</v>
      </c>
      <c r="G15" s="334">
        <v>0.17366173123978773</v>
      </c>
    </row>
    <row r="16" spans="1:8" ht="15" customHeight="1">
      <c r="A16" s="120">
        <v>6</v>
      </c>
      <c r="B16" s="531" t="str">
        <f>"პირველადი კაპიტალის კოეფიციენტი &gt;="&amp;TEXT('9.1. Capital Requirements'!$C$20*100,"#.##")&amp;"%"</f>
        <v>პირველადი კაპიტალის კოეფიციენტი &gt;=11.69%</v>
      </c>
      <c r="C16" s="537">
        <v>0.15792452795941012</v>
      </c>
      <c r="D16" s="333">
        <v>0.15979898807413156</v>
      </c>
      <c r="E16" s="333">
        <v>0.14881445239408703</v>
      </c>
      <c r="F16" s="333">
        <v>0.17009430354420774</v>
      </c>
      <c r="G16" s="334">
        <v>0.17366173123978773</v>
      </c>
    </row>
    <row r="17" spans="1:7">
      <c r="A17" s="120">
        <v>7</v>
      </c>
      <c r="B17" s="531" t="str">
        <f>"საზედამხედველო კაპიტალის კოეფიციენტი &gt;="&amp;TEXT('9.1. Capital Requirements'!$C$21*100,"#.##")&amp;"%"</f>
        <v>საზედამხედველო კაპიტალის კოეფიციენტი &gt;=20.73%</v>
      </c>
      <c r="C17" s="537">
        <v>0.32191271804094257</v>
      </c>
      <c r="D17" s="333">
        <v>0.31317722598760855</v>
      </c>
      <c r="E17" s="333">
        <v>0.31327816578053802</v>
      </c>
      <c r="F17" s="333">
        <v>0.33407020681269611</v>
      </c>
      <c r="G17" s="334">
        <v>0.34274276312127772</v>
      </c>
    </row>
    <row r="18" spans="1:7">
      <c r="A18" s="121"/>
      <c r="B18" s="469" t="s">
        <v>6</v>
      </c>
      <c r="C18" s="535"/>
      <c r="D18" s="383"/>
      <c r="E18" s="383"/>
      <c r="F18" s="383"/>
      <c r="G18" s="384"/>
    </row>
    <row r="19" spans="1:7" ht="15" customHeight="1">
      <c r="A19" s="123">
        <v>8</v>
      </c>
      <c r="B19" s="472" t="s">
        <v>7</v>
      </c>
      <c r="C19" s="537">
        <v>7.4393771591169222E-2</v>
      </c>
      <c r="D19" s="333">
        <v>6.8869777669524818E-2</v>
      </c>
      <c r="E19" s="333">
        <v>6.7875055063455161E-2</v>
      </c>
      <c r="F19" s="333">
        <v>6.611481981600173E-2</v>
      </c>
      <c r="G19" s="334">
        <v>6.4290428998735091E-2</v>
      </c>
    </row>
    <row r="20" spans="1:7">
      <c r="A20" s="123">
        <v>9</v>
      </c>
      <c r="B20" s="472" t="s">
        <v>8</v>
      </c>
      <c r="C20" s="537">
        <v>2.4126556739941293E-2</v>
      </c>
      <c r="D20" s="333">
        <v>2.576856840823501E-2</v>
      </c>
      <c r="E20" s="333">
        <v>2.5758209009402611E-2</v>
      </c>
      <c r="F20" s="333">
        <v>2.5472257280309791E-2</v>
      </c>
      <c r="G20" s="334">
        <v>2.4809920266217596E-2</v>
      </c>
    </row>
    <row r="21" spans="1:7">
      <c r="A21" s="123">
        <v>10</v>
      </c>
      <c r="B21" s="472" t="s">
        <v>9</v>
      </c>
      <c r="C21" s="537">
        <v>2.9332291113924026E-2</v>
      </c>
      <c r="D21" s="333">
        <v>3.1701715649815776E-2</v>
      </c>
      <c r="E21" s="333">
        <v>3.4090797916205354E-2</v>
      </c>
      <c r="F21" s="333">
        <v>2.7478556203355656E-2</v>
      </c>
      <c r="G21" s="334">
        <v>2.7734569733938414E-2</v>
      </c>
    </row>
    <row r="22" spans="1:7">
      <c r="A22" s="123">
        <v>11</v>
      </c>
      <c r="B22" s="472" t="s">
        <v>263</v>
      </c>
      <c r="C22" s="537">
        <v>5.0267214851227926E-2</v>
      </c>
      <c r="D22" s="333">
        <v>4.3101209261289804E-2</v>
      </c>
      <c r="E22" s="333">
        <v>4.2116846054052554E-2</v>
      </c>
      <c r="F22" s="333">
        <v>4.0642562535691942E-2</v>
      </c>
      <c r="G22" s="334">
        <v>3.9480508732517489E-2</v>
      </c>
    </row>
    <row r="23" spans="1:7">
      <c r="A23" s="123">
        <v>12</v>
      </c>
      <c r="B23" s="472" t="s">
        <v>10</v>
      </c>
      <c r="C23" s="537">
        <v>1.4851126355640393E-2</v>
      </c>
      <c r="D23" s="333">
        <v>1.5245647500718669E-2</v>
      </c>
      <c r="E23" s="333">
        <v>1.2306832207069357E-2</v>
      </c>
      <c r="F23" s="333">
        <v>5.4002580139866233E-3</v>
      </c>
      <c r="G23" s="334">
        <v>-3.5526042975723968E-3</v>
      </c>
    </row>
    <row r="24" spans="1:7">
      <c r="A24" s="123">
        <v>13</v>
      </c>
      <c r="B24" s="472" t="s">
        <v>11</v>
      </c>
      <c r="C24" s="537">
        <v>7.7879057341487395E-2</v>
      </c>
      <c r="D24" s="333">
        <v>7.7733662887247201E-2</v>
      </c>
      <c r="E24" s="333">
        <v>6.2518158545612795E-2</v>
      </c>
      <c r="F24" s="333">
        <v>2.7118849221469978E-2</v>
      </c>
      <c r="G24" s="334">
        <v>-1.7778028940639259E-2</v>
      </c>
    </row>
    <row r="25" spans="1:7">
      <c r="A25" s="121"/>
      <c r="B25" s="469" t="s">
        <v>12</v>
      </c>
      <c r="C25" s="535"/>
      <c r="D25" s="383"/>
      <c r="E25" s="383"/>
      <c r="F25" s="383"/>
      <c r="G25" s="384"/>
    </row>
    <row r="26" spans="1:7">
      <c r="A26" s="123">
        <v>14</v>
      </c>
      <c r="B26" s="472" t="s">
        <v>13</v>
      </c>
      <c r="C26" s="537">
        <v>0.36782623479854143</v>
      </c>
      <c r="D26" s="333">
        <v>0.35914968422147536</v>
      </c>
      <c r="E26" s="333">
        <v>0.35195794650276119</v>
      </c>
      <c r="F26" s="333">
        <v>0.35901517103269759</v>
      </c>
      <c r="G26" s="334">
        <v>0.36286175405840498</v>
      </c>
    </row>
    <row r="27" spans="1:7" ht="15" customHeight="1">
      <c r="A27" s="123">
        <v>15</v>
      </c>
      <c r="B27" s="472" t="s">
        <v>14</v>
      </c>
      <c r="C27" s="537">
        <v>0.14302761812648807</v>
      </c>
      <c r="D27" s="333">
        <v>0.13849547929493877</v>
      </c>
      <c r="E27" s="333">
        <v>0.13898104895210672</v>
      </c>
      <c r="F27" s="333">
        <v>0.13679783620183003</v>
      </c>
      <c r="G27" s="334">
        <v>0.13602443817391682</v>
      </c>
    </row>
    <row r="28" spans="1:7">
      <c r="A28" s="123">
        <v>16</v>
      </c>
      <c r="B28" s="472" t="s">
        <v>15</v>
      </c>
      <c r="C28" s="537">
        <v>0.62071275044041196</v>
      </c>
      <c r="D28" s="333">
        <v>0.61752701946481858</v>
      </c>
      <c r="E28" s="333">
        <v>0.60736406053144276</v>
      </c>
      <c r="F28" s="333">
        <v>0.62810038186619921</v>
      </c>
      <c r="G28" s="334">
        <v>0.67262294025373848</v>
      </c>
    </row>
    <row r="29" spans="1:7" ht="15" customHeight="1">
      <c r="A29" s="123">
        <v>17</v>
      </c>
      <c r="B29" s="472" t="s">
        <v>16</v>
      </c>
      <c r="C29" s="537">
        <v>0.62782200044927827</v>
      </c>
      <c r="D29" s="333">
        <v>0.60607663353181018</v>
      </c>
      <c r="E29" s="333">
        <v>0.6237976955187633</v>
      </c>
      <c r="F29" s="333">
        <v>0.61327939040067136</v>
      </c>
      <c r="G29" s="334">
        <v>0.63655547923715017</v>
      </c>
    </row>
    <row r="30" spans="1:7">
      <c r="A30" s="123">
        <v>18</v>
      </c>
      <c r="B30" s="472" t="s">
        <v>17</v>
      </c>
      <c r="C30" s="537">
        <v>-2.690143399493361E-3</v>
      </c>
      <c r="D30" s="333">
        <v>2.8948492293526806E-2</v>
      </c>
      <c r="E30" s="333">
        <v>-5.3431982249165788E-3</v>
      </c>
      <c r="F30" s="333">
        <v>-2.0147445656733431E-2</v>
      </c>
      <c r="G30" s="334">
        <v>-1.9377253118775473E-2</v>
      </c>
    </row>
    <row r="31" spans="1:7" ht="15" customHeight="1">
      <c r="A31" s="121"/>
      <c r="B31" s="469" t="s">
        <v>18</v>
      </c>
      <c r="C31" s="535"/>
      <c r="D31" s="383"/>
      <c r="E31" s="383"/>
      <c r="F31" s="383"/>
      <c r="G31" s="384"/>
    </row>
    <row r="32" spans="1:7">
      <c r="A32" s="123">
        <v>19</v>
      </c>
      <c r="B32" s="472" t="s">
        <v>19</v>
      </c>
      <c r="C32" s="537">
        <v>0.2401095105796863</v>
      </c>
      <c r="D32" s="333">
        <v>0.25456700581335773</v>
      </c>
      <c r="E32" s="333">
        <v>0.28523671467693701</v>
      </c>
      <c r="F32" s="333">
        <v>0.22332010762719298</v>
      </c>
      <c r="G32" s="334">
        <v>0.22015644145575586</v>
      </c>
    </row>
    <row r="33" spans="1:7" ht="15" customHeight="1">
      <c r="A33" s="123">
        <v>20</v>
      </c>
      <c r="B33" s="472" t="s">
        <v>20</v>
      </c>
      <c r="C33" s="537">
        <v>0.91540449009230229</v>
      </c>
      <c r="D33" s="333">
        <v>0.87460779793397492</v>
      </c>
      <c r="E33" s="333">
        <v>0.84514146195679363</v>
      </c>
      <c r="F33" s="333">
        <v>0.88068725586693641</v>
      </c>
      <c r="G33" s="334">
        <v>0.88233805725238668</v>
      </c>
    </row>
    <row r="34" spans="1:7">
      <c r="A34" s="123">
        <v>21</v>
      </c>
      <c r="B34" s="473" t="s">
        <v>21</v>
      </c>
      <c r="C34" s="537">
        <v>0.29697614278110768</v>
      </c>
      <c r="D34" s="333">
        <v>0.3086605244879751</v>
      </c>
      <c r="E34" s="333">
        <v>0.32447579899455464</v>
      </c>
      <c r="F34" s="333">
        <v>0.26527037926271257</v>
      </c>
      <c r="G34" s="334">
        <v>0.2869520884448844</v>
      </c>
    </row>
    <row r="35" spans="1:7" ht="15" customHeight="1">
      <c r="A35" s="121"/>
      <c r="B35" s="469" t="s">
        <v>886</v>
      </c>
      <c r="C35" s="535"/>
      <c r="D35" s="383"/>
      <c r="E35" s="383"/>
      <c r="F35" s="383"/>
      <c r="G35" s="384"/>
    </row>
    <row r="36" spans="1:7" ht="15" customHeight="1">
      <c r="A36" s="123">
        <v>22</v>
      </c>
      <c r="B36" s="474" t="s">
        <v>804</v>
      </c>
      <c r="C36" s="386">
        <v>261784898.58272907</v>
      </c>
      <c r="D36" s="386">
        <v>303859040.16574132</v>
      </c>
      <c r="E36" s="386">
        <v>293208220.02744257</v>
      </c>
      <c r="F36" s="386">
        <v>274583991.79835111</v>
      </c>
      <c r="G36" s="389">
        <v>289354525.5604893</v>
      </c>
    </row>
    <row r="37" spans="1:7">
      <c r="A37" s="123">
        <v>23</v>
      </c>
      <c r="B37" s="472" t="s">
        <v>805</v>
      </c>
      <c r="C37" s="386">
        <v>106988387.95930007</v>
      </c>
      <c r="D37" s="387">
        <v>114639306.97298403</v>
      </c>
      <c r="E37" s="387">
        <v>104455906.5296901</v>
      </c>
      <c r="F37" s="387">
        <v>105898565.50430945</v>
      </c>
      <c r="G37" s="388">
        <v>93050473.308957562</v>
      </c>
    </row>
    <row r="38" spans="1:7" ht="15" thickBot="1">
      <c r="A38" s="124">
        <v>24</v>
      </c>
      <c r="B38" s="390" t="s">
        <v>806</v>
      </c>
      <c r="C38" s="538">
        <v>2.446853378913568</v>
      </c>
      <c r="D38" s="475">
        <v>2.6505659200936109</v>
      </c>
      <c r="E38" s="475">
        <v>2.807004694790546</v>
      </c>
      <c r="F38" s="475">
        <v>2.5928962350975109</v>
      </c>
      <c r="G38" s="476">
        <v>3.1096513028981487</v>
      </c>
    </row>
    <row r="39" spans="1:7">
      <c r="A39" s="14"/>
    </row>
    <row r="40" spans="1:7">
      <c r="B40" s="391"/>
    </row>
    <row r="41" spans="1:7" ht="69">
      <c r="B41" s="392" t="s">
        <v>887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I42"/>
  <sheetViews>
    <sheetView workbookViewId="0">
      <pane ySplit="4" topLeftCell="A5" activePane="bottomLeft" state="frozen"/>
      <selection activeCell="B37" sqref="B37"/>
      <selection pane="bottomLeft" activeCell="B2" sqref="B2"/>
    </sheetView>
  </sheetViews>
  <sheetFormatPr defaultRowHeight="14.4"/>
  <cols>
    <col min="1" max="1" width="9.5546875" style="2" bestFit="1" customWidth="1"/>
    <col min="2" max="2" width="55.109375" style="2" bestFit="1" customWidth="1"/>
    <col min="3" max="3" width="13.6640625" style="2" customWidth="1"/>
    <col min="4" max="4" width="13.33203125" style="2" customWidth="1"/>
    <col min="5" max="5" width="14.5546875" style="2" customWidth="1"/>
    <col min="6" max="6" width="13" style="2" customWidth="1"/>
    <col min="7" max="7" width="13.6640625" style="2" customWidth="1"/>
    <col min="8" max="8" width="14.5546875" style="2" customWidth="1"/>
  </cols>
  <sheetData>
    <row r="1" spans="1:9">
      <c r="A1" s="11" t="s">
        <v>227</v>
      </c>
      <c r="B1" s="319" t="s">
        <v>752</v>
      </c>
    </row>
    <row r="2" spans="1:9">
      <c r="A2" s="11" t="s">
        <v>228</v>
      </c>
      <c r="B2" s="322">
        <f>'1. key ratios'!B2</f>
        <v>43555</v>
      </c>
    </row>
    <row r="3" spans="1:9" ht="15" thickBot="1">
      <c r="A3" s="25" t="s">
        <v>650</v>
      </c>
      <c r="B3" s="69" t="s">
        <v>281</v>
      </c>
      <c r="C3" s="25"/>
      <c r="D3" s="26"/>
      <c r="E3" s="26"/>
      <c r="F3" s="27"/>
      <c r="G3" s="27"/>
      <c r="H3" s="28" t="s">
        <v>130</v>
      </c>
    </row>
    <row r="4" spans="1:9">
      <c r="A4" s="29"/>
      <c r="B4" s="30"/>
      <c r="C4" s="543" t="s">
        <v>233</v>
      </c>
      <c r="D4" s="544"/>
      <c r="E4" s="545"/>
      <c r="F4" s="543" t="s">
        <v>234</v>
      </c>
      <c r="G4" s="544"/>
      <c r="H4" s="546"/>
    </row>
    <row r="5" spans="1:9">
      <c r="A5" s="31" t="s">
        <v>27</v>
      </c>
      <c r="B5" s="32" t="s">
        <v>191</v>
      </c>
      <c r="C5" s="33" t="s">
        <v>28</v>
      </c>
      <c r="D5" s="33" t="s">
        <v>131</v>
      </c>
      <c r="E5" s="33" t="s">
        <v>69</v>
      </c>
      <c r="F5" s="33" t="s">
        <v>28</v>
      </c>
      <c r="G5" s="33" t="s">
        <v>131</v>
      </c>
      <c r="H5" s="34" t="s">
        <v>69</v>
      </c>
    </row>
    <row r="6" spans="1:9">
      <c r="A6" s="31">
        <v>1</v>
      </c>
      <c r="B6" s="35" t="s">
        <v>192</v>
      </c>
      <c r="C6" s="264">
        <v>8565462</v>
      </c>
      <c r="D6" s="264">
        <v>7985953</v>
      </c>
      <c r="E6" s="265">
        <f>C6+D6</f>
        <v>16551415</v>
      </c>
      <c r="F6" s="266">
        <v>9554907</v>
      </c>
      <c r="G6" s="267">
        <v>9844420</v>
      </c>
      <c r="H6" s="268">
        <f>F6+G6</f>
        <v>19399327</v>
      </c>
      <c r="I6" s="329"/>
    </row>
    <row r="7" spans="1:9">
      <c r="A7" s="31">
        <v>2</v>
      </c>
      <c r="B7" s="35" t="s">
        <v>193</v>
      </c>
      <c r="C7" s="264">
        <v>13791426</v>
      </c>
      <c r="D7" s="264">
        <v>149559855</v>
      </c>
      <c r="E7" s="265">
        <f t="shared" ref="E7:E19" si="0">C7+D7</f>
        <v>163351281</v>
      </c>
      <c r="F7" s="266">
        <v>6077513</v>
      </c>
      <c r="G7" s="267">
        <v>149339632</v>
      </c>
      <c r="H7" s="268">
        <f t="shared" ref="H7:H30" si="1">F7+G7</f>
        <v>155417145</v>
      </c>
      <c r="I7" s="329"/>
    </row>
    <row r="8" spans="1:9">
      <c r="A8" s="31">
        <v>3</v>
      </c>
      <c r="B8" s="35" t="s">
        <v>194</v>
      </c>
      <c r="C8" s="264">
        <v>5774065</v>
      </c>
      <c r="D8" s="264">
        <v>70394821</v>
      </c>
      <c r="E8" s="265">
        <f t="shared" si="0"/>
        <v>76168886</v>
      </c>
      <c r="F8" s="266">
        <v>41103936</v>
      </c>
      <c r="G8" s="267">
        <v>41700151</v>
      </c>
      <c r="H8" s="268">
        <f t="shared" si="1"/>
        <v>82804087</v>
      </c>
      <c r="I8" s="329"/>
    </row>
    <row r="9" spans="1:9">
      <c r="A9" s="31">
        <v>4</v>
      </c>
      <c r="B9" s="35" t="s">
        <v>223</v>
      </c>
      <c r="C9" s="264">
        <v>0</v>
      </c>
      <c r="D9" s="264">
        <v>0</v>
      </c>
      <c r="E9" s="265">
        <f t="shared" si="0"/>
        <v>0</v>
      </c>
      <c r="F9" s="266">
        <v>0</v>
      </c>
      <c r="G9" s="267">
        <v>0</v>
      </c>
      <c r="H9" s="268">
        <f t="shared" si="1"/>
        <v>0</v>
      </c>
      <c r="I9" s="329"/>
    </row>
    <row r="10" spans="1:9">
      <c r="A10" s="31">
        <v>5</v>
      </c>
      <c r="B10" s="35" t="s">
        <v>195</v>
      </c>
      <c r="C10" s="264">
        <v>14735854</v>
      </c>
      <c r="D10" s="264">
        <v>0</v>
      </c>
      <c r="E10" s="265">
        <f t="shared" si="0"/>
        <v>14735854</v>
      </c>
      <c r="F10" s="266">
        <v>26247919</v>
      </c>
      <c r="G10" s="267">
        <v>0</v>
      </c>
      <c r="H10" s="268">
        <f t="shared" si="1"/>
        <v>26247919</v>
      </c>
      <c r="I10" s="329"/>
    </row>
    <row r="11" spans="1:9">
      <c r="A11" s="31">
        <v>6.1</v>
      </c>
      <c r="B11" s="36" t="s">
        <v>196</v>
      </c>
      <c r="C11" s="264">
        <v>318975202</v>
      </c>
      <c r="D11" s="264">
        <v>522010627</v>
      </c>
      <c r="E11" s="265">
        <f t="shared" si="0"/>
        <v>840985829</v>
      </c>
      <c r="F11" s="266">
        <v>263096541</v>
      </c>
      <c r="G11" s="267">
        <v>540553358</v>
      </c>
      <c r="H11" s="268">
        <f t="shared" si="1"/>
        <v>803649899</v>
      </c>
      <c r="I11" s="329"/>
    </row>
    <row r="12" spans="1:9">
      <c r="A12" s="31">
        <v>6.2</v>
      </c>
      <c r="B12" s="36" t="s">
        <v>197</v>
      </c>
      <c r="C12" s="264">
        <v>-42210915</v>
      </c>
      <c r="D12" s="264">
        <v>-78073285</v>
      </c>
      <c r="E12" s="265">
        <f t="shared" si="0"/>
        <v>-120284200</v>
      </c>
      <c r="F12" s="266">
        <v>-38186086</v>
      </c>
      <c r="G12" s="267">
        <v>-71129940</v>
      </c>
      <c r="H12" s="268">
        <f t="shared" si="1"/>
        <v>-109316026</v>
      </c>
      <c r="I12" s="329"/>
    </row>
    <row r="13" spans="1:9">
      <c r="A13" s="31">
        <v>6</v>
      </c>
      <c r="B13" s="35" t="s">
        <v>198</v>
      </c>
      <c r="C13" s="265">
        <f>C11+C12</f>
        <v>276764287</v>
      </c>
      <c r="D13" s="265">
        <f>D11+D12</f>
        <v>443937342</v>
      </c>
      <c r="E13" s="265">
        <f t="shared" si="0"/>
        <v>720701629</v>
      </c>
      <c r="F13" s="265">
        <f t="shared" ref="F13:G13" si="2">F11+F12</f>
        <v>224910455</v>
      </c>
      <c r="G13" s="265">
        <f t="shared" si="2"/>
        <v>469423418</v>
      </c>
      <c r="H13" s="268">
        <f t="shared" si="1"/>
        <v>694333873</v>
      </c>
      <c r="I13" s="329"/>
    </row>
    <row r="14" spans="1:9">
      <c r="A14" s="31">
        <v>7</v>
      </c>
      <c r="B14" s="35" t="s">
        <v>199</v>
      </c>
      <c r="C14" s="264">
        <v>8379322</v>
      </c>
      <c r="D14" s="264">
        <v>2894372</v>
      </c>
      <c r="E14" s="265">
        <f t="shared" si="0"/>
        <v>11273694</v>
      </c>
      <c r="F14" s="266">
        <v>5975294</v>
      </c>
      <c r="G14" s="267">
        <v>2674749</v>
      </c>
      <c r="H14" s="268">
        <f t="shared" si="1"/>
        <v>8650043</v>
      </c>
      <c r="I14" s="329"/>
    </row>
    <row r="15" spans="1:9">
      <c r="A15" s="31">
        <v>8</v>
      </c>
      <c r="B15" s="35" t="s">
        <v>200</v>
      </c>
      <c r="C15" s="264">
        <v>24803612</v>
      </c>
      <c r="D15" s="264" t="s">
        <v>756</v>
      </c>
      <c r="E15" s="265">
        <f>C15</f>
        <v>24803612</v>
      </c>
      <c r="F15" s="266">
        <v>37526858</v>
      </c>
      <c r="G15" s="267" t="s">
        <v>756</v>
      </c>
      <c r="H15" s="268">
        <f>F15</f>
        <v>37526858</v>
      </c>
      <c r="I15" s="329"/>
    </row>
    <row r="16" spans="1:9">
      <c r="A16" s="31">
        <v>9</v>
      </c>
      <c r="B16" s="35" t="s">
        <v>201</v>
      </c>
      <c r="C16" s="264">
        <v>4883540</v>
      </c>
      <c r="D16" s="264">
        <v>0</v>
      </c>
      <c r="E16" s="265">
        <f t="shared" si="0"/>
        <v>4883540</v>
      </c>
      <c r="F16" s="266">
        <v>2883540</v>
      </c>
      <c r="G16" s="267">
        <v>0</v>
      </c>
      <c r="H16" s="268">
        <f t="shared" si="1"/>
        <v>2883540</v>
      </c>
      <c r="I16" s="329"/>
    </row>
    <row r="17" spans="1:9">
      <c r="A17" s="31">
        <v>10</v>
      </c>
      <c r="B17" s="35" t="s">
        <v>202</v>
      </c>
      <c r="C17" s="264">
        <v>18142922</v>
      </c>
      <c r="D17" s="264" t="s">
        <v>756</v>
      </c>
      <c r="E17" s="265">
        <f>C17</f>
        <v>18142922</v>
      </c>
      <c r="F17" s="266">
        <v>20142829</v>
      </c>
      <c r="G17" s="267" t="s">
        <v>756</v>
      </c>
      <c r="H17" s="268">
        <f>F17</f>
        <v>20142829</v>
      </c>
      <c r="I17" s="329"/>
    </row>
    <row r="18" spans="1:9">
      <c r="A18" s="31">
        <v>11</v>
      </c>
      <c r="B18" s="35" t="s">
        <v>203</v>
      </c>
      <c r="C18" s="264">
        <v>24921758</v>
      </c>
      <c r="D18" s="264">
        <v>1268037</v>
      </c>
      <c r="E18" s="265">
        <f t="shared" si="0"/>
        <v>26189795</v>
      </c>
      <c r="F18" s="266">
        <v>10768367</v>
      </c>
      <c r="G18" s="267">
        <v>1662097</v>
      </c>
      <c r="H18" s="268">
        <f t="shared" si="1"/>
        <v>12430464</v>
      </c>
      <c r="I18" s="329"/>
    </row>
    <row r="19" spans="1:9">
      <c r="A19" s="31">
        <v>12</v>
      </c>
      <c r="B19" s="37" t="s">
        <v>204</v>
      </c>
      <c r="C19" s="265">
        <f>SUM(C6:C10)+SUM(C13:C18)</f>
        <v>400762248</v>
      </c>
      <c r="D19" s="265">
        <f>SUM(D6:D10)+SUM(D13:D18)</f>
        <v>676040380</v>
      </c>
      <c r="E19" s="265">
        <f t="shared" si="0"/>
        <v>1076802628</v>
      </c>
      <c r="F19" s="265">
        <f t="shared" ref="F19:G19" si="3">SUM(F6:F10)+SUM(F13:F18)</f>
        <v>385191618</v>
      </c>
      <c r="G19" s="265">
        <f t="shared" si="3"/>
        <v>674644467</v>
      </c>
      <c r="H19" s="268">
        <f t="shared" si="1"/>
        <v>1059836085</v>
      </c>
      <c r="I19" s="329"/>
    </row>
    <row r="20" spans="1:9">
      <c r="A20" s="31"/>
      <c r="B20" s="32" t="s">
        <v>221</v>
      </c>
      <c r="C20" s="269" t="s">
        <v>765</v>
      </c>
      <c r="D20" s="269"/>
      <c r="E20" s="269"/>
      <c r="F20" s="270" t="s">
        <v>765</v>
      </c>
      <c r="G20" s="271"/>
      <c r="H20" s="272"/>
      <c r="I20" s="329"/>
    </row>
    <row r="21" spans="1:9">
      <c r="A21" s="31">
        <v>13</v>
      </c>
      <c r="B21" s="35" t="s">
        <v>205</v>
      </c>
      <c r="C21" s="264">
        <v>51608</v>
      </c>
      <c r="D21" s="264">
        <v>14909699</v>
      </c>
      <c r="E21" s="265">
        <f>C21+D21</f>
        <v>14961307</v>
      </c>
      <c r="F21" s="266">
        <v>53178</v>
      </c>
      <c r="G21" s="267">
        <v>13379971</v>
      </c>
      <c r="H21" s="268">
        <f t="shared" si="1"/>
        <v>13433149</v>
      </c>
      <c r="I21" s="329"/>
    </row>
    <row r="22" spans="1:9">
      <c r="A22" s="31">
        <v>14</v>
      </c>
      <c r="B22" s="35" t="s">
        <v>206</v>
      </c>
      <c r="C22" s="264">
        <v>34150423</v>
      </c>
      <c r="D22" s="264">
        <v>249233124</v>
      </c>
      <c r="E22" s="265">
        <f t="shared" ref="E22:E29" si="4">C22+D22</f>
        <v>283383547</v>
      </c>
      <c r="F22" s="266">
        <v>37071147</v>
      </c>
      <c r="G22" s="267">
        <v>201192969</v>
      </c>
      <c r="H22" s="268">
        <f t="shared" si="1"/>
        <v>238264116</v>
      </c>
      <c r="I22" s="329"/>
    </row>
    <row r="23" spans="1:9">
      <c r="A23" s="31">
        <v>15</v>
      </c>
      <c r="B23" s="35" t="s">
        <v>207</v>
      </c>
      <c r="C23" s="264">
        <v>14270690</v>
      </c>
      <c r="D23" s="264">
        <v>22130454</v>
      </c>
      <c r="E23" s="265">
        <f t="shared" si="4"/>
        <v>36401144</v>
      </c>
      <c r="F23" s="266">
        <v>17083434</v>
      </c>
      <c r="G23" s="267">
        <v>48774628</v>
      </c>
      <c r="H23" s="268">
        <f t="shared" si="1"/>
        <v>65858062</v>
      </c>
      <c r="I23" s="329"/>
    </row>
    <row r="24" spans="1:9">
      <c r="A24" s="31">
        <v>16</v>
      </c>
      <c r="B24" s="35" t="s">
        <v>208</v>
      </c>
      <c r="C24" s="264">
        <v>13855062</v>
      </c>
      <c r="D24" s="264">
        <v>288056816</v>
      </c>
      <c r="E24" s="265">
        <f t="shared" si="4"/>
        <v>301911878</v>
      </c>
      <c r="F24" s="266">
        <v>39408567</v>
      </c>
      <c r="G24" s="267">
        <v>232604853</v>
      </c>
      <c r="H24" s="268">
        <f t="shared" si="1"/>
        <v>272013420</v>
      </c>
      <c r="I24" s="329"/>
    </row>
    <row r="25" spans="1:9">
      <c r="A25" s="31">
        <v>17</v>
      </c>
      <c r="B25" s="35" t="s">
        <v>209</v>
      </c>
      <c r="C25" s="269"/>
      <c r="D25" s="269"/>
      <c r="E25" s="265">
        <f t="shared" si="4"/>
        <v>0</v>
      </c>
      <c r="F25" s="270"/>
      <c r="G25" s="271"/>
      <c r="H25" s="268">
        <f t="shared" si="1"/>
        <v>0</v>
      </c>
      <c r="I25" s="329"/>
    </row>
    <row r="26" spans="1:9">
      <c r="A26" s="31">
        <v>18</v>
      </c>
      <c r="B26" s="35" t="s">
        <v>210</v>
      </c>
      <c r="C26" s="264">
        <v>0</v>
      </c>
      <c r="D26" s="264">
        <v>0</v>
      </c>
      <c r="E26" s="265">
        <f t="shared" si="4"/>
        <v>0</v>
      </c>
      <c r="F26" s="266">
        <v>0</v>
      </c>
      <c r="G26" s="267">
        <v>21367440</v>
      </c>
      <c r="H26" s="268">
        <f t="shared" si="1"/>
        <v>21367440</v>
      </c>
      <c r="I26" s="329"/>
    </row>
    <row r="27" spans="1:9">
      <c r="A27" s="31">
        <v>19</v>
      </c>
      <c r="B27" s="35" t="s">
        <v>211</v>
      </c>
      <c r="C27" s="264">
        <v>357968</v>
      </c>
      <c r="D27" s="264">
        <v>11654144</v>
      </c>
      <c r="E27" s="265">
        <f t="shared" si="4"/>
        <v>12012112</v>
      </c>
      <c r="F27" s="266">
        <v>720882</v>
      </c>
      <c r="G27" s="267">
        <v>6991031</v>
      </c>
      <c r="H27" s="268">
        <f t="shared" si="1"/>
        <v>7711913</v>
      </c>
      <c r="I27" s="329"/>
    </row>
    <row r="28" spans="1:9">
      <c r="A28" s="31">
        <v>20</v>
      </c>
      <c r="B28" s="35" t="s">
        <v>133</v>
      </c>
      <c r="C28" s="264">
        <v>10582847</v>
      </c>
      <c r="D28" s="264">
        <v>3382371</v>
      </c>
      <c r="E28" s="265">
        <f t="shared" si="4"/>
        <v>13965218</v>
      </c>
      <c r="F28" s="266">
        <v>3530919</v>
      </c>
      <c r="G28" s="267">
        <v>3767230</v>
      </c>
      <c r="H28" s="268">
        <f t="shared" si="1"/>
        <v>7298149</v>
      </c>
      <c r="I28" s="329"/>
    </row>
    <row r="29" spans="1:9">
      <c r="A29" s="31">
        <v>21</v>
      </c>
      <c r="B29" s="35" t="s">
        <v>212</v>
      </c>
      <c r="C29" s="264">
        <v>0</v>
      </c>
      <c r="D29" s="264">
        <v>203469840</v>
      </c>
      <c r="E29" s="265">
        <f t="shared" si="4"/>
        <v>203469840</v>
      </c>
      <c r="F29" s="266">
        <v>0</v>
      </c>
      <c r="G29" s="267">
        <v>205827600</v>
      </c>
      <c r="H29" s="268">
        <f t="shared" si="1"/>
        <v>205827600</v>
      </c>
      <c r="I29" s="329"/>
    </row>
    <row r="30" spans="1:9">
      <c r="A30" s="31">
        <v>22</v>
      </c>
      <c r="B30" s="37" t="s">
        <v>213</v>
      </c>
      <c r="C30" s="265">
        <f>SUM(C21:C29)</f>
        <v>73268598</v>
      </c>
      <c r="D30" s="265">
        <f>SUM(D21:D29)</f>
        <v>792836448</v>
      </c>
      <c r="E30" s="265">
        <f>C30+D30</f>
        <v>866105046</v>
      </c>
      <c r="F30" s="265">
        <f t="shared" ref="F30:G30" si="5">SUM(F21:F29)</f>
        <v>97868127</v>
      </c>
      <c r="G30" s="265">
        <f t="shared" si="5"/>
        <v>733905722</v>
      </c>
      <c r="H30" s="268">
        <f t="shared" si="1"/>
        <v>831773849</v>
      </c>
      <c r="I30" s="329"/>
    </row>
    <row r="31" spans="1:9">
      <c r="A31" s="31"/>
      <c r="B31" s="32" t="s">
        <v>222</v>
      </c>
      <c r="C31" s="269"/>
      <c r="D31" s="269"/>
      <c r="E31" s="264"/>
      <c r="F31" s="270"/>
      <c r="G31" s="271"/>
      <c r="H31" s="272"/>
      <c r="I31" s="329"/>
    </row>
    <row r="32" spans="1:9">
      <c r="A32" s="31">
        <v>23</v>
      </c>
      <c r="B32" s="35" t="s">
        <v>214</v>
      </c>
      <c r="C32" s="264">
        <v>114430000</v>
      </c>
      <c r="D32" s="269" t="s">
        <v>756</v>
      </c>
      <c r="E32" s="265">
        <f>C32</f>
        <v>114430000</v>
      </c>
      <c r="F32" s="266">
        <v>114430000</v>
      </c>
      <c r="G32" s="271" t="s">
        <v>756</v>
      </c>
      <c r="H32" s="268">
        <f>F32</f>
        <v>114430000</v>
      </c>
      <c r="I32" s="329"/>
    </row>
    <row r="33" spans="1:9">
      <c r="A33" s="31">
        <v>24</v>
      </c>
      <c r="B33" s="35" t="s">
        <v>215</v>
      </c>
      <c r="C33" s="264">
        <v>0</v>
      </c>
      <c r="D33" s="269" t="s">
        <v>756</v>
      </c>
      <c r="E33" s="265">
        <f t="shared" ref="E33:E39" si="6">C33</f>
        <v>0</v>
      </c>
      <c r="F33" s="266">
        <v>0</v>
      </c>
      <c r="G33" s="271" t="s">
        <v>756</v>
      </c>
      <c r="H33" s="268">
        <f t="shared" ref="H33:H39" si="7">F33</f>
        <v>0</v>
      </c>
      <c r="I33" s="329"/>
    </row>
    <row r="34" spans="1:9">
      <c r="A34" s="31">
        <v>25</v>
      </c>
      <c r="B34" s="36" t="s">
        <v>216</v>
      </c>
      <c r="C34" s="264">
        <v>0</v>
      </c>
      <c r="D34" s="269" t="s">
        <v>756</v>
      </c>
      <c r="E34" s="265">
        <f t="shared" si="6"/>
        <v>0</v>
      </c>
      <c r="F34" s="266">
        <v>0</v>
      </c>
      <c r="G34" s="271" t="s">
        <v>756</v>
      </c>
      <c r="H34" s="268">
        <f t="shared" si="7"/>
        <v>0</v>
      </c>
      <c r="I34" s="329"/>
    </row>
    <row r="35" spans="1:9">
      <c r="A35" s="31">
        <v>26</v>
      </c>
      <c r="B35" s="35" t="s">
        <v>217</v>
      </c>
      <c r="C35" s="264">
        <v>0</v>
      </c>
      <c r="D35" s="269" t="s">
        <v>756</v>
      </c>
      <c r="E35" s="265">
        <f t="shared" si="6"/>
        <v>0</v>
      </c>
      <c r="F35" s="266">
        <v>0</v>
      </c>
      <c r="G35" s="271" t="s">
        <v>756</v>
      </c>
      <c r="H35" s="268">
        <f t="shared" si="7"/>
        <v>0</v>
      </c>
      <c r="I35" s="329"/>
    </row>
    <row r="36" spans="1:9">
      <c r="A36" s="31">
        <v>27</v>
      </c>
      <c r="B36" s="35" t="s">
        <v>218</v>
      </c>
      <c r="C36" s="264">
        <v>7438034</v>
      </c>
      <c r="D36" s="269" t="s">
        <v>756</v>
      </c>
      <c r="E36" s="265">
        <f t="shared" si="6"/>
        <v>7438034</v>
      </c>
      <c r="F36" s="266">
        <v>7438034</v>
      </c>
      <c r="G36" s="271" t="s">
        <v>756</v>
      </c>
      <c r="H36" s="268">
        <f t="shared" si="7"/>
        <v>7438034</v>
      </c>
      <c r="I36" s="329"/>
    </row>
    <row r="37" spans="1:9">
      <c r="A37" s="31">
        <v>28</v>
      </c>
      <c r="B37" s="35" t="s">
        <v>219</v>
      </c>
      <c r="C37" s="264">
        <v>88829548</v>
      </c>
      <c r="D37" s="269" t="s">
        <v>756</v>
      </c>
      <c r="E37" s="265">
        <f t="shared" si="6"/>
        <v>88829548</v>
      </c>
      <c r="F37" s="266">
        <v>106194202</v>
      </c>
      <c r="G37" s="271" t="s">
        <v>756</v>
      </c>
      <c r="H37" s="268">
        <f t="shared" si="7"/>
        <v>106194202</v>
      </c>
      <c r="I37" s="329"/>
    </row>
    <row r="38" spans="1:9">
      <c r="A38" s="31">
        <v>29</v>
      </c>
      <c r="B38" s="35" t="s">
        <v>235</v>
      </c>
      <c r="C38" s="264">
        <v>0</v>
      </c>
      <c r="D38" s="269" t="s">
        <v>756</v>
      </c>
      <c r="E38" s="265">
        <f t="shared" si="6"/>
        <v>0</v>
      </c>
      <c r="F38" s="266">
        <v>0</v>
      </c>
      <c r="G38" s="271" t="s">
        <v>756</v>
      </c>
      <c r="H38" s="268">
        <f t="shared" si="7"/>
        <v>0</v>
      </c>
      <c r="I38" s="329"/>
    </row>
    <row r="39" spans="1:9">
      <c r="A39" s="31">
        <v>30</v>
      </c>
      <c r="B39" s="37" t="s">
        <v>220</v>
      </c>
      <c r="C39" s="264">
        <f>SUM(C32:C38)</f>
        <v>210697582</v>
      </c>
      <c r="D39" s="269">
        <f>SUM(D32:D38)</f>
        <v>0</v>
      </c>
      <c r="E39" s="265">
        <f t="shared" si="6"/>
        <v>210697582</v>
      </c>
      <c r="F39" s="266">
        <f t="shared" ref="F39:G39" si="8">SUM(F32:F38)</f>
        <v>228062236</v>
      </c>
      <c r="G39" s="271">
        <f t="shared" si="8"/>
        <v>0</v>
      </c>
      <c r="H39" s="268">
        <f t="shared" si="7"/>
        <v>228062236</v>
      </c>
      <c r="I39" s="329"/>
    </row>
    <row r="40" spans="1:9" ht="15" thickBot="1">
      <c r="A40" s="38">
        <v>31</v>
      </c>
      <c r="B40" s="39" t="s">
        <v>236</v>
      </c>
      <c r="C40" s="273">
        <f>C30+C39</f>
        <v>283966180</v>
      </c>
      <c r="D40" s="273">
        <f>D30</f>
        <v>792836448</v>
      </c>
      <c r="E40" s="273">
        <f>C40+D40</f>
        <v>1076802628</v>
      </c>
      <c r="F40" s="273">
        <f>F30+F39</f>
        <v>325930363</v>
      </c>
      <c r="G40" s="273">
        <f>G30</f>
        <v>733905722</v>
      </c>
      <c r="H40" s="274">
        <f>F40+G40</f>
        <v>1059836085</v>
      </c>
      <c r="I40" s="329"/>
    </row>
    <row r="41" spans="1:9">
      <c r="E41" s="316"/>
      <c r="H41" s="316"/>
    </row>
    <row r="42" spans="1:9">
      <c r="B42" s="40"/>
    </row>
  </sheetData>
  <mergeCells count="2">
    <mergeCell ref="C4:E4"/>
    <mergeCell ref="F4:H4"/>
  </mergeCells>
  <dataValidations count="1">
    <dataValidation type="whole" operator="lessThanOrEqual" allowBlank="1" showInputMessage="1" showErrorMessage="1" sqref="C12:D12 F12:G12">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6"/>
  <sheetViews>
    <sheetView workbookViewId="0">
      <pane xSplit="1" ySplit="5" topLeftCell="B40" activePane="bottomRight" state="frozen"/>
      <selection activeCell="B43" sqref="B43"/>
      <selection pane="topRight" activeCell="B43" sqref="B43"/>
      <selection pane="bottomLeft" activeCell="B43" sqref="B43"/>
      <selection pane="bottomRight" activeCell="B40" sqref="B40"/>
    </sheetView>
  </sheetViews>
  <sheetFormatPr defaultColWidth="9.109375" defaultRowHeight="14.4"/>
  <cols>
    <col min="1" max="1" width="9.5546875" style="2" bestFit="1" customWidth="1"/>
    <col min="2" max="2" width="71.109375" style="2" customWidth="1"/>
    <col min="3" max="3" width="13.5546875" style="2" customWidth="1"/>
    <col min="4" max="8" width="12.6640625" style="2" customWidth="1"/>
    <col min="9" max="9" width="8.88671875" customWidth="1"/>
    <col min="10" max="16384" width="9.109375" style="8"/>
  </cols>
  <sheetData>
    <row r="1" spans="1:9">
      <c r="A1" s="11" t="s">
        <v>227</v>
      </c>
      <c r="B1" s="319" t="s">
        <v>752</v>
      </c>
      <c r="C1" s="10"/>
    </row>
    <row r="2" spans="1:9">
      <c r="A2" s="11" t="s">
        <v>228</v>
      </c>
      <c r="B2" s="322">
        <f>'1. key ratios'!B2</f>
        <v>43555</v>
      </c>
      <c r="C2" s="23"/>
      <c r="D2" s="12"/>
      <c r="E2" s="12"/>
      <c r="F2" s="12"/>
      <c r="G2" s="12"/>
      <c r="H2" s="12"/>
    </row>
    <row r="3" spans="1:9" ht="15" thickBot="1">
      <c r="A3" s="41" t="s">
        <v>651</v>
      </c>
      <c r="B3" s="24" t="s">
        <v>261</v>
      </c>
      <c r="C3" s="27"/>
      <c r="D3" s="27"/>
      <c r="E3" s="27"/>
      <c r="F3" s="41"/>
      <c r="G3" s="41"/>
      <c r="H3" s="42" t="s">
        <v>130</v>
      </c>
    </row>
    <row r="4" spans="1:9">
      <c r="A4" s="125"/>
      <c r="B4" s="126"/>
      <c r="C4" s="543" t="s">
        <v>233</v>
      </c>
      <c r="D4" s="544"/>
      <c r="E4" s="545"/>
      <c r="F4" s="543" t="s">
        <v>234</v>
      </c>
      <c r="G4" s="544"/>
      <c r="H4" s="546"/>
    </row>
    <row r="5" spans="1:9">
      <c r="A5" s="127" t="s">
        <v>27</v>
      </c>
      <c r="B5" s="43"/>
      <c r="C5" s="44" t="s">
        <v>28</v>
      </c>
      <c r="D5" s="44" t="s">
        <v>134</v>
      </c>
      <c r="E5" s="44" t="s">
        <v>69</v>
      </c>
      <c r="F5" s="44" t="s">
        <v>28</v>
      </c>
      <c r="G5" s="44" t="s">
        <v>134</v>
      </c>
      <c r="H5" s="128" t="s">
        <v>69</v>
      </c>
    </row>
    <row r="6" spans="1:9">
      <c r="A6" s="129"/>
      <c r="B6" s="46" t="s">
        <v>129</v>
      </c>
      <c r="C6" s="47"/>
      <c r="D6" s="47"/>
      <c r="E6" s="47"/>
      <c r="F6" s="47"/>
      <c r="G6" s="47"/>
      <c r="H6" s="130"/>
      <c r="I6" s="329"/>
    </row>
    <row r="7" spans="1:9" ht="27.6">
      <c r="A7" s="129">
        <v>1</v>
      </c>
      <c r="B7" s="48" t="s">
        <v>135</v>
      </c>
      <c r="C7" s="275">
        <v>841443</v>
      </c>
      <c r="D7" s="275">
        <v>357357</v>
      </c>
      <c r="E7" s="265">
        <f>C7+D7</f>
        <v>1198800</v>
      </c>
      <c r="F7" s="275">
        <v>984786</v>
      </c>
      <c r="G7" s="275">
        <v>379033</v>
      </c>
      <c r="H7" s="276">
        <f>F7+G7</f>
        <v>1363819</v>
      </c>
      <c r="I7" s="329"/>
    </row>
    <row r="8" spans="1:9">
      <c r="A8" s="129">
        <v>2</v>
      </c>
      <c r="B8" s="48" t="s">
        <v>136</v>
      </c>
      <c r="C8" s="277">
        <f>SUM(C9:C17)</f>
        <v>6051232</v>
      </c>
      <c r="D8" s="277">
        <f>SUM(D9:D17)</f>
        <v>10250461</v>
      </c>
      <c r="E8" s="265">
        <f t="shared" ref="E8:E66" si="0">C8+D8</f>
        <v>16301693</v>
      </c>
      <c r="F8" s="277">
        <f>SUM(F9:F17)</f>
        <v>4472227</v>
      </c>
      <c r="G8" s="277">
        <f>SUM(G9:G17)</f>
        <v>11720478</v>
      </c>
      <c r="H8" s="276">
        <f t="shared" ref="H8:H66" si="1">F8+G8</f>
        <v>16192705</v>
      </c>
      <c r="I8" s="329"/>
    </row>
    <row r="9" spans="1:9">
      <c r="A9" s="129">
        <v>2.1</v>
      </c>
      <c r="B9" s="49" t="s">
        <v>137</v>
      </c>
      <c r="C9" s="275">
        <v>0</v>
      </c>
      <c r="D9" s="275">
        <v>0</v>
      </c>
      <c r="E9" s="265">
        <f t="shared" si="0"/>
        <v>0</v>
      </c>
      <c r="F9" s="275">
        <v>8114</v>
      </c>
      <c r="G9" s="275">
        <v>0</v>
      </c>
      <c r="H9" s="276">
        <f t="shared" si="1"/>
        <v>8114</v>
      </c>
      <c r="I9" s="329"/>
    </row>
    <row r="10" spans="1:9">
      <c r="A10" s="129">
        <v>2.2000000000000002</v>
      </c>
      <c r="B10" s="49" t="s">
        <v>138</v>
      </c>
      <c r="C10" s="275">
        <v>2763213.1100000003</v>
      </c>
      <c r="D10" s="275">
        <v>4504977.49</v>
      </c>
      <c r="E10" s="265">
        <f t="shared" si="0"/>
        <v>7268190.6000000006</v>
      </c>
      <c r="F10" s="275">
        <v>2466016.85</v>
      </c>
      <c r="G10" s="275">
        <v>6160384.209999999</v>
      </c>
      <c r="H10" s="276">
        <f t="shared" si="1"/>
        <v>8626401.0599999987</v>
      </c>
      <c r="I10" s="329"/>
    </row>
    <row r="11" spans="1:9">
      <c r="A11" s="129">
        <v>2.2999999999999998</v>
      </c>
      <c r="B11" s="49" t="s">
        <v>139</v>
      </c>
      <c r="C11" s="275">
        <v>266.36</v>
      </c>
      <c r="D11" s="275">
        <v>56519.040000000001</v>
      </c>
      <c r="E11" s="265">
        <f t="shared" si="0"/>
        <v>56785.4</v>
      </c>
      <c r="F11" s="275">
        <v>0</v>
      </c>
      <c r="G11" s="275">
        <v>75261.66</v>
      </c>
      <c r="H11" s="276">
        <f t="shared" si="1"/>
        <v>75261.66</v>
      </c>
      <c r="I11" s="329"/>
    </row>
    <row r="12" spans="1:9">
      <c r="A12" s="129">
        <v>2.4</v>
      </c>
      <c r="B12" s="49" t="s">
        <v>140</v>
      </c>
      <c r="C12" s="275">
        <v>455993.68000000005</v>
      </c>
      <c r="D12" s="275">
        <v>1218564.53</v>
      </c>
      <c r="E12" s="265">
        <f t="shared" si="0"/>
        <v>1674558.21</v>
      </c>
      <c r="F12" s="275">
        <v>474706.6</v>
      </c>
      <c r="G12" s="275">
        <v>913825.00999999989</v>
      </c>
      <c r="H12" s="276">
        <f t="shared" si="1"/>
        <v>1388531.6099999999</v>
      </c>
      <c r="I12" s="329"/>
    </row>
    <row r="13" spans="1:9">
      <c r="A13" s="129">
        <v>2.5</v>
      </c>
      <c r="B13" s="49" t="s">
        <v>141</v>
      </c>
      <c r="C13" s="275">
        <v>930115.49000000011</v>
      </c>
      <c r="D13" s="275">
        <v>1119151.29</v>
      </c>
      <c r="E13" s="265">
        <f t="shared" si="0"/>
        <v>2049266.7800000003</v>
      </c>
      <c r="F13" s="275">
        <v>409017.79</v>
      </c>
      <c r="G13" s="275">
        <v>677312.96</v>
      </c>
      <c r="H13" s="276">
        <f t="shared" si="1"/>
        <v>1086330.75</v>
      </c>
      <c r="I13" s="329"/>
    </row>
    <row r="14" spans="1:9">
      <c r="A14" s="129">
        <v>2.6</v>
      </c>
      <c r="B14" s="49" t="s">
        <v>142</v>
      </c>
      <c r="C14" s="275">
        <v>1095580.93</v>
      </c>
      <c r="D14" s="275">
        <v>892443.1100000001</v>
      </c>
      <c r="E14" s="265">
        <f t="shared" si="0"/>
        <v>1988024.04</v>
      </c>
      <c r="F14" s="275">
        <v>737107.51</v>
      </c>
      <c r="G14" s="275">
        <v>1516197.2599999998</v>
      </c>
      <c r="H14" s="276">
        <f t="shared" si="1"/>
        <v>2253304.7699999996</v>
      </c>
      <c r="I14" s="329"/>
    </row>
    <row r="15" spans="1:9">
      <c r="A15" s="129">
        <v>2.7</v>
      </c>
      <c r="B15" s="49" t="s">
        <v>143</v>
      </c>
      <c r="C15" s="275">
        <v>2716.6</v>
      </c>
      <c r="D15" s="275">
        <v>666431.35999999987</v>
      </c>
      <c r="E15" s="265">
        <f t="shared" si="0"/>
        <v>669147.95999999985</v>
      </c>
      <c r="F15" s="275">
        <v>2055.3000000000002</v>
      </c>
      <c r="G15" s="275">
        <v>140182.9</v>
      </c>
      <c r="H15" s="276">
        <f t="shared" si="1"/>
        <v>142238.19999999998</v>
      </c>
      <c r="I15" s="329"/>
    </row>
    <row r="16" spans="1:9">
      <c r="A16" s="129">
        <v>2.8</v>
      </c>
      <c r="B16" s="49" t="s">
        <v>144</v>
      </c>
      <c r="C16" s="275">
        <v>85820</v>
      </c>
      <c r="D16" s="275">
        <v>811243</v>
      </c>
      <c r="E16" s="265">
        <f t="shared" si="0"/>
        <v>897063</v>
      </c>
      <c r="F16" s="275">
        <v>257642</v>
      </c>
      <c r="G16" s="275">
        <v>983617</v>
      </c>
      <c r="H16" s="276">
        <f t="shared" si="1"/>
        <v>1241259</v>
      </c>
      <c r="I16" s="329"/>
    </row>
    <row r="17" spans="1:9">
      <c r="A17" s="129">
        <v>2.9</v>
      </c>
      <c r="B17" s="49" t="s">
        <v>145</v>
      </c>
      <c r="C17" s="275">
        <v>717525.83000000007</v>
      </c>
      <c r="D17" s="275">
        <v>981131.1799999997</v>
      </c>
      <c r="E17" s="265">
        <f t="shared" si="0"/>
        <v>1698657.0099999998</v>
      </c>
      <c r="F17" s="275">
        <v>117566.95000000019</v>
      </c>
      <c r="G17" s="275">
        <v>1253697.0000000019</v>
      </c>
      <c r="H17" s="276">
        <f t="shared" si="1"/>
        <v>1371263.950000002</v>
      </c>
      <c r="I17" s="329"/>
    </row>
    <row r="18" spans="1:9" ht="27.6">
      <c r="A18" s="129">
        <v>3</v>
      </c>
      <c r="B18" s="48" t="s">
        <v>146</v>
      </c>
      <c r="C18" s="275">
        <v>772469</v>
      </c>
      <c r="D18" s="275">
        <v>2159239</v>
      </c>
      <c r="E18" s="265">
        <f t="shared" si="0"/>
        <v>2931708</v>
      </c>
      <c r="F18" s="275">
        <v>91662</v>
      </c>
      <c r="G18" s="275">
        <v>261978</v>
      </c>
      <c r="H18" s="276">
        <f t="shared" si="1"/>
        <v>353640</v>
      </c>
      <c r="I18" s="329"/>
    </row>
    <row r="19" spans="1:9">
      <c r="A19" s="129">
        <v>4</v>
      </c>
      <c r="B19" s="48" t="s">
        <v>147</v>
      </c>
      <c r="C19" s="275">
        <v>274997</v>
      </c>
      <c r="D19" s="275">
        <v>0</v>
      </c>
      <c r="E19" s="265">
        <f t="shared" si="0"/>
        <v>274997</v>
      </c>
      <c r="F19" s="275">
        <v>477346</v>
      </c>
      <c r="G19" s="275">
        <v>0</v>
      </c>
      <c r="H19" s="276">
        <f t="shared" si="1"/>
        <v>477346</v>
      </c>
      <c r="I19" s="329"/>
    </row>
    <row r="20" spans="1:9">
      <c r="A20" s="129">
        <v>5</v>
      </c>
      <c r="B20" s="48" t="s">
        <v>148</v>
      </c>
      <c r="C20" s="275">
        <v>0</v>
      </c>
      <c r="D20" s="275">
        <v>20656</v>
      </c>
      <c r="E20" s="265">
        <f t="shared" si="0"/>
        <v>20656</v>
      </c>
      <c r="F20" s="275">
        <v>0</v>
      </c>
      <c r="G20" s="275">
        <v>11011</v>
      </c>
      <c r="H20" s="276">
        <f>F20+G20</f>
        <v>11011</v>
      </c>
      <c r="I20" s="329"/>
    </row>
    <row r="21" spans="1:9">
      <c r="A21" s="129">
        <v>6</v>
      </c>
      <c r="B21" s="50" t="s">
        <v>149</v>
      </c>
      <c r="C21" s="277">
        <f>C7+C8+C18+C19+C20</f>
        <v>7940141</v>
      </c>
      <c r="D21" s="277">
        <f>D7+D8+D18+D19+D20</f>
        <v>12787713</v>
      </c>
      <c r="E21" s="265">
        <f>C21+D21</f>
        <v>20727854</v>
      </c>
      <c r="F21" s="277">
        <f>F7+F8+F18+F19+F20</f>
        <v>6026021</v>
      </c>
      <c r="G21" s="277">
        <f>G7+G8+G18+G19+G20</f>
        <v>12372500</v>
      </c>
      <c r="H21" s="276">
        <f>F21+G21</f>
        <v>18398521</v>
      </c>
      <c r="I21" s="329"/>
    </row>
    <row r="22" spans="1:9">
      <c r="A22" s="129"/>
      <c r="B22" s="46" t="s">
        <v>127</v>
      </c>
      <c r="C22" s="275"/>
      <c r="D22" s="275"/>
      <c r="E22" s="264"/>
      <c r="F22" s="275"/>
      <c r="G22" s="275"/>
      <c r="H22" s="278"/>
      <c r="I22" s="329"/>
    </row>
    <row r="23" spans="1:9">
      <c r="A23" s="129">
        <v>7</v>
      </c>
      <c r="B23" s="48" t="s">
        <v>150</v>
      </c>
      <c r="C23" s="275">
        <v>635290</v>
      </c>
      <c r="D23" s="275">
        <v>70121</v>
      </c>
      <c r="E23" s="265">
        <f t="shared" si="0"/>
        <v>705411</v>
      </c>
      <c r="F23" s="275">
        <v>416468</v>
      </c>
      <c r="G23" s="275">
        <v>181147</v>
      </c>
      <c r="H23" s="276">
        <f t="shared" si="1"/>
        <v>597615</v>
      </c>
      <c r="I23" s="329"/>
    </row>
    <row r="24" spans="1:9">
      <c r="A24" s="129">
        <v>8</v>
      </c>
      <c r="B24" s="48" t="s">
        <v>151</v>
      </c>
      <c r="C24" s="275">
        <v>236963</v>
      </c>
      <c r="D24" s="275">
        <v>3352920</v>
      </c>
      <c r="E24" s="265">
        <f t="shared" si="0"/>
        <v>3589883</v>
      </c>
      <c r="F24" s="275">
        <v>729253</v>
      </c>
      <c r="G24" s="275">
        <v>2963271</v>
      </c>
      <c r="H24" s="276">
        <f t="shared" si="1"/>
        <v>3692524</v>
      </c>
      <c r="I24" s="329"/>
    </row>
    <row r="25" spans="1:9">
      <c r="A25" s="129">
        <v>9</v>
      </c>
      <c r="B25" s="48" t="s">
        <v>152</v>
      </c>
      <c r="C25" s="275">
        <v>12171</v>
      </c>
      <c r="D25" s="275">
        <v>176696</v>
      </c>
      <c r="E25" s="265">
        <f t="shared" si="0"/>
        <v>188867</v>
      </c>
      <c r="F25" s="275">
        <v>1750</v>
      </c>
      <c r="G25" s="275">
        <v>155339</v>
      </c>
      <c r="H25" s="276">
        <f t="shared" si="1"/>
        <v>157089</v>
      </c>
      <c r="I25" s="329"/>
    </row>
    <row r="26" spans="1:9">
      <c r="A26" s="129">
        <v>10</v>
      </c>
      <c r="B26" s="48" t="s">
        <v>153</v>
      </c>
      <c r="C26" s="275">
        <v>0</v>
      </c>
      <c r="D26" s="275">
        <v>0</v>
      </c>
      <c r="E26" s="265">
        <f t="shared" si="0"/>
        <v>0</v>
      </c>
      <c r="F26" s="275">
        <v>0</v>
      </c>
      <c r="G26" s="275">
        <v>0</v>
      </c>
      <c r="H26" s="276">
        <f t="shared" si="1"/>
        <v>0</v>
      </c>
      <c r="I26" s="329"/>
    </row>
    <row r="27" spans="1:9">
      <c r="A27" s="129">
        <v>11</v>
      </c>
      <c r="B27" s="48" t="s">
        <v>154</v>
      </c>
      <c r="C27" s="275">
        <v>0</v>
      </c>
      <c r="D27" s="275">
        <v>2238065</v>
      </c>
      <c r="E27" s="265">
        <f t="shared" si="0"/>
        <v>2238065</v>
      </c>
      <c r="F27" s="275">
        <v>0</v>
      </c>
      <c r="G27" s="275">
        <v>2652831</v>
      </c>
      <c r="H27" s="276">
        <f t="shared" si="1"/>
        <v>2652831</v>
      </c>
      <c r="I27" s="329"/>
    </row>
    <row r="28" spans="1:9">
      <c r="A28" s="129">
        <v>12</v>
      </c>
      <c r="B28" s="48" t="s">
        <v>155</v>
      </c>
      <c r="C28" s="275"/>
      <c r="D28" s="275"/>
      <c r="E28" s="265">
        <f t="shared" si="0"/>
        <v>0</v>
      </c>
      <c r="F28" s="275"/>
      <c r="G28" s="275"/>
      <c r="H28" s="276">
        <f t="shared" si="1"/>
        <v>0</v>
      </c>
      <c r="I28" s="329"/>
    </row>
    <row r="29" spans="1:9">
      <c r="A29" s="129">
        <v>13</v>
      </c>
      <c r="B29" s="51" t="s">
        <v>156</v>
      </c>
      <c r="C29" s="277">
        <f>SUM(C23:C28)</f>
        <v>884424</v>
      </c>
      <c r="D29" s="277">
        <f>SUM(D23:D28)</f>
        <v>5837802</v>
      </c>
      <c r="E29" s="265">
        <f t="shared" si="0"/>
        <v>6722226</v>
      </c>
      <c r="F29" s="277">
        <f>SUM(F23:F28)</f>
        <v>1147471</v>
      </c>
      <c r="G29" s="277">
        <f>SUM(G23:G28)</f>
        <v>5952588</v>
      </c>
      <c r="H29" s="276">
        <f t="shared" si="1"/>
        <v>7100059</v>
      </c>
      <c r="I29" s="329"/>
    </row>
    <row r="30" spans="1:9">
      <c r="A30" s="129">
        <v>14</v>
      </c>
      <c r="B30" s="51" t="s">
        <v>157</v>
      </c>
      <c r="C30" s="277">
        <f>C21-C29</f>
        <v>7055717</v>
      </c>
      <c r="D30" s="277">
        <f>D21-D29</f>
        <v>6949911</v>
      </c>
      <c r="E30" s="265">
        <f t="shared" si="0"/>
        <v>14005628</v>
      </c>
      <c r="F30" s="277">
        <f>F21-F29</f>
        <v>4878550</v>
      </c>
      <c r="G30" s="277">
        <f>G21-G29</f>
        <v>6419912</v>
      </c>
      <c r="H30" s="276">
        <f t="shared" si="1"/>
        <v>11298462</v>
      </c>
      <c r="I30" s="329"/>
    </row>
    <row r="31" spans="1:9">
      <c r="A31" s="129"/>
      <c r="B31" s="46"/>
      <c r="C31" s="279"/>
      <c r="D31" s="279"/>
      <c r="E31" s="279"/>
      <c r="F31" s="279"/>
      <c r="G31" s="279"/>
      <c r="H31" s="280"/>
      <c r="I31" s="329"/>
    </row>
    <row r="32" spans="1:9">
      <c r="A32" s="129"/>
      <c r="B32" s="46" t="s">
        <v>158</v>
      </c>
      <c r="C32" s="275"/>
      <c r="D32" s="275"/>
      <c r="E32" s="264"/>
      <c r="F32" s="275"/>
      <c r="G32" s="275"/>
      <c r="H32" s="278"/>
      <c r="I32" s="329"/>
    </row>
    <row r="33" spans="1:9">
      <c r="A33" s="129">
        <v>15</v>
      </c>
      <c r="B33" s="45" t="s">
        <v>128</v>
      </c>
      <c r="C33" s="281">
        <f>C34-C35</f>
        <v>148342</v>
      </c>
      <c r="D33" s="281">
        <f>D34-D35</f>
        <v>-1307531</v>
      </c>
      <c r="E33" s="265">
        <f t="shared" si="0"/>
        <v>-1159189</v>
      </c>
      <c r="F33" s="281">
        <f>F34-F35</f>
        <v>138697</v>
      </c>
      <c r="G33" s="281">
        <f>G34-G35</f>
        <v>-1066537</v>
      </c>
      <c r="H33" s="276">
        <f t="shared" si="1"/>
        <v>-927840</v>
      </c>
      <c r="I33" s="329"/>
    </row>
    <row r="34" spans="1:9">
      <c r="A34" s="129">
        <v>15.1</v>
      </c>
      <c r="B34" s="49" t="s">
        <v>159</v>
      </c>
      <c r="C34" s="275">
        <v>762471</v>
      </c>
      <c r="D34" s="275">
        <v>410991</v>
      </c>
      <c r="E34" s="265">
        <f t="shared" si="0"/>
        <v>1173462</v>
      </c>
      <c r="F34" s="275">
        <v>680589</v>
      </c>
      <c r="G34" s="275">
        <v>378912</v>
      </c>
      <c r="H34" s="276">
        <f t="shared" si="1"/>
        <v>1059501</v>
      </c>
      <c r="I34" s="329"/>
    </row>
    <row r="35" spans="1:9">
      <c r="A35" s="129">
        <v>15.2</v>
      </c>
      <c r="B35" s="49" t="s">
        <v>160</v>
      </c>
      <c r="C35" s="275">
        <v>614129</v>
      </c>
      <c r="D35" s="275">
        <v>1718522</v>
      </c>
      <c r="E35" s="265">
        <f t="shared" si="0"/>
        <v>2332651</v>
      </c>
      <c r="F35" s="275">
        <v>541892</v>
      </c>
      <c r="G35" s="275">
        <v>1445449</v>
      </c>
      <c r="H35" s="276">
        <f t="shared" si="1"/>
        <v>1987341</v>
      </c>
      <c r="I35" s="329"/>
    </row>
    <row r="36" spans="1:9">
      <c r="A36" s="129">
        <v>16</v>
      </c>
      <c r="B36" s="48" t="s">
        <v>161</v>
      </c>
      <c r="C36" s="275">
        <v>0</v>
      </c>
      <c r="D36" s="275">
        <v>0</v>
      </c>
      <c r="E36" s="265">
        <f t="shared" si="0"/>
        <v>0</v>
      </c>
      <c r="F36" s="275">
        <v>114228</v>
      </c>
      <c r="G36" s="275">
        <v>0</v>
      </c>
      <c r="H36" s="276">
        <f t="shared" si="1"/>
        <v>114228</v>
      </c>
      <c r="I36" s="329"/>
    </row>
    <row r="37" spans="1:9">
      <c r="A37" s="129">
        <v>17</v>
      </c>
      <c r="B37" s="48" t="s">
        <v>162</v>
      </c>
      <c r="C37" s="275">
        <v>0</v>
      </c>
      <c r="D37" s="275">
        <v>0</v>
      </c>
      <c r="E37" s="265">
        <f t="shared" si="0"/>
        <v>0</v>
      </c>
      <c r="F37" s="275">
        <v>0</v>
      </c>
      <c r="G37" s="275">
        <v>0</v>
      </c>
      <c r="H37" s="276">
        <f t="shared" si="1"/>
        <v>0</v>
      </c>
      <c r="I37" s="329"/>
    </row>
    <row r="38" spans="1:9">
      <c r="A38" s="129">
        <v>18</v>
      </c>
      <c r="B38" s="48" t="s">
        <v>163</v>
      </c>
      <c r="C38" s="275">
        <v>40080</v>
      </c>
      <c r="D38" s="275">
        <v>0</v>
      </c>
      <c r="E38" s="265">
        <f t="shared" si="0"/>
        <v>40080</v>
      </c>
      <c r="F38" s="275">
        <v>0</v>
      </c>
      <c r="G38" s="275">
        <v>0</v>
      </c>
      <c r="H38" s="276">
        <f t="shared" si="1"/>
        <v>0</v>
      </c>
      <c r="I38" s="329"/>
    </row>
    <row r="39" spans="1:9">
      <c r="A39" s="129">
        <v>19</v>
      </c>
      <c r="B39" s="48" t="s">
        <v>164</v>
      </c>
      <c r="C39" s="275">
        <v>959591</v>
      </c>
      <c r="D39" s="275"/>
      <c r="E39" s="265">
        <f t="shared" si="0"/>
        <v>959591</v>
      </c>
      <c r="F39" s="275">
        <v>1524614</v>
      </c>
      <c r="G39" s="275"/>
      <c r="H39" s="276">
        <f t="shared" si="1"/>
        <v>1524614</v>
      </c>
      <c r="I39" s="329"/>
    </row>
    <row r="40" spans="1:9">
      <c r="A40" s="129">
        <v>20</v>
      </c>
      <c r="B40" s="48" t="s">
        <v>165</v>
      </c>
      <c r="C40" s="275">
        <v>249457</v>
      </c>
      <c r="D40" s="275"/>
      <c r="E40" s="265">
        <f t="shared" si="0"/>
        <v>249457</v>
      </c>
      <c r="F40" s="275">
        <v>-13934697</v>
      </c>
      <c r="G40" s="275"/>
      <c r="H40" s="276">
        <f t="shared" si="1"/>
        <v>-13934697</v>
      </c>
      <c r="I40" s="329"/>
    </row>
    <row r="41" spans="1:9">
      <c r="A41" s="129">
        <v>21</v>
      </c>
      <c r="B41" s="48" t="s">
        <v>166</v>
      </c>
      <c r="C41" s="275">
        <v>36642</v>
      </c>
      <c r="D41" s="275">
        <v>0</v>
      </c>
      <c r="E41" s="265">
        <f t="shared" si="0"/>
        <v>36642</v>
      </c>
      <c r="F41" s="275">
        <v>449</v>
      </c>
      <c r="G41" s="275">
        <v>0</v>
      </c>
      <c r="H41" s="276">
        <f t="shared" si="1"/>
        <v>449</v>
      </c>
      <c r="I41" s="329"/>
    </row>
    <row r="42" spans="1:9">
      <c r="A42" s="129">
        <v>22</v>
      </c>
      <c r="B42" s="48" t="s">
        <v>167</v>
      </c>
      <c r="C42" s="275">
        <v>351746</v>
      </c>
      <c r="D42" s="275">
        <v>292749</v>
      </c>
      <c r="E42" s="265">
        <f t="shared" si="0"/>
        <v>644495</v>
      </c>
      <c r="F42" s="275">
        <v>454329</v>
      </c>
      <c r="G42" s="275">
        <v>289782</v>
      </c>
      <c r="H42" s="276">
        <f t="shared" si="1"/>
        <v>744111</v>
      </c>
      <c r="I42" s="329"/>
    </row>
    <row r="43" spans="1:9">
      <c r="A43" s="129">
        <v>23</v>
      </c>
      <c r="B43" s="48" t="s">
        <v>168</v>
      </c>
      <c r="C43" s="275">
        <v>14463</v>
      </c>
      <c r="D43" s="275">
        <v>5505</v>
      </c>
      <c r="E43" s="265">
        <f t="shared" si="0"/>
        <v>19968</v>
      </c>
      <c r="F43" s="275">
        <v>305771</v>
      </c>
      <c r="G43" s="275">
        <v>1277</v>
      </c>
      <c r="H43" s="276">
        <f t="shared" si="1"/>
        <v>307048</v>
      </c>
      <c r="I43" s="329"/>
    </row>
    <row r="44" spans="1:9">
      <c r="A44" s="129">
        <v>24</v>
      </c>
      <c r="B44" s="51" t="s">
        <v>169</v>
      </c>
      <c r="C44" s="277">
        <f>C33+C36+C37+C38+C39+C40+C41+C42+C43</f>
        <v>1800321</v>
      </c>
      <c r="D44" s="277">
        <f>D33+D36+D37+D38+D39+D40+D41+D42+D43</f>
        <v>-1009277</v>
      </c>
      <c r="E44" s="265">
        <f t="shared" si="0"/>
        <v>791044</v>
      </c>
      <c r="F44" s="277">
        <f>F33+F36+F37+F38+F39+F40+F41+F42+F43</f>
        <v>-11396609</v>
      </c>
      <c r="G44" s="277">
        <f>G33+G36+G37+G38+G39+G40+G41+G42+G43</f>
        <v>-775478</v>
      </c>
      <c r="H44" s="276">
        <f t="shared" si="1"/>
        <v>-12172087</v>
      </c>
      <c r="I44" s="329"/>
    </row>
    <row r="45" spans="1:9">
      <c r="A45" s="129"/>
      <c r="B45" s="46" t="s">
        <v>170</v>
      </c>
      <c r="C45" s="275"/>
      <c r="D45" s="275"/>
      <c r="E45" s="275"/>
      <c r="F45" s="275"/>
      <c r="G45" s="275"/>
      <c r="H45" s="282"/>
      <c r="I45" s="329"/>
    </row>
    <row r="46" spans="1:9">
      <c r="A46" s="129">
        <v>25</v>
      </c>
      <c r="B46" s="48" t="s">
        <v>171</v>
      </c>
      <c r="C46" s="275">
        <v>226622</v>
      </c>
      <c r="D46" s="275">
        <v>55484</v>
      </c>
      <c r="E46" s="265">
        <f t="shared" si="0"/>
        <v>282106</v>
      </c>
      <c r="F46" s="275">
        <v>527247</v>
      </c>
      <c r="G46" s="275">
        <v>43405</v>
      </c>
      <c r="H46" s="276">
        <f t="shared" si="1"/>
        <v>570652</v>
      </c>
      <c r="I46" s="329"/>
    </row>
    <row r="47" spans="1:9">
      <c r="A47" s="129">
        <v>26</v>
      </c>
      <c r="B47" s="48" t="s">
        <v>172</v>
      </c>
      <c r="C47" s="275">
        <v>280244</v>
      </c>
      <c r="D47" s="275">
        <v>30279</v>
      </c>
      <c r="E47" s="265">
        <f t="shared" si="0"/>
        <v>310523</v>
      </c>
      <c r="F47" s="275">
        <v>251513</v>
      </c>
      <c r="G47" s="275">
        <v>12179</v>
      </c>
      <c r="H47" s="276">
        <f t="shared" si="1"/>
        <v>263692</v>
      </c>
      <c r="I47" s="329"/>
    </row>
    <row r="48" spans="1:9">
      <c r="A48" s="129">
        <v>27</v>
      </c>
      <c r="B48" s="48" t="s">
        <v>173</v>
      </c>
      <c r="C48" s="275">
        <v>3068866</v>
      </c>
      <c r="D48" s="275"/>
      <c r="E48" s="265">
        <f t="shared" si="0"/>
        <v>3068866</v>
      </c>
      <c r="F48" s="275">
        <v>2348855</v>
      </c>
      <c r="G48" s="275"/>
      <c r="H48" s="276">
        <f t="shared" si="1"/>
        <v>2348855</v>
      </c>
      <c r="I48" s="329"/>
    </row>
    <row r="49" spans="1:9">
      <c r="A49" s="129">
        <v>28</v>
      </c>
      <c r="B49" s="48" t="s">
        <v>311</v>
      </c>
      <c r="C49" s="275">
        <v>23144</v>
      </c>
      <c r="D49" s="275"/>
      <c r="E49" s="265">
        <f t="shared" si="0"/>
        <v>23144</v>
      </c>
      <c r="F49" s="275">
        <v>12669</v>
      </c>
      <c r="G49" s="275"/>
      <c r="H49" s="276">
        <f t="shared" si="1"/>
        <v>12669</v>
      </c>
      <c r="I49" s="329"/>
    </row>
    <row r="50" spans="1:9">
      <c r="A50" s="129">
        <v>29</v>
      </c>
      <c r="B50" s="48" t="s">
        <v>174</v>
      </c>
      <c r="C50" s="275">
        <v>997832</v>
      </c>
      <c r="D50" s="275"/>
      <c r="E50" s="265">
        <f t="shared" si="0"/>
        <v>997832</v>
      </c>
      <c r="F50" s="275">
        <v>685774</v>
      </c>
      <c r="G50" s="275"/>
      <c r="H50" s="276">
        <f t="shared" si="1"/>
        <v>685774</v>
      </c>
      <c r="I50" s="329"/>
    </row>
    <row r="51" spans="1:9">
      <c r="A51" s="129">
        <v>30</v>
      </c>
      <c r="B51" s="48" t="s">
        <v>175</v>
      </c>
      <c r="C51" s="275">
        <v>1462592</v>
      </c>
      <c r="D51" s="275">
        <v>152764</v>
      </c>
      <c r="E51" s="265">
        <f t="shared" si="0"/>
        <v>1615356</v>
      </c>
      <c r="F51" s="275">
        <v>1092683</v>
      </c>
      <c r="G51" s="275">
        <v>149268</v>
      </c>
      <c r="H51" s="276">
        <f t="shared" si="1"/>
        <v>1241951</v>
      </c>
      <c r="I51" s="329"/>
    </row>
    <row r="52" spans="1:9">
      <c r="A52" s="129">
        <v>31</v>
      </c>
      <c r="B52" s="51" t="s">
        <v>176</v>
      </c>
      <c r="C52" s="277">
        <f>C46+C47+C48+C49+C50+C51</f>
        <v>6059300</v>
      </c>
      <c r="D52" s="277">
        <f>D46+D47+D48+D49+D50+D51</f>
        <v>238527</v>
      </c>
      <c r="E52" s="265">
        <f t="shared" si="0"/>
        <v>6297827</v>
      </c>
      <c r="F52" s="277">
        <f>F46+F47+F48+F49+F50+F51</f>
        <v>4918741</v>
      </c>
      <c r="G52" s="277">
        <f>G46+G47+G48+G49+G50+G51</f>
        <v>204852</v>
      </c>
      <c r="H52" s="276">
        <f t="shared" si="1"/>
        <v>5123593</v>
      </c>
      <c r="I52" s="329"/>
    </row>
    <row r="53" spans="1:9">
      <c r="A53" s="129">
        <v>32</v>
      </c>
      <c r="B53" s="51" t="s">
        <v>177</v>
      </c>
      <c r="C53" s="277">
        <f>C44-C52</f>
        <v>-4258979</v>
      </c>
      <c r="D53" s="277">
        <f>D44-D52</f>
        <v>-1247804</v>
      </c>
      <c r="E53" s="265">
        <f t="shared" si="0"/>
        <v>-5506783</v>
      </c>
      <c r="F53" s="277">
        <f>F44-F52</f>
        <v>-16315350</v>
      </c>
      <c r="G53" s="277">
        <f>G44-G52</f>
        <v>-980330</v>
      </c>
      <c r="H53" s="276">
        <f t="shared" si="1"/>
        <v>-17295680</v>
      </c>
      <c r="I53" s="329"/>
    </row>
    <row r="54" spans="1:9">
      <c r="A54" s="129"/>
      <c r="B54" s="46"/>
      <c r="C54" s="279"/>
      <c r="D54" s="279"/>
      <c r="E54" s="279"/>
      <c r="F54" s="279"/>
      <c r="G54" s="279"/>
      <c r="H54" s="280"/>
      <c r="I54" s="329"/>
    </row>
    <row r="55" spans="1:9">
      <c r="A55" s="129">
        <v>33</v>
      </c>
      <c r="B55" s="51" t="s">
        <v>178</v>
      </c>
      <c r="C55" s="277">
        <f>C30+C53</f>
        <v>2796738</v>
      </c>
      <c r="D55" s="277">
        <f>D30+D53</f>
        <v>5702107</v>
      </c>
      <c r="E55" s="265">
        <f t="shared" si="0"/>
        <v>8498845</v>
      </c>
      <c r="F55" s="277">
        <f>F30+F53</f>
        <v>-11436800</v>
      </c>
      <c r="G55" s="277">
        <f>G30+G53</f>
        <v>5439582</v>
      </c>
      <c r="H55" s="276">
        <f t="shared" si="1"/>
        <v>-5997218</v>
      </c>
      <c r="I55" s="329"/>
    </row>
    <row r="56" spans="1:9">
      <c r="A56" s="129"/>
      <c r="B56" s="46"/>
      <c r="C56" s="279"/>
      <c r="D56" s="279"/>
      <c r="E56" s="279"/>
      <c r="F56" s="279"/>
      <c r="G56" s="279"/>
      <c r="H56" s="280"/>
      <c r="I56" s="329"/>
    </row>
    <row r="57" spans="1:9">
      <c r="A57" s="129">
        <v>34</v>
      </c>
      <c r="B57" s="48" t="s">
        <v>179</v>
      </c>
      <c r="C57" s="275">
        <v>3480321</v>
      </c>
      <c r="D57" s="275"/>
      <c r="E57" s="265">
        <f>C57</f>
        <v>3480321</v>
      </c>
      <c r="F57" s="275">
        <v>-6043567</v>
      </c>
      <c r="G57" s="275"/>
      <c r="H57" s="276">
        <f>F57</f>
        <v>-6043567</v>
      </c>
      <c r="I57" s="329"/>
    </row>
    <row r="58" spans="1:9" s="206" customFormat="1" ht="27.6">
      <c r="A58" s="129">
        <v>35</v>
      </c>
      <c r="B58" s="48" t="s">
        <v>180</v>
      </c>
      <c r="C58" s="284">
        <v>0</v>
      </c>
      <c r="D58" s="284"/>
      <c r="E58" s="283">
        <f>C58</f>
        <v>0</v>
      </c>
      <c r="F58" s="284">
        <v>0</v>
      </c>
      <c r="G58" s="284"/>
      <c r="H58" s="285">
        <f>F58</f>
        <v>0</v>
      </c>
      <c r="I58" s="329"/>
    </row>
    <row r="59" spans="1:9">
      <c r="A59" s="129">
        <v>36</v>
      </c>
      <c r="B59" s="48" t="s">
        <v>181</v>
      </c>
      <c r="C59" s="275">
        <v>207745</v>
      </c>
      <c r="D59" s="275">
        <f>D56+D57+D58</f>
        <v>0</v>
      </c>
      <c r="E59" s="265">
        <f>C59</f>
        <v>207745</v>
      </c>
      <c r="F59" s="275">
        <v>1113724</v>
      </c>
      <c r="G59" s="275"/>
      <c r="H59" s="276">
        <f>F59</f>
        <v>1113724</v>
      </c>
      <c r="I59" s="329"/>
    </row>
    <row r="60" spans="1:9">
      <c r="A60" s="129">
        <v>37</v>
      </c>
      <c r="B60" s="51" t="s">
        <v>182</v>
      </c>
      <c r="C60" s="277">
        <f>C57+C58+C59</f>
        <v>3688066</v>
      </c>
      <c r="D60" s="277">
        <f>D57+D58+D59</f>
        <v>0</v>
      </c>
      <c r="E60" s="265">
        <f t="shared" si="0"/>
        <v>3688066</v>
      </c>
      <c r="F60" s="277">
        <f>F57+F58+F59</f>
        <v>-4929843</v>
      </c>
      <c r="G60" s="277">
        <f>G57+G58+G59</f>
        <v>0</v>
      </c>
      <c r="H60" s="276">
        <f t="shared" si="1"/>
        <v>-4929843</v>
      </c>
      <c r="I60" s="329"/>
    </row>
    <row r="61" spans="1:9">
      <c r="A61" s="129"/>
      <c r="B61" s="52"/>
      <c r="C61" s="275"/>
      <c r="D61" s="275">
        <f>D54-D59</f>
        <v>0</v>
      </c>
      <c r="E61" s="275"/>
      <c r="F61" s="275"/>
      <c r="G61" s="275"/>
      <c r="H61" s="282"/>
      <c r="I61" s="329"/>
    </row>
    <row r="62" spans="1:9" ht="27.6">
      <c r="A62" s="129">
        <v>38</v>
      </c>
      <c r="B62" s="53" t="s">
        <v>312</v>
      </c>
      <c r="C62" s="277">
        <f>C55-C60</f>
        <v>-891328</v>
      </c>
      <c r="D62" s="277">
        <f>D55-D60</f>
        <v>5702107</v>
      </c>
      <c r="E62" s="265">
        <f t="shared" si="0"/>
        <v>4810779</v>
      </c>
      <c r="F62" s="277">
        <f>F55-F60</f>
        <v>-6506957</v>
      </c>
      <c r="G62" s="277">
        <f>G55-G60</f>
        <v>5439582</v>
      </c>
      <c r="H62" s="276">
        <f t="shared" si="1"/>
        <v>-1067375</v>
      </c>
      <c r="I62" s="329"/>
    </row>
    <row r="63" spans="1:9">
      <c r="A63" s="127">
        <v>39</v>
      </c>
      <c r="B63" s="48" t="s">
        <v>183</v>
      </c>
      <c r="C63" s="286">
        <v>672906</v>
      </c>
      <c r="D63" s="286">
        <v>0</v>
      </c>
      <c r="E63" s="265">
        <f t="shared" si="0"/>
        <v>672906</v>
      </c>
      <c r="F63" s="286">
        <v>-50697</v>
      </c>
      <c r="G63" s="286"/>
      <c r="H63" s="276">
        <f t="shared" si="1"/>
        <v>-50697</v>
      </c>
      <c r="I63" s="329"/>
    </row>
    <row r="64" spans="1:9">
      <c r="A64" s="129">
        <v>40</v>
      </c>
      <c r="B64" s="51" t="s">
        <v>184</v>
      </c>
      <c r="C64" s="277">
        <f>C62-C63</f>
        <v>-1564234</v>
      </c>
      <c r="D64" s="277">
        <f>D62-D63</f>
        <v>5702107</v>
      </c>
      <c r="E64" s="265">
        <f t="shared" si="0"/>
        <v>4137873</v>
      </c>
      <c r="F64" s="277">
        <f>F62-F63</f>
        <v>-6456260</v>
      </c>
      <c r="G64" s="277">
        <f>G62-G63</f>
        <v>5439582</v>
      </c>
      <c r="H64" s="276">
        <f t="shared" si="1"/>
        <v>-1016678</v>
      </c>
      <c r="I64" s="329"/>
    </row>
    <row r="65" spans="1:9">
      <c r="A65" s="127">
        <v>41</v>
      </c>
      <c r="B65" s="48" t="s">
        <v>185</v>
      </c>
      <c r="C65" s="286">
        <v>0</v>
      </c>
      <c r="D65" s="286"/>
      <c r="E65" s="265">
        <f t="shared" si="0"/>
        <v>0</v>
      </c>
      <c r="F65" s="286">
        <v>0</v>
      </c>
      <c r="G65" s="286"/>
      <c r="H65" s="276">
        <f t="shared" si="1"/>
        <v>0</v>
      </c>
      <c r="I65" s="329"/>
    </row>
    <row r="66" spans="1:9" ht="15" thickBot="1">
      <c r="A66" s="131">
        <v>42</v>
      </c>
      <c r="B66" s="132" t="s">
        <v>186</v>
      </c>
      <c r="C66" s="287">
        <f>C64+C65</f>
        <v>-1564234</v>
      </c>
      <c r="D66" s="287">
        <f>D64+D65</f>
        <v>5702107</v>
      </c>
      <c r="E66" s="273">
        <f t="shared" si="0"/>
        <v>4137873</v>
      </c>
      <c r="F66" s="287">
        <f>F64+F65</f>
        <v>-6456260</v>
      </c>
      <c r="G66" s="287">
        <f>G64+G65</f>
        <v>5439582</v>
      </c>
      <c r="H66" s="288">
        <f t="shared" si="1"/>
        <v>-1016678</v>
      </c>
      <c r="I66" s="329"/>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I58"/>
  <sheetViews>
    <sheetView zoomScaleNormal="100" workbookViewId="0">
      <pane ySplit="6" topLeftCell="A29" activePane="bottomLeft" state="frozen"/>
      <selection activeCell="K8" sqref="K8"/>
      <selection pane="bottomLeft" activeCell="C29" sqref="C29"/>
    </sheetView>
  </sheetViews>
  <sheetFormatPr defaultRowHeight="14.4"/>
  <cols>
    <col min="1" max="1" width="9.5546875" bestFit="1" customWidth="1"/>
    <col min="2" max="2" width="72.33203125" customWidth="1"/>
    <col min="3" max="3" width="13.5546875" customWidth="1"/>
    <col min="4" max="4" width="15.33203125" bestFit="1" customWidth="1"/>
    <col min="5" max="8" width="12.6640625" customWidth="1"/>
    <col min="9" max="9" width="14.33203125" bestFit="1" customWidth="1"/>
  </cols>
  <sheetData>
    <row r="1" spans="1:8">
      <c r="A1" s="2" t="s">
        <v>227</v>
      </c>
      <c r="B1" s="319" t="s">
        <v>752</v>
      </c>
    </row>
    <row r="2" spans="1:8">
      <c r="A2" s="2" t="s">
        <v>228</v>
      </c>
      <c r="B2" s="322">
        <f>'1. key ratios'!B2</f>
        <v>43555</v>
      </c>
    </row>
    <row r="3" spans="1:8">
      <c r="A3" s="2"/>
      <c r="C3" s="322"/>
    </row>
    <row r="4" spans="1:8" ht="15" thickBot="1">
      <c r="A4" s="2" t="s">
        <v>652</v>
      </c>
      <c r="B4" s="2"/>
      <c r="C4" s="322"/>
      <c r="D4" s="213"/>
      <c r="E4" s="213"/>
      <c r="F4" s="214"/>
      <c r="G4" s="214"/>
      <c r="H4" s="215" t="s">
        <v>130</v>
      </c>
    </row>
    <row r="5" spans="1:8">
      <c r="A5" s="547" t="s">
        <v>27</v>
      </c>
      <c r="B5" s="549" t="s">
        <v>282</v>
      </c>
      <c r="C5" s="551" t="s">
        <v>233</v>
      </c>
      <c r="D5" s="551"/>
      <c r="E5" s="551"/>
      <c r="F5" s="551" t="s">
        <v>234</v>
      </c>
      <c r="G5" s="551"/>
      <c r="H5" s="552"/>
    </row>
    <row r="6" spans="1:8">
      <c r="A6" s="548"/>
      <c r="B6" s="550"/>
      <c r="C6" s="33" t="s">
        <v>28</v>
      </c>
      <c r="D6" s="33" t="s">
        <v>131</v>
      </c>
      <c r="E6" s="33" t="s">
        <v>69</v>
      </c>
      <c r="F6" s="33" t="s">
        <v>28</v>
      </c>
      <c r="G6" s="33" t="s">
        <v>131</v>
      </c>
      <c r="H6" s="34" t="s">
        <v>69</v>
      </c>
    </row>
    <row r="7" spans="1:8" s="3" customFormat="1">
      <c r="A7" s="216">
        <v>1</v>
      </c>
      <c r="B7" s="217" t="s">
        <v>132</v>
      </c>
      <c r="C7" s="267"/>
      <c r="D7" s="267"/>
      <c r="E7" s="289">
        <f>C7+D7</f>
        <v>0</v>
      </c>
      <c r="F7" s="267"/>
      <c r="G7" s="267"/>
      <c r="H7" s="268">
        <f t="shared" ref="H7:H53" si="0">F7+G7</f>
        <v>0</v>
      </c>
    </row>
    <row r="8" spans="1:8" s="3" customFormat="1">
      <c r="A8" s="216">
        <v>1.1000000000000001</v>
      </c>
      <c r="B8" s="218" t="s">
        <v>316</v>
      </c>
      <c r="C8" s="267">
        <v>22840402</v>
      </c>
      <c r="D8" s="267">
        <v>29402890</v>
      </c>
      <c r="E8" s="289">
        <f>C8+D8</f>
        <v>52243292</v>
      </c>
      <c r="F8" s="267">
        <v>24576670</v>
      </c>
      <c r="G8" s="267">
        <v>26260069</v>
      </c>
      <c r="H8" s="268">
        <f t="shared" si="0"/>
        <v>50836739</v>
      </c>
    </row>
    <row r="9" spans="1:8" s="3" customFormat="1">
      <c r="A9" s="216">
        <v>1.2</v>
      </c>
      <c r="B9" s="218" t="s">
        <v>317</v>
      </c>
      <c r="C9" s="267"/>
      <c r="D9" s="267">
        <v>5946747</v>
      </c>
      <c r="E9" s="289">
        <f t="shared" ref="E9:E53" si="1">C9+D9</f>
        <v>5946747</v>
      </c>
      <c r="F9" s="331"/>
      <c r="G9" s="267">
        <v>7976475</v>
      </c>
      <c r="H9" s="268">
        <f t="shared" si="0"/>
        <v>7976475</v>
      </c>
    </row>
    <row r="10" spans="1:8" s="3" customFormat="1">
      <c r="A10" s="216">
        <v>1.3</v>
      </c>
      <c r="B10" s="218" t="s">
        <v>318</v>
      </c>
      <c r="C10" s="267">
        <v>9514095</v>
      </c>
      <c r="D10" s="267">
        <v>20068687</v>
      </c>
      <c r="E10" s="289">
        <f t="shared" si="1"/>
        <v>29582782</v>
      </c>
      <c r="F10" s="267">
        <v>11403420</v>
      </c>
      <c r="G10" s="267">
        <v>14755471</v>
      </c>
      <c r="H10" s="268">
        <f t="shared" si="0"/>
        <v>26158891</v>
      </c>
    </row>
    <row r="11" spans="1:8" s="3" customFormat="1">
      <c r="A11" s="216">
        <v>1.4</v>
      </c>
      <c r="B11" s="218" t="s">
        <v>319</v>
      </c>
      <c r="C11" s="267">
        <v>8959</v>
      </c>
      <c r="D11" s="267">
        <f>5946747-D9</f>
        <v>0</v>
      </c>
      <c r="E11" s="289">
        <f t="shared" si="1"/>
        <v>8959</v>
      </c>
      <c r="F11" s="267">
        <v>12953</v>
      </c>
      <c r="G11" s="267">
        <f>7976475-G9</f>
        <v>0</v>
      </c>
      <c r="H11" s="268">
        <f t="shared" si="0"/>
        <v>12953</v>
      </c>
    </row>
    <row r="12" spans="1:8" s="3" customFormat="1" ht="29.25" customHeight="1">
      <c r="A12" s="216">
        <v>2</v>
      </c>
      <c r="B12" s="217" t="s">
        <v>320</v>
      </c>
      <c r="C12" s="267"/>
      <c r="D12" s="267"/>
      <c r="E12" s="289">
        <f t="shared" si="1"/>
        <v>0</v>
      </c>
      <c r="F12" s="267"/>
      <c r="G12" s="267"/>
      <c r="H12" s="268">
        <f t="shared" si="0"/>
        <v>0</v>
      </c>
    </row>
    <row r="13" spans="1:8" s="3" customFormat="1" ht="27.6">
      <c r="A13" s="216">
        <v>3</v>
      </c>
      <c r="B13" s="217" t="s">
        <v>321</v>
      </c>
      <c r="C13" s="267"/>
      <c r="D13" s="267"/>
      <c r="E13" s="289">
        <f t="shared" si="1"/>
        <v>0</v>
      </c>
      <c r="F13" s="267"/>
      <c r="G13" s="267"/>
      <c r="H13" s="268">
        <f t="shared" si="0"/>
        <v>0</v>
      </c>
    </row>
    <row r="14" spans="1:8" s="3" customFormat="1">
      <c r="A14" s="216">
        <v>3.1</v>
      </c>
      <c r="B14" s="218" t="s">
        <v>322</v>
      </c>
      <c r="C14" s="267"/>
      <c r="D14" s="267"/>
      <c r="E14" s="289">
        <f t="shared" si="1"/>
        <v>0</v>
      </c>
      <c r="F14" s="267"/>
      <c r="G14" s="267"/>
      <c r="H14" s="268">
        <f t="shared" si="0"/>
        <v>0</v>
      </c>
    </row>
    <row r="15" spans="1:8" s="3" customFormat="1">
      <c r="A15" s="216">
        <v>3.2</v>
      </c>
      <c r="B15" s="218" t="s">
        <v>323</v>
      </c>
      <c r="C15" s="267"/>
      <c r="D15" s="267"/>
      <c r="E15" s="289">
        <f t="shared" si="1"/>
        <v>0</v>
      </c>
      <c r="F15" s="267"/>
      <c r="G15" s="267"/>
      <c r="H15" s="268">
        <f t="shared" si="0"/>
        <v>0</v>
      </c>
    </row>
    <row r="16" spans="1:8" s="3" customFormat="1">
      <c r="A16" s="216">
        <v>4</v>
      </c>
      <c r="B16" s="217" t="s">
        <v>324</v>
      </c>
      <c r="C16" s="267"/>
      <c r="D16" s="267"/>
      <c r="E16" s="289">
        <f t="shared" si="1"/>
        <v>0</v>
      </c>
      <c r="F16" s="267"/>
      <c r="G16" s="267"/>
      <c r="H16" s="268">
        <f t="shared" si="0"/>
        <v>0</v>
      </c>
    </row>
    <row r="17" spans="1:8" s="3" customFormat="1">
      <c r="A17" s="216">
        <v>4.0999999999999996</v>
      </c>
      <c r="B17" s="218" t="s">
        <v>325</v>
      </c>
      <c r="C17" s="267">
        <v>4376497.3453539861</v>
      </c>
      <c r="D17" s="267">
        <v>10708966.896872735</v>
      </c>
      <c r="E17" s="289">
        <f t="shared" si="1"/>
        <v>15085464.24222672</v>
      </c>
      <c r="F17" s="267">
        <v>4325808.2501601912</v>
      </c>
      <c r="G17" s="267">
        <v>13198030.022633256</v>
      </c>
      <c r="H17" s="268">
        <f t="shared" si="0"/>
        <v>17523838.272793449</v>
      </c>
    </row>
    <row r="18" spans="1:8" s="3" customFormat="1">
      <c r="A18" s="216">
        <v>4.2</v>
      </c>
      <c r="B18" s="218" t="s">
        <v>326</v>
      </c>
      <c r="C18" s="267">
        <v>144729287.35950539</v>
      </c>
      <c r="D18" s="267">
        <v>295207483.31715471</v>
      </c>
      <c r="E18" s="289">
        <f t="shared" si="1"/>
        <v>439936770.67666006</v>
      </c>
      <c r="F18" s="267">
        <v>131881898.63857576</v>
      </c>
      <c r="G18" s="267">
        <v>304991941.51014405</v>
      </c>
      <c r="H18" s="268">
        <f t="shared" si="0"/>
        <v>436873840.14871979</v>
      </c>
    </row>
    <row r="19" spans="1:8" s="3" customFormat="1" ht="27.6">
      <c r="A19" s="216">
        <v>5</v>
      </c>
      <c r="B19" s="217" t="s">
        <v>327</v>
      </c>
      <c r="C19" s="267"/>
      <c r="D19" s="267"/>
      <c r="E19" s="289">
        <f t="shared" si="1"/>
        <v>0</v>
      </c>
      <c r="F19" s="267"/>
      <c r="G19" s="267"/>
      <c r="H19" s="268">
        <f t="shared" si="0"/>
        <v>0</v>
      </c>
    </row>
    <row r="20" spans="1:8" s="3" customFormat="1">
      <c r="A20" s="216">
        <v>5.0999999999999996</v>
      </c>
      <c r="B20" s="218" t="s">
        <v>328</v>
      </c>
      <c r="C20" s="267">
        <v>786277.26</v>
      </c>
      <c r="D20" s="267">
        <v>15988497.112335993</v>
      </c>
      <c r="E20" s="289">
        <f t="shared" si="1"/>
        <v>16774774.372335993</v>
      </c>
      <c r="F20" s="267">
        <v>292666.67000000004</v>
      </c>
      <c r="G20" s="267">
        <v>12127499.308289997</v>
      </c>
      <c r="H20" s="268">
        <f t="shared" si="0"/>
        <v>12420165.978289997</v>
      </c>
    </row>
    <row r="21" spans="1:8" s="3" customFormat="1">
      <c r="A21" s="216">
        <v>5.2</v>
      </c>
      <c r="B21" s="218" t="s">
        <v>329</v>
      </c>
      <c r="C21" s="267">
        <v>0</v>
      </c>
      <c r="D21" s="267">
        <v>0</v>
      </c>
      <c r="E21" s="289">
        <f t="shared" si="1"/>
        <v>0</v>
      </c>
      <c r="F21" s="267">
        <v>0</v>
      </c>
      <c r="G21" s="267">
        <v>0</v>
      </c>
      <c r="H21" s="268">
        <f t="shared" si="0"/>
        <v>0</v>
      </c>
    </row>
    <row r="22" spans="1:8" s="3" customFormat="1">
      <c r="A22" s="216">
        <v>5.3</v>
      </c>
      <c r="B22" s="218" t="s">
        <v>330</v>
      </c>
      <c r="C22" s="267">
        <v>20609843.300000001</v>
      </c>
      <c r="D22" s="267">
        <v>1774470634.8942609</v>
      </c>
      <c r="E22" s="289">
        <f t="shared" si="1"/>
        <v>1795080478.1942608</v>
      </c>
      <c r="F22" s="267">
        <v>13837152.600000001</v>
      </c>
      <c r="G22" s="267">
        <v>1811652652.6031995</v>
      </c>
      <c r="H22" s="268">
        <f t="shared" si="0"/>
        <v>1825489805.2031994</v>
      </c>
    </row>
    <row r="23" spans="1:8" s="3" customFormat="1">
      <c r="A23" s="216" t="s">
        <v>331</v>
      </c>
      <c r="B23" s="219" t="s">
        <v>332</v>
      </c>
      <c r="C23" s="267">
        <v>223386.19999999998</v>
      </c>
      <c r="D23" s="267">
        <v>158354286.40105999</v>
      </c>
      <c r="E23" s="289">
        <f t="shared" si="1"/>
        <v>158577672.60105997</v>
      </c>
      <c r="F23" s="267">
        <v>200395.2</v>
      </c>
      <c r="G23" s="267">
        <v>163893885.52319998</v>
      </c>
      <c r="H23" s="268">
        <f t="shared" si="0"/>
        <v>164094280.72319996</v>
      </c>
    </row>
    <row r="24" spans="1:8" s="3" customFormat="1">
      <c r="A24" s="216" t="s">
        <v>333</v>
      </c>
      <c r="B24" s="219" t="s">
        <v>334</v>
      </c>
      <c r="C24" s="267">
        <v>5795032</v>
      </c>
      <c r="D24" s="267">
        <v>819750969.86500084</v>
      </c>
      <c r="E24" s="289">
        <f t="shared" si="1"/>
        <v>825546001.86500084</v>
      </c>
      <c r="F24" s="267">
        <v>5721147</v>
      </c>
      <c r="G24" s="267">
        <v>781341015.17759991</v>
      </c>
      <c r="H24" s="268">
        <f t="shared" si="0"/>
        <v>787062162.17759991</v>
      </c>
    </row>
    <row r="25" spans="1:8" s="3" customFormat="1">
      <c r="A25" s="216" t="s">
        <v>335</v>
      </c>
      <c r="B25" s="220" t="s">
        <v>336</v>
      </c>
      <c r="C25" s="267">
        <v>0</v>
      </c>
      <c r="D25" s="267">
        <v>255811250.59280002</v>
      </c>
      <c r="E25" s="289">
        <f t="shared" si="1"/>
        <v>255811250.59280002</v>
      </c>
      <c r="F25" s="267">
        <v>0</v>
      </c>
      <c r="G25" s="267">
        <v>312801590.2463997</v>
      </c>
      <c r="H25" s="268">
        <f t="shared" si="0"/>
        <v>312801590.2463997</v>
      </c>
    </row>
    <row r="26" spans="1:8" s="3" customFormat="1">
      <c r="A26" s="216" t="s">
        <v>337</v>
      </c>
      <c r="B26" s="219" t="s">
        <v>338</v>
      </c>
      <c r="C26" s="267">
        <v>14591425.1</v>
      </c>
      <c r="D26" s="267">
        <v>453505906.00400001</v>
      </c>
      <c r="E26" s="289">
        <f t="shared" si="1"/>
        <v>468097331.10400003</v>
      </c>
      <c r="F26" s="267">
        <v>7915610.4000000004</v>
      </c>
      <c r="G26" s="267">
        <v>499536016.05599993</v>
      </c>
      <c r="H26" s="268">
        <f t="shared" si="0"/>
        <v>507451626.45599991</v>
      </c>
    </row>
    <row r="27" spans="1:8" s="3" customFormat="1">
      <c r="A27" s="216" t="s">
        <v>339</v>
      </c>
      <c r="B27" s="219" t="s">
        <v>340</v>
      </c>
      <c r="C27" s="267">
        <v>0</v>
      </c>
      <c r="D27" s="267">
        <v>87048222.031399995</v>
      </c>
      <c r="E27" s="289">
        <f t="shared" si="1"/>
        <v>87048222.031399995</v>
      </c>
      <c r="F27" s="267">
        <v>0</v>
      </c>
      <c r="G27" s="267">
        <v>54080145.600000009</v>
      </c>
      <c r="H27" s="268">
        <f t="shared" si="0"/>
        <v>54080145.600000009</v>
      </c>
    </row>
    <row r="28" spans="1:8" s="3" customFormat="1">
      <c r="A28" s="216">
        <v>5.4</v>
      </c>
      <c r="B28" s="218" t="s">
        <v>341</v>
      </c>
      <c r="C28" s="267">
        <v>224175346.97930193</v>
      </c>
      <c r="D28" s="267">
        <v>227816331.30301195</v>
      </c>
      <c r="E28" s="289">
        <f t="shared" si="1"/>
        <v>451991678.28231388</v>
      </c>
      <c r="F28" s="267">
        <v>212913021.63339198</v>
      </c>
      <c r="G28" s="267">
        <v>292198707.00695205</v>
      </c>
      <c r="H28" s="268">
        <f t="shared" si="0"/>
        <v>505111728.64034402</v>
      </c>
    </row>
    <row r="29" spans="1:8" s="3" customFormat="1">
      <c r="A29" s="216">
        <v>5.5</v>
      </c>
      <c r="B29" s="218" t="s">
        <v>342</v>
      </c>
      <c r="C29" s="267">
        <v>17358201</v>
      </c>
      <c r="D29" s="267">
        <v>137374444.18279999</v>
      </c>
      <c r="E29" s="289">
        <f t="shared" si="1"/>
        <v>154732645.18279999</v>
      </c>
      <c r="F29" s="267">
        <v>17358201</v>
      </c>
      <c r="G29" s="267">
        <v>108599712</v>
      </c>
      <c r="H29" s="268">
        <f t="shared" si="0"/>
        <v>125957913</v>
      </c>
    </row>
    <row r="30" spans="1:8" s="3" customFormat="1">
      <c r="A30" s="216">
        <v>5.6</v>
      </c>
      <c r="B30" s="218" t="s">
        <v>343</v>
      </c>
      <c r="C30" s="267">
        <v>3500000</v>
      </c>
      <c r="D30" s="267">
        <v>6162756.9543999992</v>
      </c>
      <c r="E30" s="289">
        <f t="shared" si="1"/>
        <v>9662756.9543999992</v>
      </c>
      <c r="F30" s="267">
        <v>3500000</v>
      </c>
      <c r="G30" s="267">
        <v>5528483.4624000005</v>
      </c>
      <c r="H30" s="268">
        <f t="shared" si="0"/>
        <v>9028483.4624000005</v>
      </c>
    </row>
    <row r="31" spans="1:8" s="3" customFormat="1">
      <c r="A31" s="216">
        <v>5.7</v>
      </c>
      <c r="B31" s="218" t="s">
        <v>344</v>
      </c>
      <c r="C31" s="267">
        <v>3678441</v>
      </c>
      <c r="D31" s="267">
        <v>121195486.02719998</v>
      </c>
      <c r="E31" s="289">
        <f t="shared" si="1"/>
        <v>124873927.02719998</v>
      </c>
      <c r="F31" s="267">
        <v>382640</v>
      </c>
      <c r="G31" s="267">
        <v>122691425.2032</v>
      </c>
      <c r="H31" s="268">
        <f t="shared" si="0"/>
        <v>123074065.2032</v>
      </c>
    </row>
    <row r="32" spans="1:8" s="3" customFormat="1">
      <c r="A32" s="216">
        <v>6</v>
      </c>
      <c r="B32" s="217" t="s">
        <v>345</v>
      </c>
      <c r="C32" s="267"/>
      <c r="D32" s="267"/>
      <c r="E32" s="289">
        <f t="shared" si="1"/>
        <v>0</v>
      </c>
      <c r="F32" s="267"/>
      <c r="G32" s="267"/>
      <c r="H32" s="268">
        <f t="shared" si="0"/>
        <v>0</v>
      </c>
    </row>
    <row r="33" spans="1:9" s="3" customFormat="1" ht="27.6">
      <c r="A33" s="216">
        <v>6.1</v>
      </c>
      <c r="B33" s="218" t="s">
        <v>346</v>
      </c>
      <c r="C33" s="267"/>
      <c r="D33" s="267"/>
      <c r="E33" s="289">
        <f t="shared" si="1"/>
        <v>0</v>
      </c>
      <c r="F33" s="267"/>
      <c r="G33" s="267"/>
      <c r="H33" s="268">
        <f t="shared" si="0"/>
        <v>0</v>
      </c>
    </row>
    <row r="34" spans="1:9" s="3" customFormat="1" ht="27.6">
      <c r="A34" s="216">
        <v>6.2</v>
      </c>
      <c r="B34" s="218" t="s">
        <v>347</v>
      </c>
      <c r="C34" s="267"/>
      <c r="D34" s="267"/>
      <c r="E34" s="289">
        <f t="shared" si="1"/>
        <v>0</v>
      </c>
      <c r="F34" s="267"/>
      <c r="G34" s="267"/>
      <c r="H34" s="268">
        <f t="shared" si="0"/>
        <v>0</v>
      </c>
    </row>
    <row r="35" spans="1:9" s="3" customFormat="1" ht="27.6">
      <c r="A35" s="216">
        <v>6.3</v>
      </c>
      <c r="B35" s="218" t="s">
        <v>348</v>
      </c>
      <c r="C35" s="267"/>
      <c r="D35" s="267"/>
      <c r="E35" s="289">
        <f t="shared" si="1"/>
        <v>0</v>
      </c>
      <c r="F35" s="267"/>
      <c r="G35" s="267"/>
      <c r="H35" s="268">
        <f t="shared" si="0"/>
        <v>0</v>
      </c>
    </row>
    <row r="36" spans="1:9" s="3" customFormat="1">
      <c r="A36" s="216">
        <v>6.4</v>
      </c>
      <c r="B36" s="218" t="s">
        <v>349</v>
      </c>
      <c r="C36" s="267"/>
      <c r="D36" s="267"/>
      <c r="E36" s="289">
        <f t="shared" si="1"/>
        <v>0</v>
      </c>
      <c r="F36" s="267"/>
      <c r="G36" s="267"/>
      <c r="H36" s="268">
        <f t="shared" si="0"/>
        <v>0</v>
      </c>
    </row>
    <row r="37" spans="1:9" s="3" customFormat="1">
      <c r="A37" s="216">
        <v>6.5</v>
      </c>
      <c r="B37" s="218" t="s">
        <v>350</v>
      </c>
      <c r="C37" s="267"/>
      <c r="D37" s="267"/>
      <c r="E37" s="289">
        <f t="shared" si="1"/>
        <v>0</v>
      </c>
      <c r="F37" s="267"/>
      <c r="G37" s="267"/>
      <c r="H37" s="268">
        <f t="shared" si="0"/>
        <v>0</v>
      </c>
    </row>
    <row r="38" spans="1:9" s="3" customFormat="1" ht="27.6">
      <c r="A38" s="216">
        <v>6.6</v>
      </c>
      <c r="B38" s="218" t="s">
        <v>351</v>
      </c>
      <c r="C38" s="267"/>
      <c r="D38" s="267"/>
      <c r="E38" s="289">
        <f t="shared" si="1"/>
        <v>0</v>
      </c>
      <c r="F38" s="267"/>
      <c r="G38" s="267"/>
      <c r="H38" s="268">
        <f t="shared" si="0"/>
        <v>0</v>
      </c>
    </row>
    <row r="39" spans="1:9" s="3" customFormat="1" ht="27.6">
      <c r="A39" s="216">
        <v>6.7</v>
      </c>
      <c r="B39" s="218" t="s">
        <v>352</v>
      </c>
      <c r="C39" s="267"/>
      <c r="D39" s="267"/>
      <c r="E39" s="289">
        <f t="shared" si="1"/>
        <v>0</v>
      </c>
      <c r="F39" s="267"/>
      <c r="G39" s="267"/>
      <c r="H39" s="268">
        <f t="shared" si="0"/>
        <v>0</v>
      </c>
    </row>
    <row r="40" spans="1:9" s="3" customFormat="1">
      <c r="A40" s="216">
        <v>7</v>
      </c>
      <c r="B40" s="217" t="s">
        <v>781</v>
      </c>
      <c r="C40" s="267"/>
      <c r="D40" s="267"/>
      <c r="E40" s="289">
        <f t="shared" si="1"/>
        <v>0</v>
      </c>
      <c r="F40" s="267"/>
      <c r="G40" s="267"/>
      <c r="H40" s="268">
        <f t="shared" si="0"/>
        <v>0</v>
      </c>
    </row>
    <row r="41" spans="1:9" s="3" customFormat="1" ht="27.6">
      <c r="A41" s="216">
        <v>7.1</v>
      </c>
      <c r="B41" s="218" t="s">
        <v>353</v>
      </c>
      <c r="C41" s="335">
        <v>58454.11</v>
      </c>
      <c r="D41" s="335">
        <v>0</v>
      </c>
      <c r="E41" s="289">
        <f t="shared" si="1"/>
        <v>58454.11</v>
      </c>
      <c r="F41" s="335">
        <v>2000</v>
      </c>
      <c r="G41" s="335">
        <v>141715.04</v>
      </c>
      <c r="H41" s="268">
        <f t="shared" si="0"/>
        <v>143715.04</v>
      </c>
      <c r="I41" s="354"/>
    </row>
    <row r="42" spans="1:9" s="3" customFormat="1" ht="27.6">
      <c r="A42" s="216">
        <v>7.2</v>
      </c>
      <c r="B42" s="218" t="s">
        <v>354</v>
      </c>
      <c r="C42" s="267">
        <v>3306318.9200000269</v>
      </c>
      <c r="D42" s="267">
        <v>7555547.670000013</v>
      </c>
      <c r="E42" s="289">
        <f t="shared" si="1"/>
        <v>10861866.590000041</v>
      </c>
      <c r="F42" s="267">
        <v>3458063.7500000158</v>
      </c>
      <c r="G42" s="267">
        <v>6167475.0699999714</v>
      </c>
      <c r="H42" s="268">
        <f t="shared" si="0"/>
        <v>9625538.8199999873</v>
      </c>
      <c r="I42" s="353"/>
    </row>
    <row r="43" spans="1:9" s="3" customFormat="1" ht="27.6">
      <c r="A43" s="216">
        <v>7.3</v>
      </c>
      <c r="B43" s="218" t="s">
        <v>355</v>
      </c>
      <c r="C43" s="335">
        <v>10449112.850000003</v>
      </c>
      <c r="D43" s="335">
        <v>6616965.1500000004</v>
      </c>
      <c r="E43" s="289">
        <f t="shared" si="1"/>
        <v>17066078.000000004</v>
      </c>
      <c r="F43" s="335">
        <v>10345807.790000003</v>
      </c>
      <c r="G43" s="335">
        <v>12867097.891349999</v>
      </c>
      <c r="H43" s="268">
        <f t="shared" si="0"/>
        <v>23212905.68135</v>
      </c>
      <c r="I43" s="354"/>
    </row>
    <row r="44" spans="1:9" s="3" customFormat="1" ht="27.6">
      <c r="A44" s="216">
        <v>7.4</v>
      </c>
      <c r="B44" s="218" t="s">
        <v>356</v>
      </c>
      <c r="C44" s="267">
        <v>57172672.599995606</v>
      </c>
      <c r="D44" s="267">
        <v>120933122.62999809</v>
      </c>
      <c r="E44" s="289">
        <f t="shared" si="1"/>
        <v>178105795.2299937</v>
      </c>
      <c r="F44" s="267">
        <v>47147782.709999859</v>
      </c>
      <c r="G44" s="267">
        <v>116663342.06999931</v>
      </c>
      <c r="H44" s="268">
        <f t="shared" si="0"/>
        <v>163811124.77999917</v>
      </c>
      <c r="I44" s="353"/>
    </row>
    <row r="45" spans="1:9" s="3" customFormat="1">
      <c r="A45" s="216">
        <v>8</v>
      </c>
      <c r="B45" s="217" t="s">
        <v>357</v>
      </c>
      <c r="C45" s="267">
        <v>4033524.9321440007</v>
      </c>
      <c r="D45" s="267">
        <v>0</v>
      </c>
      <c r="E45" s="289">
        <f>SUM(E46:E52)</f>
        <v>4033524.9321440007</v>
      </c>
      <c r="F45" s="267"/>
      <c r="G45" s="267"/>
      <c r="H45" s="268">
        <f t="shared" si="0"/>
        <v>0</v>
      </c>
    </row>
    <row r="46" spans="1:9" s="3" customFormat="1">
      <c r="A46" s="216">
        <v>8.1</v>
      </c>
      <c r="B46" s="218" t="s">
        <v>358</v>
      </c>
      <c r="C46" s="267">
        <v>57381.066143999997</v>
      </c>
      <c r="D46" s="267">
        <v>0</v>
      </c>
      <c r="E46" s="289">
        <f t="shared" si="1"/>
        <v>57381.066143999997</v>
      </c>
      <c r="F46" s="267"/>
      <c r="G46" s="267"/>
      <c r="H46" s="268">
        <f t="shared" si="0"/>
        <v>0</v>
      </c>
    </row>
    <row r="47" spans="1:9" s="3" customFormat="1">
      <c r="A47" s="216">
        <v>8.1999999999999993</v>
      </c>
      <c r="B47" s="218" t="s">
        <v>359</v>
      </c>
      <c r="C47" s="267">
        <v>1993876.1680000003</v>
      </c>
      <c r="D47" s="267">
        <v>0</v>
      </c>
      <c r="E47" s="289">
        <f t="shared" si="1"/>
        <v>1993876.1680000003</v>
      </c>
      <c r="F47" s="267"/>
      <c r="G47" s="267"/>
      <c r="H47" s="268">
        <f t="shared" si="0"/>
        <v>0</v>
      </c>
    </row>
    <row r="48" spans="1:9" s="3" customFormat="1">
      <c r="A48" s="216">
        <v>8.3000000000000007</v>
      </c>
      <c r="B48" s="218" t="s">
        <v>360</v>
      </c>
      <c r="C48" s="267">
        <v>1827100.6632000001</v>
      </c>
      <c r="D48" s="267">
        <v>0</v>
      </c>
      <c r="E48" s="289">
        <f t="shared" si="1"/>
        <v>1827100.6632000001</v>
      </c>
      <c r="F48" s="267"/>
      <c r="G48" s="267"/>
      <c r="H48" s="268">
        <f t="shared" si="0"/>
        <v>0</v>
      </c>
    </row>
    <row r="49" spans="1:8" s="3" customFormat="1">
      <c r="A49" s="216">
        <v>8.4</v>
      </c>
      <c r="B49" s="218" t="s">
        <v>361</v>
      </c>
      <c r="C49" s="267">
        <v>155167.03480000002</v>
      </c>
      <c r="D49" s="267">
        <v>0</v>
      </c>
      <c r="E49" s="289">
        <f t="shared" si="1"/>
        <v>155167.03480000002</v>
      </c>
      <c r="F49" s="267"/>
      <c r="G49" s="267"/>
      <c r="H49" s="268">
        <f t="shared" si="0"/>
        <v>0</v>
      </c>
    </row>
    <row r="50" spans="1:8" s="3" customFormat="1">
      <c r="A50" s="216">
        <v>8.5</v>
      </c>
      <c r="B50" s="218" t="s">
        <v>362</v>
      </c>
      <c r="C50" s="267">
        <v>0</v>
      </c>
      <c r="D50" s="267">
        <v>0</v>
      </c>
      <c r="E50" s="289">
        <f t="shared" si="1"/>
        <v>0</v>
      </c>
      <c r="F50" s="267"/>
      <c r="G50" s="267"/>
      <c r="H50" s="268">
        <f t="shared" si="0"/>
        <v>0</v>
      </c>
    </row>
    <row r="51" spans="1:8" s="3" customFormat="1">
      <c r="A51" s="216">
        <v>8.6</v>
      </c>
      <c r="B51" s="218" t="s">
        <v>363</v>
      </c>
      <c r="C51" s="267">
        <v>0</v>
      </c>
      <c r="D51" s="267">
        <v>0</v>
      </c>
      <c r="E51" s="289">
        <f t="shared" si="1"/>
        <v>0</v>
      </c>
      <c r="F51" s="267"/>
      <c r="G51" s="267"/>
      <c r="H51" s="268">
        <f t="shared" si="0"/>
        <v>0</v>
      </c>
    </row>
    <row r="52" spans="1:8" s="3" customFormat="1">
      <c r="A52" s="216">
        <v>8.6999999999999993</v>
      </c>
      <c r="B52" s="218" t="s">
        <v>364</v>
      </c>
      <c r="C52" s="267">
        <v>0</v>
      </c>
      <c r="D52" s="267">
        <v>0</v>
      </c>
      <c r="E52" s="289">
        <f t="shared" si="1"/>
        <v>0</v>
      </c>
      <c r="F52" s="267"/>
      <c r="G52" s="267"/>
      <c r="H52" s="268">
        <f t="shared" si="0"/>
        <v>0</v>
      </c>
    </row>
    <row r="53" spans="1:8" s="3" customFormat="1" ht="28.2" thickBot="1">
      <c r="A53" s="221">
        <v>9</v>
      </c>
      <c r="B53" s="222" t="s">
        <v>365</v>
      </c>
      <c r="C53" s="290"/>
      <c r="D53" s="290"/>
      <c r="E53" s="291">
        <f t="shared" si="1"/>
        <v>0</v>
      </c>
      <c r="F53" s="290"/>
      <c r="G53" s="290"/>
      <c r="H53" s="274">
        <f t="shared" si="0"/>
        <v>0</v>
      </c>
    </row>
    <row r="55" spans="1:8" ht="27.6">
      <c r="B55" s="355" t="s">
        <v>946</v>
      </c>
      <c r="E55" s="497"/>
    </row>
    <row r="57" spans="1:8">
      <c r="C57" s="332"/>
      <c r="D57" s="332"/>
    </row>
    <row r="58" spans="1:8">
      <c r="C58" s="332"/>
      <c r="D58" s="33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A6" sqref="A6"/>
    </sheetView>
  </sheetViews>
  <sheetFormatPr defaultColWidth="9.109375" defaultRowHeight="13.8"/>
  <cols>
    <col min="1" max="1" width="9.5546875" style="2" bestFit="1" customWidth="1"/>
    <col min="2" max="2" width="93.5546875" style="2" customWidth="1"/>
    <col min="3" max="3" width="12.6640625" style="2" customWidth="1"/>
    <col min="4" max="4" width="13.33203125" style="2" customWidth="1"/>
    <col min="5" max="11" width="9.6640625" style="8" customWidth="1"/>
    <col min="12" max="16384" width="9.109375" style="8"/>
  </cols>
  <sheetData>
    <row r="1" spans="1:8" ht="14.4">
      <c r="A1" s="11" t="s">
        <v>227</v>
      </c>
      <c r="B1" s="319" t="s">
        <v>752</v>
      </c>
      <c r="C1" s="10"/>
    </row>
    <row r="2" spans="1:8">
      <c r="A2" s="11" t="s">
        <v>228</v>
      </c>
      <c r="B2" s="322">
        <f>'1. key ratios'!B2</f>
        <v>43555</v>
      </c>
      <c r="C2" s="23"/>
      <c r="D2" s="12"/>
      <c r="E2" s="7"/>
      <c r="F2" s="7"/>
      <c r="G2" s="7"/>
      <c r="H2" s="7"/>
    </row>
    <row r="3" spans="1:8">
      <c r="A3" s="11"/>
      <c r="B3" s="10"/>
      <c r="C3" s="23"/>
      <c r="D3" s="12"/>
      <c r="E3" s="7"/>
      <c r="F3" s="7"/>
      <c r="G3" s="7"/>
      <c r="H3" s="7"/>
    </row>
    <row r="4" spans="1:8" ht="15" customHeight="1" thickBot="1">
      <c r="A4" s="210" t="s">
        <v>653</v>
      </c>
      <c r="B4" s="211" t="s">
        <v>226</v>
      </c>
      <c r="C4" s="210"/>
      <c r="D4" s="212" t="s">
        <v>130</v>
      </c>
    </row>
    <row r="5" spans="1:8" ht="15" customHeight="1">
      <c r="A5" s="477" t="s">
        <v>27</v>
      </c>
      <c r="B5" s="478"/>
      <c r="C5" s="479" t="s">
        <v>945</v>
      </c>
      <c r="D5" s="480" t="s">
        <v>899</v>
      </c>
    </row>
    <row r="6" spans="1:8" ht="15" customHeight="1">
      <c r="A6" s="481">
        <v>1</v>
      </c>
      <c r="B6" s="482" t="s">
        <v>231</v>
      </c>
      <c r="C6" s="483">
        <f>C7+C9+C10</f>
        <v>1142049671.6457329</v>
      </c>
      <c r="D6" s="484">
        <f>D7+D9+D10</f>
        <v>1184143251.0045004</v>
      </c>
    </row>
    <row r="7" spans="1:8" ht="15" customHeight="1">
      <c r="A7" s="481">
        <v>1.1000000000000001</v>
      </c>
      <c r="B7" s="468" t="s">
        <v>22</v>
      </c>
      <c r="C7" s="485">
        <v>1079883369.0513921</v>
      </c>
      <c r="D7" s="486">
        <v>1107171422.10782</v>
      </c>
    </row>
    <row r="8" spans="1:8" ht="27.6">
      <c r="A8" s="481" t="s">
        <v>288</v>
      </c>
      <c r="B8" s="487" t="s">
        <v>647</v>
      </c>
      <c r="C8" s="488">
        <v>25472712.5</v>
      </c>
      <c r="D8" s="489">
        <v>25472712.5</v>
      </c>
    </row>
    <row r="9" spans="1:8" ht="15" customHeight="1">
      <c r="A9" s="481">
        <v>1.2</v>
      </c>
      <c r="B9" s="468" t="s">
        <v>23</v>
      </c>
      <c r="C9" s="485">
        <v>62166302.59434092</v>
      </c>
      <c r="D9" s="486">
        <v>76971828.896680325</v>
      </c>
    </row>
    <row r="10" spans="1:8" ht="15" customHeight="1">
      <c r="A10" s="481">
        <v>1.4</v>
      </c>
      <c r="B10" s="490" t="s">
        <v>78</v>
      </c>
      <c r="C10" s="491">
        <v>0</v>
      </c>
      <c r="D10" s="486">
        <v>0</v>
      </c>
    </row>
    <row r="11" spans="1:8" ht="15" customHeight="1">
      <c r="A11" s="481">
        <v>2</v>
      </c>
      <c r="B11" s="482" t="s">
        <v>232</v>
      </c>
      <c r="C11" s="485">
        <v>1830122.3469170097</v>
      </c>
      <c r="D11" s="486">
        <v>43141375.553014837</v>
      </c>
    </row>
    <row r="12" spans="1:8" ht="15" customHeight="1">
      <c r="A12" s="481">
        <v>3</v>
      </c>
      <c r="B12" s="482" t="s">
        <v>230</v>
      </c>
      <c r="C12" s="491">
        <v>154224196.875</v>
      </c>
      <c r="D12" s="486">
        <v>154224196.875</v>
      </c>
    </row>
    <row r="13" spans="1:8" ht="15" customHeight="1" thickBot="1">
      <c r="A13" s="134">
        <v>4</v>
      </c>
      <c r="B13" s="492" t="s">
        <v>289</v>
      </c>
      <c r="C13" s="493">
        <f>C6+C11+C12</f>
        <v>1298103990.8676498</v>
      </c>
      <c r="D13" s="494">
        <f>D6+D11+D12</f>
        <v>1381508823.4325151</v>
      </c>
    </row>
    <row r="14" spans="1:8" ht="15" customHeight="1">
      <c r="A14" s="55"/>
      <c r="B14" s="56"/>
      <c r="C14" s="499"/>
      <c r="D14" s="499"/>
    </row>
    <row r="15" spans="1:8">
      <c r="B15" s="102"/>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43" sqref="B43"/>
      <selection pane="topRight" activeCell="B43" sqref="B43"/>
      <selection pane="bottomLeft" activeCell="B43" sqref="B43"/>
      <selection pane="bottomRight" activeCell="B5" sqref="B5:C5"/>
    </sheetView>
  </sheetViews>
  <sheetFormatPr defaultRowHeight="14.4"/>
  <cols>
    <col min="1" max="1" width="10" style="2" customWidth="1"/>
    <col min="2" max="2" width="84.6640625" style="2" customWidth="1"/>
    <col min="3" max="3" width="9.109375" style="2"/>
  </cols>
  <sheetData>
    <row r="1" spans="1:8">
      <c r="A1" s="2" t="s">
        <v>227</v>
      </c>
      <c r="B1" s="319" t="s">
        <v>752</v>
      </c>
    </row>
    <row r="2" spans="1:8">
      <c r="A2" s="2" t="s">
        <v>228</v>
      </c>
      <c r="B2" s="322">
        <f>'1. key ratios'!B2</f>
        <v>43555</v>
      </c>
    </row>
    <row r="4" spans="1:8" ht="28.2" thickBot="1">
      <c r="A4" s="356" t="s">
        <v>654</v>
      </c>
      <c r="B4" s="57" t="s">
        <v>187</v>
      </c>
      <c r="C4" s="9"/>
    </row>
    <row r="5" spans="1:8">
      <c r="A5" s="324"/>
      <c r="B5" s="553" t="s">
        <v>188</v>
      </c>
      <c r="C5" s="554"/>
    </row>
    <row r="6" spans="1:8" ht="15">
      <c r="A6" s="325">
        <v>1</v>
      </c>
      <c r="B6" s="59" t="s">
        <v>757</v>
      </c>
      <c r="C6" s="60"/>
    </row>
    <row r="7" spans="1:8" ht="15">
      <c r="A7" s="325">
        <v>2</v>
      </c>
      <c r="B7" s="59" t="s">
        <v>896</v>
      </c>
      <c r="C7" s="60"/>
    </row>
    <row r="8" spans="1:8" ht="15">
      <c r="A8" s="325">
        <v>3</v>
      </c>
      <c r="B8" s="59" t="s">
        <v>779</v>
      </c>
      <c r="C8" s="60"/>
    </row>
    <row r="9" spans="1:8" ht="15">
      <c r="A9" s="325">
        <v>4</v>
      </c>
      <c r="B9" s="59" t="s">
        <v>894</v>
      </c>
      <c r="C9" s="60"/>
    </row>
    <row r="10" spans="1:8" ht="15">
      <c r="A10" s="325">
        <v>5</v>
      </c>
      <c r="B10" s="59" t="s">
        <v>895</v>
      </c>
      <c r="C10" s="60"/>
    </row>
    <row r="11" spans="1:8" ht="15">
      <c r="A11" s="325">
        <v>6</v>
      </c>
      <c r="B11" s="59"/>
      <c r="C11" s="60"/>
    </row>
    <row r="12" spans="1:8" ht="15">
      <c r="A12" s="325">
        <v>7</v>
      </c>
      <c r="B12" s="59"/>
      <c r="C12" s="60"/>
      <c r="H12" s="4"/>
    </row>
    <row r="13" spans="1:8" ht="15">
      <c r="A13" s="325">
        <v>8</v>
      </c>
      <c r="B13" s="59"/>
      <c r="C13" s="60"/>
    </row>
    <row r="14" spans="1:8" ht="15">
      <c r="A14" s="325">
        <v>9</v>
      </c>
      <c r="B14" s="59"/>
      <c r="C14" s="60"/>
    </row>
    <row r="15" spans="1:8" ht="15">
      <c r="A15" s="325">
        <v>10</v>
      </c>
      <c r="B15" s="59"/>
      <c r="C15" s="60"/>
    </row>
    <row r="16" spans="1:8" ht="15">
      <c r="A16" s="325"/>
      <c r="B16" s="555"/>
      <c r="C16" s="556"/>
    </row>
    <row r="17" spans="1:3">
      <c r="A17" s="325"/>
      <c r="B17" s="557" t="s">
        <v>189</v>
      </c>
      <c r="C17" s="558"/>
    </row>
    <row r="18" spans="1:3">
      <c r="A18" s="325">
        <v>1</v>
      </c>
      <c r="B18" s="21" t="s">
        <v>758</v>
      </c>
      <c r="C18" s="58"/>
    </row>
    <row r="19" spans="1:3">
      <c r="A19" s="325">
        <v>2</v>
      </c>
      <c r="B19" s="21" t="s">
        <v>762</v>
      </c>
      <c r="C19" s="58"/>
    </row>
    <row r="20" spans="1:3">
      <c r="A20" s="325">
        <v>3</v>
      </c>
      <c r="B20" s="21" t="s">
        <v>759</v>
      </c>
      <c r="C20" s="58"/>
    </row>
    <row r="21" spans="1:3">
      <c r="A21" s="325">
        <v>4</v>
      </c>
      <c r="B21" s="21" t="s">
        <v>760</v>
      </c>
      <c r="C21" s="58"/>
    </row>
    <row r="22" spans="1:3">
      <c r="A22" s="325">
        <v>5</v>
      </c>
      <c r="B22" s="21" t="s">
        <v>761</v>
      </c>
      <c r="C22" s="58"/>
    </row>
    <row r="23" spans="1:3">
      <c r="A23" s="325">
        <v>6</v>
      </c>
      <c r="B23" s="21"/>
      <c r="C23" s="58"/>
    </row>
    <row r="24" spans="1:3">
      <c r="A24" s="325">
        <v>7</v>
      </c>
      <c r="B24" s="21"/>
      <c r="C24" s="58"/>
    </row>
    <row r="25" spans="1:3">
      <c r="A25" s="325">
        <v>8</v>
      </c>
      <c r="B25" s="21"/>
      <c r="C25" s="58"/>
    </row>
    <row r="26" spans="1:3">
      <c r="A26" s="325">
        <v>9</v>
      </c>
      <c r="B26" s="21"/>
      <c r="C26" s="58"/>
    </row>
    <row r="27" spans="1:3" ht="15.75" customHeight="1">
      <c r="A27" s="325">
        <v>10</v>
      </c>
      <c r="B27" s="21"/>
      <c r="C27" s="22"/>
    </row>
    <row r="28" spans="1:3" ht="15.75" customHeight="1">
      <c r="A28" s="325"/>
      <c r="B28" s="21"/>
      <c r="C28" s="22"/>
    </row>
    <row r="29" spans="1:3" ht="30" customHeight="1">
      <c r="A29" s="325"/>
      <c r="B29" s="559" t="s">
        <v>190</v>
      </c>
      <c r="C29" s="560"/>
    </row>
    <row r="30" spans="1:3" ht="15">
      <c r="A30" s="325">
        <v>1</v>
      </c>
      <c r="B30" s="59" t="s">
        <v>763</v>
      </c>
      <c r="C30" s="323">
        <v>1</v>
      </c>
    </row>
    <row r="31" spans="1:3" ht="15.75" customHeight="1">
      <c r="A31" s="325"/>
      <c r="B31" s="59"/>
      <c r="C31" s="60"/>
    </row>
    <row r="32" spans="1:3" ht="29.25" customHeight="1">
      <c r="A32" s="325"/>
      <c r="B32" s="559" t="s">
        <v>313</v>
      </c>
      <c r="C32" s="560"/>
    </row>
    <row r="33" spans="1:3" ht="15">
      <c r="A33" s="325">
        <v>1</v>
      </c>
      <c r="B33" s="59" t="s">
        <v>764</v>
      </c>
      <c r="C33" s="323">
        <v>1</v>
      </c>
    </row>
    <row r="34" spans="1:3" ht="15.6" thickBot="1">
      <c r="A34" s="326"/>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E37"/>
  <sheetViews>
    <sheetView zoomScaleNormal="100" workbookViewId="0">
      <pane ySplit="7" topLeftCell="A8" activePane="bottomLeft" state="frozen"/>
      <selection activeCell="K8" sqref="K8"/>
      <selection pane="bottomLeft" activeCell="B2" sqref="B2"/>
    </sheetView>
  </sheetViews>
  <sheetFormatPr defaultRowHeight="14.4"/>
  <cols>
    <col min="1" max="1" width="9.5546875" style="2" bestFit="1" customWidth="1"/>
    <col min="2" max="2" width="47.5546875" style="2" customWidth="1"/>
    <col min="3" max="3" width="23.33203125" style="2" customWidth="1"/>
    <col min="4" max="4" width="21.44140625" style="2" customWidth="1"/>
    <col min="5" max="5" width="20.6640625" style="2" customWidth="1"/>
  </cols>
  <sheetData>
    <row r="1" spans="1:5">
      <c r="A1" s="11" t="s">
        <v>227</v>
      </c>
      <c r="B1" s="319" t="s">
        <v>752</v>
      </c>
    </row>
    <row r="2" spans="1:5" s="15" customFormat="1" ht="15.75" customHeight="1">
      <c r="A2" s="15" t="s">
        <v>228</v>
      </c>
      <c r="B2" s="322">
        <f>'1. key ratios'!B2</f>
        <v>43555</v>
      </c>
    </row>
    <row r="3" spans="1:5" s="15" customFormat="1" ht="15.75" customHeight="1"/>
    <row r="4" spans="1:5" s="15" customFormat="1" ht="15.75" customHeight="1" thickBot="1">
      <c r="A4" s="245" t="s">
        <v>655</v>
      </c>
      <c r="B4" s="246" t="s">
        <v>299</v>
      </c>
      <c r="C4" s="191"/>
      <c r="D4" s="191"/>
      <c r="E4" s="192" t="s">
        <v>130</v>
      </c>
    </row>
    <row r="5" spans="1:5" s="117" customFormat="1" ht="17.399999999999999" customHeight="1">
      <c r="A5" s="336"/>
      <c r="B5" s="337"/>
      <c r="C5" s="190" t="s">
        <v>0</v>
      </c>
      <c r="D5" s="190" t="s">
        <v>1</v>
      </c>
      <c r="E5" s="252" t="s">
        <v>2</v>
      </c>
    </row>
    <row r="6" spans="1:5" s="157" customFormat="1" ht="14.4" customHeight="1">
      <c r="A6" s="338"/>
      <c r="B6" s="561" t="s">
        <v>270</v>
      </c>
      <c r="C6" s="561" t="s">
        <v>269</v>
      </c>
      <c r="D6" s="562" t="s">
        <v>268</v>
      </c>
      <c r="E6" s="563"/>
    </row>
    <row r="7" spans="1:5" s="157" customFormat="1" ht="99.6" customHeight="1">
      <c r="A7" s="338"/>
      <c r="B7" s="561"/>
      <c r="C7" s="561"/>
      <c r="D7" s="381" t="s">
        <v>267</v>
      </c>
      <c r="E7" s="380" t="s">
        <v>304</v>
      </c>
    </row>
    <row r="8" spans="1:5">
      <c r="A8" s="338"/>
      <c r="B8" s="243" t="s">
        <v>192</v>
      </c>
      <c r="C8" s="327">
        <f>'2. RC'!E6</f>
        <v>16551415</v>
      </c>
      <c r="D8" s="327"/>
      <c r="E8" s="393">
        <f>C8-D8</f>
        <v>16551415</v>
      </c>
    </row>
    <row r="9" spans="1:5">
      <c r="A9" s="338"/>
      <c r="B9" s="243" t="s">
        <v>193</v>
      </c>
      <c r="C9" s="327">
        <f>'2. RC'!E7</f>
        <v>163351281</v>
      </c>
      <c r="D9" s="327"/>
      <c r="E9" s="393">
        <f t="shared" ref="E9:E20" si="0">C9-D9</f>
        <v>163351281</v>
      </c>
    </row>
    <row r="10" spans="1:5">
      <c r="A10" s="338"/>
      <c r="B10" s="243" t="s">
        <v>266</v>
      </c>
      <c r="C10" s="327">
        <f>'2. RC'!E8</f>
        <v>76168886</v>
      </c>
      <c r="D10" s="327"/>
      <c r="E10" s="393">
        <f t="shared" si="0"/>
        <v>76168886</v>
      </c>
    </row>
    <row r="11" spans="1:5" ht="27.6">
      <c r="A11" s="338"/>
      <c r="B11" s="243" t="s">
        <v>223</v>
      </c>
      <c r="C11" s="327">
        <f>'2. RC'!E9</f>
        <v>0</v>
      </c>
      <c r="D11" s="327"/>
      <c r="E11" s="393">
        <f t="shared" si="0"/>
        <v>0</v>
      </c>
    </row>
    <row r="12" spans="1:5">
      <c r="A12" s="338"/>
      <c r="B12" s="243" t="s">
        <v>195</v>
      </c>
      <c r="C12" s="327">
        <f>'2. RC'!E10</f>
        <v>14735854</v>
      </c>
      <c r="D12" s="327"/>
      <c r="E12" s="393">
        <f t="shared" si="0"/>
        <v>14735854</v>
      </c>
    </row>
    <row r="13" spans="1:5">
      <c r="A13" s="338"/>
      <c r="B13" s="243" t="s">
        <v>196</v>
      </c>
      <c r="C13" s="327">
        <f>'2. RC'!E11</f>
        <v>840985829</v>
      </c>
      <c r="D13" s="327"/>
      <c r="E13" s="393">
        <f>C13-D13</f>
        <v>840985829</v>
      </c>
    </row>
    <row r="14" spans="1:5">
      <c r="A14" s="338"/>
      <c r="B14" s="244" t="s">
        <v>197</v>
      </c>
      <c r="C14" s="327">
        <f>'2. RC'!E12</f>
        <v>-120284200</v>
      </c>
      <c r="D14" s="327"/>
      <c r="E14" s="393">
        <f>C14</f>
        <v>-120284200</v>
      </c>
    </row>
    <row r="15" spans="1:5">
      <c r="A15" s="338"/>
      <c r="B15" s="243" t="s">
        <v>265</v>
      </c>
      <c r="C15" s="327">
        <f>'2. RC'!E13</f>
        <v>720701629</v>
      </c>
      <c r="D15" s="327"/>
      <c r="E15" s="393">
        <f>SUM(E13:E14)</f>
        <v>720701629</v>
      </c>
    </row>
    <row r="16" spans="1:5" ht="27.6">
      <c r="A16" s="338"/>
      <c r="B16" s="243" t="s">
        <v>199</v>
      </c>
      <c r="C16" s="327">
        <f>'2. RC'!E14</f>
        <v>11273694</v>
      </c>
      <c r="D16" s="327"/>
      <c r="E16" s="393">
        <f t="shared" si="0"/>
        <v>11273694</v>
      </c>
    </row>
    <row r="17" spans="1:5">
      <c r="A17" s="338"/>
      <c r="B17" s="243" t="s">
        <v>200</v>
      </c>
      <c r="C17" s="327">
        <f>'2. RC'!E15</f>
        <v>24803612</v>
      </c>
      <c r="D17" s="327"/>
      <c r="E17" s="393">
        <f t="shared" si="0"/>
        <v>24803612</v>
      </c>
    </row>
    <row r="18" spans="1:5">
      <c r="A18" s="338"/>
      <c r="B18" s="243" t="s">
        <v>201</v>
      </c>
      <c r="C18" s="327">
        <f>'2. RC'!E16</f>
        <v>4883540</v>
      </c>
      <c r="D18" s="327"/>
      <c r="E18" s="393">
        <f t="shared" si="0"/>
        <v>4883540</v>
      </c>
    </row>
    <row r="19" spans="1:5" ht="27.6">
      <c r="A19" s="338"/>
      <c r="B19" s="243" t="s">
        <v>202</v>
      </c>
      <c r="C19" s="327">
        <f>'2. RC'!E17</f>
        <v>18142922</v>
      </c>
      <c r="D19" s="327">
        <f>'9. Capital'!C15</f>
        <v>5095122</v>
      </c>
      <c r="E19" s="393">
        <f t="shared" si="0"/>
        <v>13047800</v>
      </c>
    </row>
    <row r="20" spans="1:5">
      <c r="A20" s="338"/>
      <c r="B20" s="243" t="s">
        <v>203</v>
      </c>
      <c r="C20" s="327">
        <f>'2. RC'!E18</f>
        <v>26189795</v>
      </c>
      <c r="D20" s="327"/>
      <c r="E20" s="393">
        <f t="shared" si="0"/>
        <v>26189795</v>
      </c>
    </row>
    <row r="21" spans="1:5" ht="42" thickBot="1">
      <c r="A21" s="339"/>
      <c r="B21" s="247" t="s">
        <v>305</v>
      </c>
      <c r="C21" s="328">
        <f>SUM(C8:C12)+SUM(C15:C20)</f>
        <v>1076802628</v>
      </c>
      <c r="D21" s="328">
        <f>SUM(D8:D12)+SUM(D15:D20)</f>
        <v>5095122</v>
      </c>
      <c r="E21" s="340">
        <f>SUM(E8:E12)+SUM(E15:E20)</f>
        <v>1071707506</v>
      </c>
    </row>
    <row r="22" spans="1:5">
      <c r="A22"/>
      <c r="B22"/>
      <c r="C22" s="394"/>
      <c r="D22"/>
      <c r="E22" s="329"/>
    </row>
    <row r="23" spans="1:5">
      <c r="A23"/>
      <c r="B23"/>
      <c r="C23"/>
      <c r="D23" s="329"/>
      <c r="E23" s="332"/>
    </row>
    <row r="25" spans="1:5" s="2" customFormat="1" ht="13.8">
      <c r="B25" s="64"/>
      <c r="E25" s="420"/>
    </row>
    <row r="26" spans="1:5" s="2" customFormat="1" ht="13.8">
      <c r="B26" s="65"/>
    </row>
    <row r="27" spans="1:5" s="2" customFormat="1" ht="13.8">
      <c r="B27" s="64"/>
    </row>
    <row r="28" spans="1:5" s="2" customFormat="1" ht="13.8">
      <c r="B28" s="64"/>
    </row>
    <row r="29" spans="1:5" s="2" customFormat="1" ht="13.8">
      <c r="B29" s="64"/>
    </row>
    <row r="30" spans="1:5" s="2" customFormat="1" ht="13.8">
      <c r="B30" s="64"/>
    </row>
    <row r="31" spans="1:5" s="2" customFormat="1" ht="13.8">
      <c r="B31" s="64"/>
    </row>
    <row r="32" spans="1:5" s="2" customFormat="1" ht="13.8">
      <c r="B32" s="65"/>
    </row>
    <row r="33" spans="2:2" s="2" customFormat="1" ht="13.8">
      <c r="B33" s="65"/>
    </row>
    <row r="34" spans="2:2" s="2" customFormat="1" ht="13.8">
      <c r="B34" s="65"/>
    </row>
    <row r="35" spans="2:2" s="2" customFormat="1" ht="13.8">
      <c r="B35" s="65"/>
    </row>
    <row r="36" spans="2:2" s="2" customFormat="1" ht="13.8">
      <c r="B36" s="65"/>
    </row>
    <row r="37" spans="2:2" s="2" customFormat="1" ht="13.8">
      <c r="B37" s="65"/>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5" sqref="B5"/>
    </sheetView>
  </sheetViews>
  <sheetFormatPr defaultRowHeight="14.4" outlineLevelRow="1"/>
  <cols>
    <col min="1" max="1" width="9.5546875" style="2" bestFit="1" customWidth="1"/>
    <col min="2" max="2" width="114.33203125" style="2" customWidth="1"/>
    <col min="3" max="3" width="16.6640625" customWidth="1"/>
    <col min="4" max="6" width="10.6640625" customWidth="1"/>
    <col min="7" max="7" width="10" bestFit="1" customWidth="1"/>
    <col min="8" max="8" width="12" bestFit="1" customWidth="1"/>
    <col min="9" max="9" width="12.5546875" bestFit="1" customWidth="1"/>
  </cols>
  <sheetData>
    <row r="1" spans="1:6">
      <c r="A1" s="11" t="s">
        <v>227</v>
      </c>
      <c r="B1" s="319" t="s">
        <v>752</v>
      </c>
    </row>
    <row r="2" spans="1:6" s="15" customFormat="1" ht="15.75" customHeight="1">
      <c r="A2" s="15" t="s">
        <v>228</v>
      </c>
      <c r="B2" s="322">
        <f>'1. key ratios'!B2</f>
        <v>43555</v>
      </c>
      <c r="C2"/>
      <c r="D2"/>
      <c r="E2"/>
      <c r="F2"/>
    </row>
    <row r="3" spans="1:6" s="15" customFormat="1" ht="15.75" customHeight="1">
      <c r="C3"/>
      <c r="D3"/>
      <c r="E3"/>
      <c r="F3"/>
    </row>
    <row r="4" spans="1:6" s="15" customFormat="1" ht="28.2" thickBot="1">
      <c r="A4" s="15" t="s">
        <v>656</v>
      </c>
      <c r="B4" s="198" t="s">
        <v>303</v>
      </c>
      <c r="C4" s="192" t="s">
        <v>130</v>
      </c>
      <c r="D4"/>
      <c r="E4"/>
      <c r="F4"/>
    </row>
    <row r="5" spans="1:6" ht="27.6">
      <c r="A5" s="193">
        <v>1</v>
      </c>
      <c r="B5" s="194" t="s">
        <v>693</v>
      </c>
      <c r="C5" s="375">
        <f>'7. LI1'!E21</f>
        <v>1071707506</v>
      </c>
    </row>
    <row r="6" spans="1:6" s="180" customFormat="1">
      <c r="A6" s="116">
        <v>2.1</v>
      </c>
      <c r="B6" s="200" t="s">
        <v>306</v>
      </c>
      <c r="C6" s="376">
        <v>85923998.884100899</v>
      </c>
      <c r="D6" s="349"/>
    </row>
    <row r="7" spans="1:6" s="4" customFormat="1" ht="27.6" outlineLevel="1">
      <c r="A7" s="199">
        <v>2.2000000000000002</v>
      </c>
      <c r="B7" s="195" t="s">
        <v>307</v>
      </c>
      <c r="C7" s="377">
        <v>0</v>
      </c>
      <c r="D7" s="350"/>
    </row>
    <row r="8" spans="1:6" s="4" customFormat="1" ht="27.6">
      <c r="A8" s="199">
        <v>3</v>
      </c>
      <c r="B8" s="196" t="s">
        <v>694</v>
      </c>
      <c r="C8" s="378">
        <f>SUM(C5:C7)</f>
        <v>1157631504.8841009</v>
      </c>
      <c r="D8" s="350"/>
    </row>
    <row r="9" spans="1:6" s="180" customFormat="1">
      <c r="A9" s="116">
        <v>4</v>
      </c>
      <c r="B9" s="203" t="s">
        <v>300</v>
      </c>
      <c r="C9" s="540">
        <v>7979752</v>
      </c>
      <c r="D9" s="349"/>
    </row>
    <row r="10" spans="1:6" s="4" customFormat="1" ht="27.6" outlineLevel="1">
      <c r="A10" s="199">
        <v>5.0999999999999996</v>
      </c>
      <c r="B10" s="195" t="s">
        <v>314</v>
      </c>
      <c r="C10" s="534">
        <v>-14791391.354999959</v>
      </c>
      <c r="D10" s="351"/>
    </row>
    <row r="11" spans="1:6" s="4" customFormat="1" ht="27.6" outlineLevel="1">
      <c r="A11" s="199">
        <v>5.2</v>
      </c>
      <c r="B11" s="195" t="s">
        <v>315</v>
      </c>
      <c r="C11" s="533">
        <v>0</v>
      </c>
    </row>
    <row r="12" spans="1:6" s="4" customFormat="1">
      <c r="A12" s="199">
        <v>6</v>
      </c>
      <c r="B12" s="201" t="s">
        <v>301</v>
      </c>
      <c r="C12" s="377"/>
    </row>
    <row r="13" spans="1:6" s="4" customFormat="1" ht="15" thickBot="1">
      <c r="A13" s="202">
        <v>7</v>
      </c>
      <c r="B13" s="197" t="s">
        <v>302</v>
      </c>
      <c r="C13" s="379">
        <f>SUM(C8:C12)</f>
        <v>1150819865.5291009</v>
      </c>
    </row>
    <row r="14" spans="1:6">
      <c r="C14" s="352"/>
    </row>
    <row r="16" spans="1:6">
      <c r="C16" s="332"/>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V/c3PGgI8xeXtQE0L80KYm78KqpAH3AXnoT/mmZ/Nww=</DigestValue>
    </Reference>
    <Reference Type="http://www.w3.org/2000/09/xmldsig#Object" URI="#idOfficeObject">
      <DigestMethod Algorithm="http://www.w3.org/2001/04/xmlenc#sha256"/>
      <DigestValue>DZyRBPbBqSUIHlZLpK7ItgRmIdLAUwsK4TxQ9I8GEBA=</DigestValue>
    </Reference>
    <Reference Type="http://uri.etsi.org/01903#SignedProperties" URI="#idSignedProperties">
      <Transforms>
        <Transform Algorithm="http://www.w3.org/TR/2001/REC-xml-c14n-20010315"/>
      </Transforms>
      <DigestMethod Algorithm="http://www.w3.org/2001/04/xmlenc#sha256"/>
      <DigestValue>zmanYublWsPL3QEeYZ3jU82w/SiHCV6Gq4LqmsvfJo0=</DigestValue>
    </Reference>
  </SignedInfo>
  <SignatureValue>1+VG+eIwHu+OCjzhtjiOj70uJVjokltWxay8xYfjr6Q29fx1VXGzKGF4hMaNpoODNn/tqq7O8NzW
Az9tn6c7bv7odw3Wrm4VtMx2fBgVQDOVzGCczbMG9P1wsGtFDq6DwxjFs+OQo0uVQfaw4FG1LqfT
CFxjbdGUsAYDnzbAJ7vaO7l6we5bHktxBMGmhDp9Fj+qm1bDzCd6sTlBqqT8BX4TYvFNsGlyeQQx
i9T6xlhegYsxcpPpucYHXvPfMw+VBfb9g42xhX2/IkkPssmc76WD0p1vJhif7fplZMIdv5J/rie7
RqO5snqZ/IjPN2nkwWVPIP0pVZ7na7gbFIQoLg==</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v8SmMWJ3xK6Y4N7EDWZlKhwmM/n4rI7LO/2ZqpIFrm0=</DigestValue>
      </Reference>
      <Reference URI="/xl/drawings/drawing1.xml?ContentType=application/vnd.openxmlformats-officedocument.drawing+xml">
        <DigestMethod Algorithm="http://www.w3.org/2001/04/xmlenc#sha256"/>
        <DigestValue>kywbfkNn/06bMo3OSI7TLq1cZHgauKR3svsufboKoqc=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BsTqduREDXtOyctN20pGzLpjI4wWuJg/NNIbnpCVoKg=</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Zft3OxpcWHy05jKU1vnPw/ytTyi58VUUwtrwtYisGtU=</DigestValue>
      </Reference>
      <Reference URI="/xl/styles.xml?ContentType=application/vnd.openxmlformats-officedocument.spreadsheetml.styles+xml">
        <DigestMethod Algorithm="http://www.w3.org/2001/04/xmlenc#sha256"/>
        <DigestValue>R96A/kZ3fXVnCK3nFqsMfmMrUhhq7dggvuFLcjlP0DY=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KiLh6jNp3x7JdssdWH4YCg7qd3QvIJJEfd6K4VdljyU=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lwNAVfok+47/hNM5Y21l0G5qYb6uqNAPP9HMZ7KWpcI=</DigestValue>
      </Reference>
      <Reference URI="/xl/worksheets/sheet10.xml?ContentType=application/vnd.openxmlformats-officedocument.spreadsheetml.worksheet+xml">
        <DigestMethod Algorithm="http://www.w3.org/2001/04/xmlenc#sha256"/>
        <DigestValue>BkeqByRzPh0YyIkP/x15Hno3459Tx962HgEy1c+UcCw=</DigestValue>
      </Reference>
      <Reference URI="/xl/worksheets/sheet11.xml?ContentType=application/vnd.openxmlformats-officedocument.spreadsheetml.worksheet+xml">
        <DigestMethod Algorithm="http://www.w3.org/2001/04/xmlenc#sha256"/>
        <DigestValue>Cky/WlHy0+TVavu+srQKX6yPF64nEKQo2e1kEfWw1cw=</DigestValue>
      </Reference>
      <Reference URI="/xl/worksheets/sheet12.xml?ContentType=application/vnd.openxmlformats-officedocument.spreadsheetml.worksheet+xml">
        <DigestMethod Algorithm="http://www.w3.org/2001/04/xmlenc#sha256"/>
        <DigestValue>uyGaMDa6Ig9LKDVVB4sawezh1QShYXD0SlgZh8dT2mU=</DigestValue>
      </Reference>
      <Reference URI="/xl/worksheets/sheet13.xml?ContentType=application/vnd.openxmlformats-officedocument.spreadsheetml.worksheet+xml">
        <DigestMethod Algorithm="http://www.w3.org/2001/04/xmlenc#sha256"/>
        <DigestValue>BoVw+0xbPPCKSvVneb2qGhBWyDiHKxg3hXAZAWDn+uM=</DigestValue>
      </Reference>
      <Reference URI="/xl/worksheets/sheet14.xml?ContentType=application/vnd.openxmlformats-officedocument.spreadsheetml.worksheet+xml">
        <DigestMethod Algorithm="http://www.w3.org/2001/04/xmlenc#sha256"/>
        <DigestValue>WUfB1JWIkbzH4gsBlr1Mg0HsLWJvyvIfVjxbt55bhhk=</DigestValue>
      </Reference>
      <Reference URI="/xl/worksheets/sheet15.xml?ContentType=application/vnd.openxmlformats-officedocument.spreadsheetml.worksheet+xml">
        <DigestMethod Algorithm="http://www.w3.org/2001/04/xmlenc#sha256"/>
        <DigestValue>EeueFm5fJpEsg0ZfIv3qWdCKp93/AE/zzuuLQNqijNI=</DigestValue>
      </Reference>
      <Reference URI="/xl/worksheets/sheet16.xml?ContentType=application/vnd.openxmlformats-officedocument.spreadsheetml.worksheet+xml">
        <DigestMethod Algorithm="http://www.w3.org/2001/04/xmlenc#sha256"/>
        <DigestValue>zwzD5Q1cnwmV7eu+AWiEqMWvBcpwIw4oIyBtYxyzeHc=</DigestValue>
      </Reference>
      <Reference URI="/xl/worksheets/sheet17.xml?ContentType=application/vnd.openxmlformats-officedocument.spreadsheetml.worksheet+xml">
        <DigestMethod Algorithm="http://www.w3.org/2001/04/xmlenc#sha256"/>
        <DigestValue>UVTlJR8Dn/qFlA358o0xAApw7042AESiSOYQDl8Y+98=</DigestValue>
      </Reference>
      <Reference URI="/xl/worksheets/sheet18.xml?ContentType=application/vnd.openxmlformats-officedocument.spreadsheetml.worksheet+xml">
        <DigestMethod Algorithm="http://www.w3.org/2001/04/xmlenc#sha256"/>
        <DigestValue>eHKHxtgPb3U0cWS3rBLzRdgFMh70KZlN2wW4sJbU3Vk=</DigestValue>
      </Reference>
      <Reference URI="/xl/worksheets/sheet19.xml?ContentType=application/vnd.openxmlformats-officedocument.spreadsheetml.worksheet+xml">
        <DigestMethod Algorithm="http://www.w3.org/2001/04/xmlenc#sha256"/>
        <DigestValue>j1DCwUV+nrJwafk5Ns3K6hzTf7R4B4bMc9zCn3d9+ts=</DigestValue>
      </Reference>
      <Reference URI="/xl/worksheets/sheet2.xml?ContentType=application/vnd.openxmlformats-officedocument.spreadsheetml.worksheet+xml">
        <DigestMethod Algorithm="http://www.w3.org/2001/04/xmlenc#sha256"/>
        <DigestValue>GyKVRqNKSFfkTPC6yqiAAhun+qLhfVzFd7OVnbhBgq0=</DigestValue>
      </Reference>
      <Reference URI="/xl/worksheets/sheet3.xml?ContentType=application/vnd.openxmlformats-officedocument.spreadsheetml.worksheet+xml">
        <DigestMethod Algorithm="http://www.w3.org/2001/04/xmlenc#sha256"/>
        <DigestValue>5/BCygn/fSvVDvFZxIHVeSnaYt4t5Um53FLnO5rhT8s=</DigestValue>
      </Reference>
      <Reference URI="/xl/worksheets/sheet4.xml?ContentType=application/vnd.openxmlformats-officedocument.spreadsheetml.worksheet+xml">
        <DigestMethod Algorithm="http://www.w3.org/2001/04/xmlenc#sha256"/>
        <DigestValue>TkwCBhZsvtyYsD/CQS6z5jbls0pmBoVRegVYxAoyhGY=</DigestValue>
      </Reference>
      <Reference URI="/xl/worksheets/sheet5.xml?ContentType=application/vnd.openxmlformats-officedocument.spreadsheetml.worksheet+xml">
        <DigestMethod Algorithm="http://www.w3.org/2001/04/xmlenc#sha256"/>
        <DigestValue>1+QONpSMNGj5DWRyZqelT73RZZAnVPzDmcN2yfZWaeM=</DigestValue>
      </Reference>
      <Reference URI="/xl/worksheets/sheet6.xml?ContentType=application/vnd.openxmlformats-officedocument.spreadsheetml.worksheet+xml">
        <DigestMethod Algorithm="http://www.w3.org/2001/04/xmlenc#sha256"/>
        <DigestValue>+t9ip9GxDMfjVXyzE4jE01eFs2PKyo4zHsDPjY/kzTQ=</DigestValue>
      </Reference>
      <Reference URI="/xl/worksheets/sheet7.xml?ContentType=application/vnd.openxmlformats-officedocument.spreadsheetml.worksheet+xml">
        <DigestMethod Algorithm="http://www.w3.org/2001/04/xmlenc#sha256"/>
        <DigestValue>3u4wvOXUDAa+CFrYHOoUYY59dWQo6Xd6Dpw/b2xINq4=</DigestValue>
      </Reference>
      <Reference URI="/xl/worksheets/sheet8.xml?ContentType=application/vnd.openxmlformats-officedocument.spreadsheetml.worksheet+xml">
        <DigestMethod Algorithm="http://www.w3.org/2001/04/xmlenc#sha256"/>
        <DigestValue>h7fQoBWv3lBVfYCxRL7nqRxohNhWK549fl+SJ3NZ3o4=</DigestValue>
      </Reference>
      <Reference URI="/xl/worksheets/sheet9.xml?ContentType=application/vnd.openxmlformats-officedocument.spreadsheetml.worksheet+xml">
        <DigestMethod Algorithm="http://www.w3.org/2001/04/xmlenc#sha256"/>
        <DigestValue>U7bz89Ml8hU0lrfjz7Jaqi/AntoKxO9zwlNYi6G2HGU=</DigestValue>
      </Reference>
    </Manifest>
    <SignatureProperties>
      <SignatureProperty Id="idSignatureTime" Target="#idPackageSignature">
        <mdssi:SignatureTime xmlns:mdssi="http://schemas.openxmlformats.org/package/2006/digital-signature">
          <mdssi:Format>YYYY-MM-DDThh:mm:ssTZD</mdssi:Format>
          <mdssi:Value>2019-04-30T07:45:55Z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16.0.11126/16</OfficeVersion>
          <ApplicationVersion>16.0.11126</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2019-04-30T07:45:55Z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Udt7FWqPlEcOXv6f54Ny292xr/fn0frNYB3wnCDQ5K8=</DigestValue>
    </Reference>
    <Reference Type="http://www.w3.org/2000/09/xmldsig#Object" URI="#idOfficeObject">
      <DigestMethod Algorithm="http://www.w3.org/2001/04/xmlenc#sha256"/>
      <DigestValue>JcqsChV8Ggu5iqrHfAbtENb0jwCMv3QAAN5ctMq3O7k=</DigestValue>
    </Reference>
    <Reference Type="http://uri.etsi.org/01903#SignedProperties" URI="#idSignedProperties">
      <Transforms>
        <Transform Algorithm="http://www.w3.org/TR/2001/REC-xml-c14n-20010315"/>
      </Transforms>
      <DigestMethod Algorithm="http://www.w3.org/2001/04/xmlenc#sha256"/>
      <DigestValue>GY9QNNJm+Wn4kCfRdh5yqG13E9OxHlWo208hXJ7RASc=</DigestValue>
    </Reference>
  </SignedInfo>
  <SignatureValue>ror4BLLHs5gRCmjeIO/fdftbt9l9yskxhYf8rzW9EiMk3DlV/y2uIwc+83jebSSc6Y9hZBFc+3C7
6/uwzmVLP/BDnq9mOGTRB3egTSdehLXqCaxgvVRt3dkdVwWgYq/HNKuStQvOZrTtss+CqiCsOmuV
NWGQMMwoagkDP9XgQvYd7DHjUwMdPWzjsr0WLZOJuNKfiEGHqrvJVfFmfEK1Mzxshq7rlTILpqIN
w4Oa+f5NKOvJg0F4XY9WaEs8zMVXK6ezmkPb1BmzCF09k5MCiLlGXkd0u9Jjt2hkvSbWRHQOx8XX
K3gRrIjefQx2uLcEjJ+/8pEGVI7vp8davankAQ==</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v8SmMWJ3xK6Y4N7EDWZlKhwmM/n4rI7LO/2ZqpIFrm0=</DigestValue>
      </Reference>
      <Reference URI="/xl/drawings/drawing1.xml?ContentType=application/vnd.openxmlformats-officedocument.drawing+xml">
        <DigestMethod Algorithm="http://www.w3.org/2001/04/xmlenc#sha256"/>
        <DigestValue>kywbfkNn/06bMo3OSI7TLq1cZHgauKR3svsufboKoqc=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BsTqduREDXtOyctN20pGzLpjI4wWuJg/NNIbnpCVoKg=</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Zft3OxpcWHy05jKU1vnPw/ytTyi58VUUwtrwtYisGtU=</DigestValue>
      </Reference>
      <Reference URI="/xl/styles.xml?ContentType=application/vnd.openxmlformats-officedocument.spreadsheetml.styles+xml">
        <DigestMethod Algorithm="http://www.w3.org/2001/04/xmlenc#sha256"/>
        <DigestValue>R96A/kZ3fXVnCK3nFqsMfmMrUhhq7dggvuFLcjlP0DY=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KiLh6jNp3x7JdssdWH4YCg7qd3QvIJJEfd6K4VdljyU=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lwNAVfok+47/hNM5Y21l0G5qYb6uqNAPP9HMZ7KWpcI=</DigestValue>
      </Reference>
      <Reference URI="/xl/worksheets/sheet10.xml?ContentType=application/vnd.openxmlformats-officedocument.spreadsheetml.worksheet+xml">
        <DigestMethod Algorithm="http://www.w3.org/2001/04/xmlenc#sha256"/>
        <DigestValue>BkeqByRzPh0YyIkP/x15Hno3459Tx962HgEy1c+UcCw=</DigestValue>
      </Reference>
      <Reference URI="/xl/worksheets/sheet11.xml?ContentType=application/vnd.openxmlformats-officedocument.spreadsheetml.worksheet+xml">
        <DigestMethod Algorithm="http://www.w3.org/2001/04/xmlenc#sha256"/>
        <DigestValue>Cky/WlHy0+TVavu+srQKX6yPF64nEKQo2e1kEfWw1cw=</DigestValue>
      </Reference>
      <Reference URI="/xl/worksheets/sheet12.xml?ContentType=application/vnd.openxmlformats-officedocument.spreadsheetml.worksheet+xml">
        <DigestMethod Algorithm="http://www.w3.org/2001/04/xmlenc#sha256"/>
        <DigestValue>uyGaMDa6Ig9LKDVVB4sawezh1QShYXD0SlgZh8dT2mU=</DigestValue>
      </Reference>
      <Reference URI="/xl/worksheets/sheet13.xml?ContentType=application/vnd.openxmlformats-officedocument.spreadsheetml.worksheet+xml">
        <DigestMethod Algorithm="http://www.w3.org/2001/04/xmlenc#sha256"/>
        <DigestValue>BoVw+0xbPPCKSvVneb2qGhBWyDiHKxg3hXAZAWDn+uM=</DigestValue>
      </Reference>
      <Reference URI="/xl/worksheets/sheet14.xml?ContentType=application/vnd.openxmlformats-officedocument.spreadsheetml.worksheet+xml">
        <DigestMethod Algorithm="http://www.w3.org/2001/04/xmlenc#sha256"/>
        <DigestValue>WUfB1JWIkbzH4gsBlr1Mg0HsLWJvyvIfVjxbt55bhhk=</DigestValue>
      </Reference>
      <Reference URI="/xl/worksheets/sheet15.xml?ContentType=application/vnd.openxmlformats-officedocument.spreadsheetml.worksheet+xml">
        <DigestMethod Algorithm="http://www.w3.org/2001/04/xmlenc#sha256"/>
        <DigestValue>EeueFm5fJpEsg0ZfIv3qWdCKp93/AE/zzuuLQNqijNI=</DigestValue>
      </Reference>
      <Reference URI="/xl/worksheets/sheet16.xml?ContentType=application/vnd.openxmlformats-officedocument.spreadsheetml.worksheet+xml">
        <DigestMethod Algorithm="http://www.w3.org/2001/04/xmlenc#sha256"/>
        <DigestValue>zwzD5Q1cnwmV7eu+AWiEqMWvBcpwIw4oIyBtYxyzeHc=</DigestValue>
      </Reference>
      <Reference URI="/xl/worksheets/sheet17.xml?ContentType=application/vnd.openxmlformats-officedocument.spreadsheetml.worksheet+xml">
        <DigestMethod Algorithm="http://www.w3.org/2001/04/xmlenc#sha256"/>
        <DigestValue>UVTlJR8Dn/qFlA358o0xAApw7042AESiSOYQDl8Y+98=</DigestValue>
      </Reference>
      <Reference URI="/xl/worksheets/sheet18.xml?ContentType=application/vnd.openxmlformats-officedocument.spreadsheetml.worksheet+xml">
        <DigestMethod Algorithm="http://www.w3.org/2001/04/xmlenc#sha256"/>
        <DigestValue>eHKHxtgPb3U0cWS3rBLzRdgFMh70KZlN2wW4sJbU3Vk=</DigestValue>
      </Reference>
      <Reference URI="/xl/worksheets/sheet19.xml?ContentType=application/vnd.openxmlformats-officedocument.spreadsheetml.worksheet+xml">
        <DigestMethod Algorithm="http://www.w3.org/2001/04/xmlenc#sha256"/>
        <DigestValue>j1DCwUV+nrJwafk5Ns3K6hzTf7R4B4bMc9zCn3d9+ts=</DigestValue>
      </Reference>
      <Reference URI="/xl/worksheets/sheet2.xml?ContentType=application/vnd.openxmlformats-officedocument.spreadsheetml.worksheet+xml">
        <DigestMethod Algorithm="http://www.w3.org/2001/04/xmlenc#sha256"/>
        <DigestValue>GyKVRqNKSFfkTPC6yqiAAhun+qLhfVzFd7OVnbhBgq0=</DigestValue>
      </Reference>
      <Reference URI="/xl/worksheets/sheet3.xml?ContentType=application/vnd.openxmlformats-officedocument.spreadsheetml.worksheet+xml">
        <DigestMethod Algorithm="http://www.w3.org/2001/04/xmlenc#sha256"/>
        <DigestValue>5/BCygn/fSvVDvFZxIHVeSnaYt4t5Um53FLnO5rhT8s=</DigestValue>
      </Reference>
      <Reference URI="/xl/worksheets/sheet4.xml?ContentType=application/vnd.openxmlformats-officedocument.spreadsheetml.worksheet+xml">
        <DigestMethod Algorithm="http://www.w3.org/2001/04/xmlenc#sha256"/>
        <DigestValue>TkwCBhZsvtyYsD/CQS6z5jbls0pmBoVRegVYxAoyhGY=</DigestValue>
      </Reference>
      <Reference URI="/xl/worksheets/sheet5.xml?ContentType=application/vnd.openxmlformats-officedocument.spreadsheetml.worksheet+xml">
        <DigestMethod Algorithm="http://www.w3.org/2001/04/xmlenc#sha256"/>
        <DigestValue>1+QONpSMNGj5DWRyZqelT73RZZAnVPzDmcN2yfZWaeM=</DigestValue>
      </Reference>
      <Reference URI="/xl/worksheets/sheet6.xml?ContentType=application/vnd.openxmlformats-officedocument.spreadsheetml.worksheet+xml">
        <DigestMethod Algorithm="http://www.w3.org/2001/04/xmlenc#sha256"/>
        <DigestValue>+t9ip9GxDMfjVXyzE4jE01eFs2PKyo4zHsDPjY/kzTQ=</DigestValue>
      </Reference>
      <Reference URI="/xl/worksheets/sheet7.xml?ContentType=application/vnd.openxmlformats-officedocument.spreadsheetml.worksheet+xml">
        <DigestMethod Algorithm="http://www.w3.org/2001/04/xmlenc#sha256"/>
        <DigestValue>3u4wvOXUDAa+CFrYHOoUYY59dWQo6Xd6Dpw/b2xINq4=</DigestValue>
      </Reference>
      <Reference URI="/xl/worksheets/sheet8.xml?ContentType=application/vnd.openxmlformats-officedocument.spreadsheetml.worksheet+xml">
        <DigestMethod Algorithm="http://www.w3.org/2001/04/xmlenc#sha256"/>
        <DigestValue>h7fQoBWv3lBVfYCxRL7nqRxohNhWK549fl+SJ3NZ3o4=</DigestValue>
      </Reference>
      <Reference URI="/xl/worksheets/sheet9.xml?ContentType=application/vnd.openxmlformats-officedocument.spreadsheetml.worksheet+xml">
        <DigestMethod Algorithm="http://www.w3.org/2001/04/xmlenc#sha256"/>
        <DigestValue>U7bz89Ml8hU0lrfjz7Jaqi/AntoKxO9zwlNYi6G2HGU=</DigestValue>
      </Reference>
    </Manifest>
    <SignatureProperties>
      <SignatureProperty Id="idSignatureTime" Target="#idPackageSignature">
        <mdssi:SignatureTime xmlns:mdssi="http://schemas.openxmlformats.org/package/2006/digital-signature">
          <mdssi:Format>YYYY-MM-DDThh:mm:ssTZD</mdssi:Format>
          <mdssi:Value>2019-04-30T08:49:55Z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2019-04-30T08:49:55Z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2019-04-23T12:36:33Z</dcterms:modified>
</cp:coreProperties>
</file>