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CFB9BC88-9DBD-41D6-8962-44CCD305B3C4}" xr6:coauthVersionLast="45" xr6:coauthVersionMax="45" xr10:uidLastSave="{00000000-0000-0000-0000-000000000000}"/>
  <bookViews>
    <workbookView xWindow="-120" yWindow="-120" windowWidth="29040" windowHeight="1584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s>
  <externalReferences>
    <externalReference r:id="rId19"/>
    <externalReference r:id="rId20"/>
    <externalReference r:id="rId21"/>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0">#REF!</definedName>
    <definedName name="ACC_BALACC">#REF!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4" i="62" l="1"/>
  <c r="F14" i="62"/>
  <c r="D14" i="62"/>
  <c r="C14" i="62"/>
  <c r="F20" i="62"/>
  <c r="G20" i="62"/>
  <c r="H20" i="62"/>
  <c r="C20" i="62"/>
  <c r="D20" i="62"/>
  <c r="E20" i="62"/>
  <c r="H14" i="62"/>
  <c r="C36" i="79"/>
  <c r="C8" i="79"/>
  <c r="C38" i="79"/>
  <c r="C15" i="69"/>
  <c r="C25" i="69"/>
  <c r="F5" i="71"/>
  <c r="H22" i="74"/>
  <c r="H21" i="74"/>
  <c r="H17" i="74"/>
  <c r="H15" i="74"/>
  <c r="H13" i="74"/>
  <c r="H8" i="74"/>
  <c r="C22" i="74"/>
  <c r="E20" i="72"/>
  <c r="E19" i="72"/>
  <c r="E18" i="72"/>
  <c r="E17" i="72"/>
  <c r="E16" i="72"/>
  <c r="E15" i="72"/>
  <c r="E14" i="72"/>
  <c r="E13" i="72"/>
  <c r="E12" i="72"/>
  <c r="E11" i="72"/>
  <c r="E10" i="72"/>
  <c r="E9" i="72"/>
  <c r="E8" i="72"/>
  <c r="B2" i="79"/>
  <c r="B2" i="37"/>
  <c r="B2" i="36"/>
  <c r="B2" i="74"/>
  <c r="B2" i="64"/>
  <c r="B2" i="35"/>
  <c r="B2" i="69"/>
  <c r="B2" i="77"/>
  <c r="B2" i="28"/>
  <c r="B2" i="73"/>
  <c r="B2" i="72"/>
  <c r="B2" i="52"/>
  <c r="B2" i="75"/>
  <c r="B2" i="53"/>
  <c r="B2" i="62"/>
  <c r="C5" i="6"/>
  <c r="G5" i="6"/>
  <c r="F5" i="6"/>
  <c r="E5" i="6"/>
  <c r="D5" i="6"/>
  <c r="G5" i="71"/>
  <c r="E5" i="71"/>
  <c r="D5" i="71"/>
  <c r="C5" i="71"/>
  <c r="G6" i="71"/>
  <c r="G13" i="71"/>
  <c r="F6" i="71"/>
  <c r="F13" i="71"/>
  <c r="E6" i="71"/>
  <c r="E13" i="71"/>
  <c r="D6" i="71"/>
  <c r="D13" i="71"/>
  <c r="C6" i="71"/>
  <c r="C13" i="71"/>
  <c r="C35" i="79"/>
  <c r="B1" i="79"/>
  <c r="B1" i="37"/>
  <c r="B1" i="36"/>
  <c r="B1" i="74"/>
  <c r="B1" i="64"/>
  <c r="B1" i="35"/>
  <c r="B1" i="69"/>
  <c r="B1" i="77"/>
  <c r="B1" i="28"/>
  <c r="B1" i="73"/>
  <c r="B1" i="72"/>
  <c r="B1" i="52"/>
  <c r="B1" i="71"/>
  <c r="B1" i="75"/>
  <c r="B1" i="53"/>
  <c r="B1" i="62"/>
  <c r="B1" i="6"/>
  <c r="C21" i="77"/>
  <c r="D16" i="77"/>
  <c r="D17" i="77"/>
  <c r="D15" i="77"/>
  <c r="D12" i="77"/>
  <c r="D13" i="77"/>
  <c r="D11" i="77"/>
  <c r="D8" i="77"/>
  <c r="D9" i="77"/>
  <c r="D7" i="77"/>
  <c r="C20" i="77"/>
  <c r="C19" i="77"/>
  <c r="D21" i="77"/>
  <c r="D19" i="77"/>
  <c r="D20" i="77"/>
  <c r="C30" i="79"/>
  <c r="C26" i="79"/>
  <c r="E8"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c r="L7" i="37"/>
  <c r="L21" i="37"/>
  <c r="J7" i="37"/>
  <c r="J21" i="37"/>
  <c r="I7" i="37"/>
  <c r="I21" i="37"/>
  <c r="H7" i="37"/>
  <c r="H21" i="37"/>
  <c r="G7" i="37"/>
  <c r="G21" i="37"/>
  <c r="F7" i="37"/>
  <c r="F21" i="37"/>
  <c r="C7" i="37"/>
  <c r="N14" i="37"/>
  <c r="E14" i="37"/>
  <c r="E7" i="37"/>
  <c r="C21" i="37"/>
  <c r="N8" i="37"/>
  <c r="E21" i="37"/>
  <c r="C12" i="79"/>
  <c r="C18" i="79"/>
  <c r="N7" i="37"/>
  <c r="N21" i="37"/>
  <c r="K7" i="37"/>
  <c r="K21" i="37"/>
  <c r="C21" i="72"/>
  <c r="S21" i="35"/>
  <c r="S20" i="35"/>
  <c r="S19" i="35"/>
  <c r="S18" i="35"/>
  <c r="S17" i="35"/>
  <c r="S16" i="35"/>
  <c r="S15" i="35"/>
  <c r="S14" i="35"/>
  <c r="S13" i="35"/>
  <c r="S12" i="35"/>
  <c r="S11" i="35"/>
  <c r="S10" i="35"/>
  <c r="S9" i="35"/>
  <c r="S8" i="35"/>
  <c r="S22" i="35"/>
  <c r="D21" i="72"/>
  <c r="D22" i="35"/>
  <c r="E22" i="35"/>
  <c r="F22" i="35"/>
  <c r="G22" i="35"/>
  <c r="H22" i="35"/>
  <c r="I22" i="35"/>
  <c r="J22" i="35"/>
  <c r="K22" i="35"/>
  <c r="L22" i="35"/>
  <c r="M22" i="35"/>
  <c r="N22" i="35"/>
  <c r="O22" i="35"/>
  <c r="P22" i="35"/>
  <c r="Q22" i="35"/>
  <c r="R22" i="35"/>
  <c r="C22" i="35"/>
  <c r="G22" i="74"/>
  <c r="F22" i="74"/>
  <c r="V7" i="64"/>
  <c r="T21" i="64"/>
  <c r="U21" i="64"/>
  <c r="V9" i="64"/>
  <c r="H53" i="75"/>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c r="F61" i="53"/>
  <c r="D61" i="53"/>
  <c r="C61" i="53"/>
  <c r="G53" i="53"/>
  <c r="F53" i="53"/>
  <c r="D53" i="53"/>
  <c r="C53" i="53"/>
  <c r="G34" i="53"/>
  <c r="G45" i="53"/>
  <c r="F34" i="53"/>
  <c r="F45" i="53"/>
  <c r="D34" i="53"/>
  <c r="D45" i="53"/>
  <c r="C34" i="53"/>
  <c r="C45" i="53"/>
  <c r="C54" i="53"/>
  <c r="D54" i="53"/>
  <c r="F54" i="53"/>
  <c r="G54" i="53"/>
  <c r="G30" i="53"/>
  <c r="F30" i="53"/>
  <c r="D30" i="53"/>
  <c r="C30" i="53"/>
  <c r="G9" i="53"/>
  <c r="G22" i="53"/>
  <c r="F9" i="53"/>
  <c r="F22" i="53"/>
  <c r="D9" i="53"/>
  <c r="D22" i="53"/>
  <c r="C9" i="53"/>
  <c r="C22" i="53"/>
  <c r="D31" i="62"/>
  <c r="D41" i="62"/>
  <c r="C31" i="62"/>
  <c r="C41" i="62"/>
  <c r="G31" i="53"/>
  <c r="G56" i="53"/>
  <c r="G63" i="53"/>
  <c r="G65" i="53"/>
  <c r="G67" i="53"/>
  <c r="D31" i="53"/>
  <c r="D56" i="53"/>
  <c r="D63" i="53"/>
  <c r="D65" i="53"/>
  <c r="D67" i="53"/>
  <c r="C31" i="53"/>
  <c r="C56" i="53"/>
  <c r="C63" i="53"/>
  <c r="C65" i="53"/>
  <c r="C67" i="53"/>
  <c r="E22" i="53"/>
  <c r="F31" i="53"/>
  <c r="F56" i="53"/>
  <c r="F63" i="53"/>
  <c r="F65" i="53"/>
  <c r="F67" i="53"/>
  <c r="H22" i="53"/>
  <c r="G31" i="62"/>
  <c r="G41" i="62"/>
  <c r="F31" i="62"/>
  <c r="F41" i="62"/>
  <c r="E41" i="62"/>
  <c r="E31" i="62"/>
  <c r="D22" i="74"/>
  <c r="E22" i="74"/>
  <c r="C43" i="28"/>
  <c r="C31" i="28"/>
  <c r="C30" i="28"/>
  <c r="C21" i="64"/>
  <c r="D21" i="64"/>
  <c r="E21" i="64"/>
  <c r="F21" i="64"/>
  <c r="G21" i="64"/>
  <c r="H21" i="64"/>
  <c r="I21" i="64"/>
  <c r="J21" i="64"/>
  <c r="K21" i="64"/>
  <c r="L21" i="64"/>
  <c r="M21" i="64"/>
  <c r="N21" i="64"/>
  <c r="O21" i="64"/>
  <c r="P21" i="64"/>
  <c r="Q21" i="64"/>
  <c r="R21" i="64"/>
  <c r="S21" i="64"/>
  <c r="V8" i="64"/>
  <c r="V10" i="64"/>
  <c r="V11" i="64"/>
  <c r="V12" i="64"/>
  <c r="V13" i="64"/>
  <c r="V14" i="64"/>
  <c r="V15" i="64"/>
  <c r="V16" i="64"/>
  <c r="V17" i="64"/>
  <c r="V18" i="64"/>
  <c r="V19" i="64"/>
  <c r="V20" i="64"/>
  <c r="V21" i="64"/>
  <c r="C47" i="28"/>
  <c r="C52" i="28"/>
  <c r="C35" i="28"/>
  <c r="C41" i="28"/>
  <c r="C12" i="28"/>
  <c r="C6" i="28"/>
  <c r="C28" i="28"/>
  <c r="H21" i="53"/>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5" i="62"/>
  <c r="H16" i="62"/>
  <c r="H17" i="62"/>
  <c r="H18" i="62"/>
  <c r="H19"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7" i="62"/>
  <c r="C45" i="69"/>
  <c r="C37" i="69"/>
  <c r="E21" i="72"/>
  <c r="C5" i="73"/>
  <c r="C8" i="73"/>
  <c r="C13" i="73"/>
</calcChain>
</file>

<file path=xl/sharedStrings.xml><?xml version="1.0" encoding="utf-8"?>
<sst xmlns="http://schemas.openxmlformats.org/spreadsheetml/2006/main" count="756" uniqueCount="531">
  <si>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</si>
  <si>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</si>
  <si>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</si>
  <si>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</si>
  <si>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</si>
  <si>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</si>
  <si>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</si>
  <si>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</si>
  <si>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</si>
  <si>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</si>
  <si>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</si>
  <si>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</si>
  <si>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</si>
  <si>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</si>
  <si>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</si>
  <si>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</si>
  <si>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</si>
  <si>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</si>
  <si>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</si>
  <si>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</si>
  <si>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</si>
  <si>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</si>
  <si>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</si>
  <si>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</si>
  <si>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</si>
  <si>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</si>
  <si>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</si>
  <si>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</si>
  <si>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</si>
  <si>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</si>
  <si>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</si>
  <si>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</si>
  <si>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</si>
  <si>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</si>
  <si>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</si>
  <si>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</si>
  <si>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</si>
  <si>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</si>
  <si>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</si>
  <si>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</si>
  <si>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</si>
  <si>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</si>
  <si>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</si>
  <si>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</si>
  <si>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</si>
  <si>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</si>
  <si>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</si>
  <si>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</si>
  <si>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</si>
  <si>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</si>
  <si>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</si>
  <si>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</si>
  <si>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</si>
  <si>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</si>
  <si>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</si>
  <si>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</si>
  <si>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</si>
  <si>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</si>
  <si>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</si>
  <si>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</si>
  <si>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</si>
  <si>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</si>
  <si>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</si>
  <si>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</si>
  <si>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</si>
  <si>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</si>
  <si>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</si>
  <si>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</si>
  <si>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</si>
  <si>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</si>
  <si>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</si>
  <si>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</si>
  <si>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</si>
  <si>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</si>
  <si>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</si>
  <si>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</si>
  <si>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</si>
  <si>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</si>
  <si>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</si>
  <si>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</si>
  <si>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</si>
  <si>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</si>
  <si>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</si>
  <si>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</si>
  <si>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</si>
  <si>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</si>
  <si>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</si>
  <si>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</si>
  <si>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</si>
  <si>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</si>
  <si>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</si>
  <si>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</si>
  <si>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</si>
  <si>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</si>
  <si>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</si>
  <si>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</si>
  <si>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</si>
  <si>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</si>
  <si>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</si>
  <si>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</si>
  <si>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</si>
  <si>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</si>
  <si>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</si>
  <si>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</si>
  <si>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</si>
  <si>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</si>
  <si>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</si>
  <si>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</si>
  <si>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</si>
  <si>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</si>
  <si>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</si>
  <si>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</si>
  <si>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</si>
  <si>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</si>
  <si>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</si>
  <si>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</si>
  <si>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</si>
  <si>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</si>
  <si>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</si>
  <si>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</si>
  <si>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</si>
  <si>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</si>
  <si>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</si>
  <si>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</si>
  <si>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</si>
  <si>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</si>
  <si>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</si>
  <si>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</si>
  <si>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</si>
  <si>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</si>
  <si>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</si>
  <si>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</si>
  <si>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</si>
  <si>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</si>
  <si>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</si>
  <si>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</si>
  <si>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</si>
  <si>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</si>
  <si>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</si>
  <si>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</si>
  <si>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</si>
  <si>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</si>
  <si>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</si>
  <si>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</si>
  <si>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</si>
  <si>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</si>
  <si>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</si>
  <si>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</si>
  <si>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</si>
  <si>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</si>
  <si>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</si>
  <si>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</si>
  <si>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</si>
  <si>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</si>
  <si>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</si>
  <si>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</si>
  <si>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</si>
  <si>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</si>
  <si>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</si>
  <si>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</si>
  <si>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</si>
  <si>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</si>
  <si>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</si>
  <si>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</si>
  <si>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</si>
  <si>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</si>
  <si>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</si>
  <si>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</si>
  <si>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</si>
  <si>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</si>
  <si>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</si>
  <si>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</si>
  <si>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</si>
  <si>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</si>
  <si>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</si>
  <si>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</si>
  <si>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</si>
  <si>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</si>
  <si>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</si>
  <si>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</si>
  <si>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</si>
  <si>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</si>
  <si>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</si>
  <si>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</si>
  <si>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</si>
  <si>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</si>
  <si>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</si>
  <si>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</si>
  <si>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</si>
  <si>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</si>
  <si>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</si>
  <si>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</si>
  <si>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</si>
  <si>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</si>
  <si>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</si>
  <si>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</si>
  <si>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</si>
  <si>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</si>
  <si>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</si>
  <si>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</si>
  <si>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</si>
  <si>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</si>
  <si>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</si>
  <si>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</si>
  <si>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</si>
  <si>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</si>
  <si>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</si>
  <si>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</si>
  <si>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</si>
  <si>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</si>
  <si>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</si>
  <si>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</si>
  <si>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</si>
  <si>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</si>
  <si>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</si>
  <si>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</si>
  <si>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</si>
  <si>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</si>
  <si>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</si>
  <si>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</si>
  <si>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</si>
  <si>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</si>
  <si>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</si>
  <si>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</si>
  <si>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</si>
  <si>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</si>
  <si>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</si>
  <si>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</si>
  <si>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</si>
  <si>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</si>
  <si>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</si>
  <si>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</si>
  <si>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</si>
  <si>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</si>
  <si>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</si>
  <si>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</si>
  <si>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</si>
  <si>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</si>
  <si>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</si>
  <si>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</si>
  <si>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</si>
  <si>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</si>
  <si>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</si>
  <si>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</si>
  <si>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</si>
  <si>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</si>
  <si>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</si>
  <si>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</si>
  <si>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</si>
  <si>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</si>
  <si>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</si>
  <si>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</si>
  <si>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</si>
  <si>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</si>
  <si>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</si>
  <si>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</si>
  <si>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</si>
  <si>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</si>
  <si>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</si>
  <si>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</si>
  <si>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</si>
  <si>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</si>
  <si>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</si>
  <si>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</si>
  <si>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</si>
  <si>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</si>
  <si>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</si>
  <si>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</si>
  <si>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</si>
  <si>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</si>
  <si>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</si>
  <si>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</si>
  <si>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</si>
  <si>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</si>
  <si>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</si>
  <si>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</si>
  <si>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</si>
  <si>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</si>
  <si>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</si>
  <si>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</si>
  <si>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</si>
  <si>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</si>
  <si>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</si>
  <si>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</si>
  <si>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</si>
  <si>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</si>
  <si>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</si>
  <si>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</si>
  <si>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</si>
  <si>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</si>
  <si>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</si>
  <si>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</si>
  <si>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</si>
  <si>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</si>
  <si>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</si>
  <si>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</si>
  <si>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</si>
  <si>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</si>
  <si>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</si>
  <si>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</si>
  <si>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</si>
  <si>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</si>
  <si>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</si>
  <si>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</si>
  <si>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</si>
  <si>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</si>
  <si>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</si>
  <si>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</si>
  <si>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</si>
  <si>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</si>
  <si>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</si>
  <si>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</si>
  <si>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</si>
  <si>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</si>
  <si>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</si>
  <si>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</si>
  <si>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</si>
  <si>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</si>
  <si>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</si>
  <si>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</si>
  <si>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</si>
  <si>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</si>
  <si>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</si>
  <si>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</si>
  <si>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</si>
  <si>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</si>
  <si>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</si>
  <si>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</si>
  <si>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</si>
  <si>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</si>
  <si>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</si>
  <si>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</si>
  <si>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</si>
  <si>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</si>
  <si>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</si>
  <si>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</si>
  <si>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</si>
  <si>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</si>
  <si>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</si>
  <si>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</si>
  <si>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</si>
  <si>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</si>
  <si>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</si>
  <si>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</si>
  <si>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</si>
  <si>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</si>
  <si>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</si>
  <si>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</si>
  <si>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</si>
  <si>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</si>
  <si>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</si>
  <si>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</si>
  <si>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</si>
  <si>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</si>
  <si>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</si>
  <si>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</si>
  <si>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</si>
  <si>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</si>
  <si>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</si>
  <si>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</si>
  <si>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</si>
  <si>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</si>
  <si>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</si>
  <si>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</si>
  <si>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</si>
  <si>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</si>
  <si>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</si>
  <si>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</si>
  <si>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</si>
  <si>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</si>
  <si>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</si>
  <si>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</si>
  <si>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</si>
  <si>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</si>
  <si>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</si>
  <si>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</si>
  <si>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</si>
  <si>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</si>
  <si>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</si>
  <si>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</si>
  <si>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</si>
  <si>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</si>
  <si>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</si>
  <si>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</si>
  <si>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</si>
  <si>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</si>
  <si>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</si>
  <si>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</si>
  <si>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</si>
  <si>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</si>
  <si>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</si>
  <si>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</si>
  <si>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</si>
  <si>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</si>
  <si>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</si>
  <si>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</si>
  <si>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</si>
  <si>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</si>
  <si>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</si>
  <si>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</si>
  <si>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</si>
  <si>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</si>
  <si>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</si>
  <si>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</si>
  <si>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</si>
  <si>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</si>
  <si>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</si>
  <si>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</si>
  <si>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</si>
  <si>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</si>
  <si>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</si>
  <si>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</si>
  <si>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</si>
  <si>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</si>
  <si>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</si>
  <si>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</si>
  <si>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</si>
  <si>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</si>
  <si>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</si>
  <si>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</si>
  <si>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</si>
  <si>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</si>
  <si>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</si>
  <si>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</si>
  <si>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</si>
  <si>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</si>
  <si>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</si>
  <si>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</si>
  <si>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</si>
  <si>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</si>
  <si>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</si>
  <si>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</si>
  <si>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</si>
  <si>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</si>
  <si>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</si>
  <si>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</si>
  <si>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</si>
  <si>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</si>
  <si>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</si>
  <si>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</si>
  <si>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</si>
  <si>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</si>
  <si>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</si>
  <si>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</si>
  <si>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</si>
  <si>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</si>
  <si>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</si>
  <si>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</si>
  <si>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</si>
  <si>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</si>
  <si>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</si>
  <si>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</si>
  <si>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</si>
  <si>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</si>
  <si>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</si>
  <si>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</si>
  <si>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</si>
  <si>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</si>
  <si>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</si>
  <si>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</si>
  <si>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</si>
  <si>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</si>
  <si>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</si>
  <si>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</si>
  <si>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</si>
  <si>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</si>
  <si>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</si>
  <si>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</si>
  <si>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</si>
  <si>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</si>
  <si>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</si>
  <si>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</si>
  <si>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</si>
  <si>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</si>
  <si>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</si>
  <si>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</si>
  <si>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</si>
  <si>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</si>
  <si>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</si>
  <si>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</si>
  <si>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</si>
  <si>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</si>
  <si>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</si>
  <si>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</si>
  <si>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</si>
  <si>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</si>
  <si>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</si>
  <si>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</si>
  <si>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</si>
  <si>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</si>
  <si>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</si>
  <si>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</si>
  <si>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</si>
  <si>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</si>
  <si>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</si>
  <si>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</si>
  <si>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ხელმისაწვდომი სტაბილური დაფინანსება</t>
  </si>
  <si>
    <t>სტაბილური დაფინანსების საჭიროება</t>
  </si>
  <si>
    <t>წმინდა სტაბილური დაფინანსების კოეფიციენტი (%)</t>
  </si>
  <si>
    <t>ფინკა ბანკი საქართველო სს</t>
  </si>
  <si>
    <t>ფლორინ ლილა</t>
  </si>
  <si>
    <t>ირაკლი ელაშვილი</t>
  </si>
  <si>
    <t>www.finca.ge</t>
  </si>
  <si>
    <t>არადამოუკიდებელი თავმჯდომარე</t>
  </si>
  <si>
    <t>ფოლკერ რენერი</t>
  </si>
  <si>
    <t>არადამოუკიდებელ წევრი</t>
  </si>
  <si>
    <t>სრინივასან სრიდჰარ</t>
  </si>
  <si>
    <t>დამოუკიდებელი წევრი</t>
  </si>
  <si>
    <t>ჩიკაკო კუნო</t>
  </si>
  <si>
    <t>ავთანდილ გოგოლი</t>
  </si>
  <si>
    <t>აღმასრულებელი დირექტორი</t>
  </si>
  <si>
    <t>დავით ზარანდია</t>
  </si>
  <si>
    <t>მთავარი იურიდიული მრჩეველი და კორპორაციული მდივანი</t>
  </si>
  <si>
    <t>თენგიზ თავაძე</t>
  </si>
  <si>
    <t>ფინანსური დირექტორის მოვალეობის შემსრულებელი</t>
  </si>
  <si>
    <t>ქეთევან ნადირაშვილი</t>
  </si>
  <si>
    <t>რისკების დირექტორის მოვალეობის შემსრულებელი</t>
  </si>
  <si>
    <t>FINCA Microfinance Coöperatief U.A. (Netherlands)</t>
  </si>
  <si>
    <t>FINCA Microfinance Holding Company LLC (Delaware, USA)</t>
  </si>
  <si>
    <t>99 Voting right of FINCA Microfinance Coöperatief U.A.</t>
  </si>
  <si>
    <t>FINCA International, Inc (New York, USA)</t>
  </si>
  <si>
    <t>65.89% of FINCA Microfinance Holding Company LLC (Delaware, USA)</t>
  </si>
  <si>
    <t>International Finance Corporation (IFC)</t>
  </si>
  <si>
    <t>14.27% of FINCA Microfinance Holding Company LLC (Delaware, USA)</t>
  </si>
  <si>
    <t>KfW</t>
  </si>
  <si>
    <t>8.87% of FINCA Microfinance Holding Company LLC (Delaware, USA)</t>
  </si>
  <si>
    <t>FMO (Nederlandse Financierings Maatschappij voor Ontwikkelingslanden N.V)</t>
  </si>
  <si>
    <t>7.25% of FINCA Microfinance Holding Company LLC (Delaware, USA)</t>
  </si>
  <si>
    <t>ძირითადი პირველადი კაპიტალის კოეფიციენტი &gt;=6.05%</t>
  </si>
  <si>
    <t>პირველადი კაპიტალის კოეფიციენტი &gt;=8.06%</t>
  </si>
  <si>
    <t>საზედამხედველო კაპიტალის კოეფიციენტი &gt;=13.13%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</si>
</sst>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11">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Calibri"/>
      <family val="2"/>
      <scheme val="minor"/>
    </font>
    <font>
      <sz val="10"/>
      <color theme="1"/>
      <name val="Calibri"/>
      <family val="1"/>
      <scheme val="minor"/>
    </font>
    <font>
      <b/>
      <sz val="10"/>
      <name val="Calibri"/>
      <family val="1"/>
      <scheme val="minor"/>
    </font>
    <font>
      <sz val="10"/>
      <name val="Calibri"/>
      <family val="1"/>
      <scheme val="minor"/>
    </font>
    <font>
      <sz val="8"/>
      <color theme="1"/>
      <name val="Sylfaen"/>
      <family val="1"/>
    </font>
  </fonts>
  <fills count="79">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s>
  <borders count="10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6" fillId="0" borderId="0"/>
    <xf numFmtId="168" fontId="27" fillId="37" borderId="0"/>
    <xf numFmtId="169" fontId="27" fillId="37" borderId="0"/>
    <xf numFmtId="168" fontId="27" fillId="37" borderId="0"/>
    <xf numFmtId="0" fontId="28" fillId="38"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0" fontId="28"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168" fontId="29" fillId="38" borderId="0" applyNumberFormat="0" applyBorder="0" applyAlignment="0" applyProtection="0"/>
    <xf numFmtId="169" fontId="29" fillId="38" borderId="0" applyNumberFormat="0" applyBorder="0" applyAlignment="0" applyProtection="0"/>
    <xf numFmtId="168" fontId="29" fillId="38"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0" fontId="28"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168" fontId="29" fillId="39" borderId="0" applyNumberFormat="0" applyBorder="0" applyAlignment="0" applyProtection="0"/>
    <xf numFmtId="169" fontId="29" fillId="39" borderId="0" applyNumberFormat="0" applyBorder="0" applyAlignment="0" applyProtection="0"/>
    <xf numFmtId="168" fontId="29" fillId="39"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0" fontId="28"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168" fontId="29" fillId="40" borderId="0" applyNumberFormat="0" applyBorder="0" applyAlignment="0" applyProtection="0"/>
    <xf numFmtId="169" fontId="29" fillId="40" borderId="0" applyNumberFormat="0" applyBorder="0" applyAlignment="0" applyProtection="0"/>
    <xf numFmtId="168" fontId="29" fillId="40"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0" fontId="28"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168" fontId="29" fillId="42" borderId="0" applyNumberFormat="0" applyBorder="0" applyAlignment="0" applyProtection="0"/>
    <xf numFmtId="169" fontId="29" fillId="42" borderId="0" applyNumberFormat="0" applyBorder="0" applyAlignment="0" applyProtection="0"/>
    <xf numFmtId="168" fontId="29" fillId="42"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0" fontId="28"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168" fontId="29" fillId="43" borderId="0" applyNumberFormat="0" applyBorder="0" applyAlignment="0" applyProtection="0"/>
    <xf numFmtId="169" fontId="29" fillId="43" borderId="0" applyNumberFormat="0" applyBorder="0" applyAlignment="0" applyProtection="0"/>
    <xf numFmtId="168" fontId="29" fillId="43"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0" fontId="28"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168" fontId="29" fillId="45" borderId="0" applyNumberFormat="0" applyBorder="0" applyAlignment="0" applyProtection="0"/>
    <xf numFmtId="169" fontId="29" fillId="45" borderId="0" applyNumberFormat="0" applyBorder="0" applyAlignment="0" applyProtection="0"/>
    <xf numFmtId="168" fontId="29" fillId="45"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0" fontId="28"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168" fontId="29" fillId="46" borderId="0" applyNumberFormat="0" applyBorder="0" applyAlignment="0" applyProtection="0"/>
    <xf numFmtId="169" fontId="29" fillId="46" borderId="0" applyNumberFormat="0" applyBorder="0" applyAlignment="0" applyProtection="0"/>
    <xf numFmtId="168" fontId="29" fillId="46" borderId="0" applyNumberFormat="0" applyBorder="0" applyAlignment="0" applyProtection="0"/>
    <xf numFmtId="0" fontId="28" fillId="46"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0" fontId="28"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168" fontId="29" fillId="41" borderId="0" applyNumberFormat="0" applyBorder="0" applyAlignment="0" applyProtection="0"/>
    <xf numFmtId="169" fontId="29" fillId="41" borderId="0" applyNumberFormat="0" applyBorder="0" applyAlignment="0" applyProtection="0"/>
    <xf numFmtId="168" fontId="29" fillId="41" borderId="0" applyNumberFormat="0" applyBorder="0" applyAlignment="0" applyProtection="0"/>
    <xf numFmtId="0" fontId="28" fillId="41"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0" fontId="28"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168" fontId="29" fillId="44" borderId="0" applyNumberFormat="0" applyBorder="0" applyAlignment="0" applyProtection="0"/>
    <xf numFmtId="169" fontId="29" fillId="44" borderId="0" applyNumberFormat="0" applyBorder="0" applyAlignment="0" applyProtection="0"/>
    <xf numFmtId="168" fontId="29" fillId="44"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0" fontId="28"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168" fontId="29" fillId="47" borderId="0" applyNumberFormat="0" applyBorder="0" applyAlignment="0" applyProtection="0"/>
    <xf numFmtId="169" fontId="29" fillId="47" borderId="0" applyNumberFormat="0" applyBorder="0" applyAlignment="0" applyProtection="0"/>
    <xf numFmtId="168" fontId="29" fillId="47" borderId="0" applyNumberFormat="0" applyBorder="0" applyAlignment="0" applyProtection="0"/>
    <xf numFmtId="0" fontId="28" fillId="47"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0" fontId="30" fillId="48"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168" fontId="32" fillId="48" borderId="0" applyNumberFormat="0" applyBorder="0" applyAlignment="0" applyProtection="0"/>
    <xf numFmtId="169" fontId="32" fillId="48" borderId="0" applyNumberFormat="0" applyBorder="0" applyAlignment="0" applyProtection="0"/>
    <xf numFmtId="168" fontId="32" fillId="48" borderId="0" applyNumberFormat="0" applyBorder="0" applyAlignment="0" applyProtection="0"/>
    <xf numFmtId="0" fontId="30" fillId="48"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0" fontId="30" fillId="4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168" fontId="32" fillId="45" borderId="0" applyNumberFormat="0" applyBorder="0" applyAlignment="0" applyProtection="0"/>
    <xf numFmtId="169" fontId="32" fillId="45" borderId="0" applyNumberFormat="0" applyBorder="0" applyAlignment="0" applyProtection="0"/>
    <xf numFmtId="168" fontId="32" fillId="45" borderId="0" applyNumberFormat="0" applyBorder="0" applyAlignment="0" applyProtection="0"/>
    <xf numFmtId="0" fontId="30" fillId="45"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0" fontId="30" fillId="46"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168" fontId="32" fillId="46" borderId="0" applyNumberFormat="0" applyBorder="0" applyAlignment="0" applyProtection="0"/>
    <xf numFmtId="169" fontId="32" fillId="46" borderId="0" applyNumberFormat="0" applyBorder="0" applyAlignment="0" applyProtection="0"/>
    <xf numFmtId="168" fontId="32" fillId="46" borderId="0" applyNumberFormat="0" applyBorder="0" applyAlignment="0" applyProtection="0"/>
    <xf numFmtId="0" fontId="30" fillId="46"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0" fontId="30" fillId="5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168" fontId="32" fillId="51" borderId="0" applyNumberFormat="0" applyBorder="0" applyAlignment="0" applyProtection="0"/>
    <xf numFmtId="169" fontId="32" fillId="51" borderId="0" applyNumberFormat="0" applyBorder="0" applyAlignment="0" applyProtection="0"/>
    <xf numFmtId="168" fontId="32" fillId="51" borderId="0" applyNumberFormat="0" applyBorder="0" applyAlignment="0" applyProtection="0"/>
    <xf numFmtId="0" fontId="30" fillId="51" borderId="0" applyNumberFormat="0" applyBorder="0" applyAlignment="0" applyProtection="0"/>
    <xf numFmtId="0" fontId="28" fillId="52"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0" fontId="30" fillId="54"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0" fontId="31" fillId="12"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168" fontId="32" fillId="54" borderId="0" applyNumberFormat="0" applyBorder="0" applyAlignment="0" applyProtection="0"/>
    <xf numFmtId="169" fontId="32" fillId="54" borderId="0" applyNumberFormat="0" applyBorder="0" applyAlignment="0" applyProtection="0"/>
    <xf numFmtId="168" fontId="32"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30" fillId="54" borderId="0" applyNumberFormat="0" applyBorder="0" applyAlignment="0" applyProtection="0"/>
    <xf numFmtId="0" fontId="28" fillId="55" borderId="0" applyNumberFormat="0" applyBorder="0" applyAlignment="0" applyProtection="0"/>
    <xf numFmtId="0" fontId="28" fillId="56" borderId="0" applyNumberFormat="0" applyBorder="0" applyAlignment="0" applyProtection="0"/>
    <xf numFmtId="0" fontId="30" fillId="57"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0" fontId="30" fillId="58"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168" fontId="32" fillId="58" borderId="0" applyNumberFormat="0" applyBorder="0" applyAlignment="0" applyProtection="0"/>
    <xf numFmtId="169" fontId="32" fillId="58" borderId="0" applyNumberFormat="0" applyBorder="0" applyAlignment="0" applyProtection="0"/>
    <xf numFmtId="168" fontId="32"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30" fillId="58" borderId="0" applyNumberFormat="0" applyBorder="0" applyAlignment="0" applyProtection="0"/>
    <xf numFmtId="0" fontId="28" fillId="55" borderId="0" applyNumberFormat="0" applyBorder="0" applyAlignment="0" applyProtection="0"/>
    <xf numFmtId="0" fontId="28" fillId="59" borderId="0" applyNumberFormat="0" applyBorder="0" applyAlignment="0" applyProtection="0"/>
    <xf numFmtId="0" fontId="30" fillId="56"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0" fontId="30" fillId="6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168" fontId="32" fillId="60" borderId="0" applyNumberFormat="0" applyBorder="0" applyAlignment="0" applyProtection="0"/>
    <xf numFmtId="169" fontId="32" fillId="60" borderId="0" applyNumberFormat="0" applyBorder="0" applyAlignment="0" applyProtection="0"/>
    <xf numFmtId="168" fontId="32"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30" fillId="60" borderId="0" applyNumberFormat="0" applyBorder="0" applyAlignment="0" applyProtection="0"/>
    <xf numFmtId="0" fontId="28" fillId="52" borderId="0" applyNumberFormat="0" applyBorder="0" applyAlignment="0" applyProtection="0"/>
    <xf numFmtId="0" fontId="28" fillId="56" borderId="0" applyNumberFormat="0" applyBorder="0" applyAlignment="0" applyProtection="0"/>
    <xf numFmtId="0" fontId="30" fillId="56"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0" fontId="30" fillId="49"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168" fontId="32" fillId="49" borderId="0" applyNumberFormat="0" applyBorder="0" applyAlignment="0" applyProtection="0"/>
    <xf numFmtId="169" fontId="32" fillId="49" borderId="0" applyNumberFormat="0" applyBorder="0" applyAlignment="0" applyProtection="0"/>
    <xf numFmtId="168" fontId="32"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30" fillId="49" borderId="0" applyNumberFormat="0" applyBorder="0" applyAlignment="0" applyProtection="0"/>
    <xf numFmtId="0" fontId="28" fillId="61" borderId="0" applyNumberFormat="0" applyBorder="0" applyAlignment="0" applyProtection="0"/>
    <xf numFmtId="0" fontId="28" fillId="52" borderId="0" applyNumberFormat="0" applyBorder="0" applyAlignment="0" applyProtection="0"/>
    <xf numFmtId="0" fontId="30" fillId="53"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0" fontId="30" fillId="50"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168" fontId="32" fillId="50" borderId="0" applyNumberFormat="0" applyBorder="0" applyAlignment="0" applyProtection="0"/>
    <xf numFmtId="169" fontId="32" fillId="50" borderId="0" applyNumberFormat="0" applyBorder="0" applyAlignment="0" applyProtection="0"/>
    <xf numFmtId="168" fontId="32"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30" fillId="50" borderId="0" applyNumberFormat="0" applyBorder="0" applyAlignment="0" applyProtection="0"/>
    <xf numFmtId="0" fontId="28" fillId="55" borderId="0" applyNumberFormat="0" applyBorder="0" applyAlignment="0" applyProtection="0"/>
    <xf numFmtId="0" fontId="28" fillId="62" borderId="0" applyNumberFormat="0" applyBorder="0" applyAlignment="0" applyProtection="0"/>
    <xf numFmtId="0" fontId="30" fillId="62"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0" fontId="30" fillId="63"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0" fontId="31" fillId="32"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168" fontId="32" fillId="63" borderId="0" applyNumberFormat="0" applyBorder="0" applyAlignment="0" applyProtection="0"/>
    <xf numFmtId="169" fontId="32" fillId="63" borderId="0" applyNumberFormat="0" applyBorder="0" applyAlignment="0" applyProtection="0"/>
    <xf numFmtId="168" fontId="32"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0" fillId="63"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0" fontId="33" fillId="39"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168" fontId="35" fillId="39" borderId="0" applyNumberFormat="0" applyBorder="0" applyAlignment="0" applyProtection="0"/>
    <xf numFmtId="169" fontId="35" fillId="39" borderId="0" applyNumberFormat="0" applyBorder="0" applyAlignment="0" applyProtection="0"/>
    <xf numFmtId="168" fontId="35" fillId="39" borderId="0" applyNumberFormat="0" applyBorder="0" applyAlignment="0" applyProtection="0"/>
    <xf numFmtId="0" fontId="33" fillId="39" borderId="0" applyNumberFormat="0" applyBorder="0" applyAlignment="0" applyProtection="0"/>
    <xf numFmtId="170" fontId="36"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1" fontId="38" fillId="0" borderId="0" applyFill="0" applyBorder="0" applyAlignment="0"/>
    <xf numFmtId="171" fontId="38"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0" fontId="37" fillId="0" borderId="0" applyFill="0" applyBorder="0" applyAlignment="0"/>
    <xf numFmtId="172" fontId="38" fillId="0" borderId="0" applyFill="0" applyBorder="0" applyAlignment="0"/>
    <xf numFmtId="173" fontId="38" fillId="0" borderId="0" applyFill="0" applyBorder="0" applyAlignment="0"/>
    <xf numFmtId="174" fontId="38" fillId="0" borderId="0" applyFill="0" applyBorder="0" applyAlignment="0"/>
    <xf numFmtId="175"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9" fontId="41"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40" fillId="9" borderId="36"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0" fontId="39"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168" fontId="41" fillId="64" borderId="43" applyNumberFormat="0" applyAlignment="0" applyProtection="0"/>
    <xf numFmtId="169" fontId="41" fillId="64" borderId="43" applyNumberFormat="0" applyAlignment="0" applyProtection="0"/>
    <xf numFmtId="168" fontId="41" fillId="64" borderId="43" applyNumberFormat="0" applyAlignment="0" applyProtection="0"/>
    <xf numFmtId="0" fontId="39" fillId="64" borderId="43" applyNumberFormat="0" applyAlignment="0" applyProtection="0"/>
    <xf numFmtId="0" fontId="42"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0" fontId="43" fillId="10" borderId="39"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169" fontId="44" fillId="65" borderId="44" applyNumberFormat="0" applyAlignment="0" applyProtection="0"/>
    <xf numFmtId="168" fontId="44" fillId="65" borderId="44" applyNumberFormat="0" applyAlignment="0" applyProtection="0"/>
    <xf numFmtId="0" fontId="42"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178"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166" fontId="28" fillId="0" borderId="0" applyFont="0" applyFill="0" applyBorder="0" applyAlignment="0" applyProtection="0"/>
    <xf numFmtId="166"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6" fillId="0" borderId="0"/>
    <xf numFmtId="172" fontId="38"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6" fillId="0" borderId="0"/>
    <xf numFmtId="14" fontId="47" fillId="0" borderId="0" applyFill="0" applyBorder="0" applyAlignment="0"/>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45">
      <alignment vertical="center"/>
    </xf>
    <xf numFmtId="38" fontId="27" fillId="0" borderId="0" applyFont="0" applyFill="0" applyBorder="0" applyAlignment="0" applyProtection="0"/>
    <xf numFmtId="180" fontId="2" fillId="0" borderId="0" applyFont="0" applyFill="0" applyBorder="0" applyAlignment="0" applyProtection="0"/>
    <xf numFmtId="0" fontId="48" fillId="66" borderId="0" applyNumberFormat="0" applyBorder="0" applyAlignment="0" applyProtection="0"/>
    <xf numFmtId="0" fontId="48" fillId="67" borderId="0" applyNumberFormat="0" applyBorder="0" applyAlignment="0" applyProtection="0"/>
    <xf numFmtId="0" fontId="48" fillId="68" borderId="0" applyNumberFormat="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168" fontId="51" fillId="0" borderId="0" applyNumberFormat="0" applyFill="0" applyBorder="0" applyAlignment="0" applyProtection="0"/>
    <xf numFmtId="169" fontId="51" fillId="0" borderId="0" applyNumberFormat="0" applyFill="0" applyBorder="0" applyAlignment="0" applyProtection="0"/>
    <xf numFmtId="168" fontId="51" fillId="0" borderId="0" applyNumberFormat="0" applyFill="0" applyBorder="0" applyAlignment="0" applyProtection="0"/>
    <xf numFmtId="0" fontId="49" fillId="0" borderId="0" applyNumberFormat="0" applyFill="0" applyBorder="0" applyAlignment="0" applyProtection="0"/>
    <xf numFmtId="168" fontId="2" fillId="0" borderId="0"/>
    <xf numFmtId="0" fontId="2" fillId="0" borderId="0"/>
    <xf numFmtId="168" fontId="2" fillId="0" borderId="0"/>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37" fillId="0" borderId="3" applyNumberFormat="0" applyAlignment="0">
      <alignment horizontal="right"/>
      <protection locked="0"/>
    </xf>
    <xf numFmtId="0" fontId="52" fillId="40"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0" fontId="52" fillId="40"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168" fontId="54" fillId="40" borderId="0" applyNumberFormat="0" applyBorder="0" applyAlignment="0" applyProtection="0"/>
    <xf numFmtId="169" fontId="54" fillId="40" borderId="0" applyNumberFormat="0" applyBorder="0" applyAlignment="0" applyProtection="0"/>
    <xf numFmtId="168" fontId="54" fillId="40" borderId="0" applyNumberFormat="0" applyBorder="0" applyAlignment="0" applyProtection="0"/>
    <xf numFmtId="0" fontId="52" fillId="40" borderId="0" applyNumberFormat="0" applyBorder="0" applyAlignment="0" applyProtection="0"/>
    <xf numFmtId="0" fontId="2" fillId="69" borderId="3" applyNumberFormat="0" applyFont="0" applyBorder="0" applyProtection="0">
      <alignment horizontal="center" vertical="center"/>
    </xf>
    <xf numFmtId="0" fontId="55" fillId="0" borderId="33" applyNumberFormat="0" applyAlignment="0" applyProtection="0">
      <alignment horizontal="left" vertical="center"/>
    </xf>
    <xf numFmtId="0" fontId="55" fillId="0" borderId="33" applyNumberFormat="0" applyAlignment="0" applyProtection="0">
      <alignment horizontal="left" vertical="center"/>
    </xf>
    <xf numFmtId="168" fontId="55" fillId="0" borderId="33" applyNumberFormat="0" applyAlignment="0" applyProtection="0">
      <alignment horizontal="left" vertical="center"/>
    </xf>
    <xf numFmtId="0" fontId="55" fillId="0" borderId="9">
      <alignment horizontal="left" vertical="center"/>
    </xf>
    <xf numFmtId="0" fontId="55" fillId="0" borderId="9">
      <alignment horizontal="left" vertical="center"/>
    </xf>
    <xf numFmtId="168" fontId="55" fillId="0" borderId="9">
      <alignment horizontal="left" vertical="center"/>
    </xf>
    <xf numFmtId="0" fontId="56" fillId="0" borderId="46" applyNumberFormat="0" applyFill="0" applyAlignment="0" applyProtection="0"/>
    <xf numFmtId="169" fontId="56" fillId="0" borderId="46" applyNumberFormat="0" applyFill="0" applyAlignment="0" applyProtection="0"/>
    <xf numFmtId="0"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168" fontId="56" fillId="0" borderId="46" applyNumberFormat="0" applyFill="0" applyAlignment="0" applyProtection="0"/>
    <xf numFmtId="169" fontId="56" fillId="0" borderId="46" applyNumberFormat="0" applyFill="0" applyAlignment="0" applyProtection="0"/>
    <xf numFmtId="168" fontId="56" fillId="0" borderId="46" applyNumberFormat="0" applyFill="0" applyAlignment="0" applyProtection="0"/>
    <xf numFmtId="0" fontId="56" fillId="0" borderId="46" applyNumberFormat="0" applyFill="0" applyAlignment="0" applyProtection="0"/>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8" fillId="0" borderId="0" applyNumberFormat="0" applyFill="0" applyBorder="0" applyAlignment="0" applyProtection="0"/>
    <xf numFmtId="169" fontId="58" fillId="0" borderId="0" applyNumberFormat="0" applyFill="0" applyBorder="0" applyAlignment="0" applyProtection="0"/>
    <xf numFmtId="0"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168" fontId="58" fillId="0" borderId="0" applyNumberFormat="0" applyFill="0" applyBorder="0" applyAlignment="0" applyProtection="0"/>
    <xf numFmtId="169" fontId="58" fillId="0" borderId="0" applyNumberFormat="0" applyFill="0" applyBorder="0" applyAlignment="0" applyProtection="0"/>
    <xf numFmtId="168" fontId="58" fillId="0" borderId="0" applyNumberFormat="0" applyFill="0" applyBorder="0" applyAlignment="0" applyProtection="0"/>
    <xf numFmtId="0" fontId="58" fillId="0" borderId="0" applyNumberFormat="0" applyFill="0" applyBorder="0" applyAlignment="0" applyProtection="0"/>
    <xf numFmtId="37" fontId="59" fillId="0" borderId="0"/>
    <xf numFmtId="168" fontId="60" fillId="0" borderId="0"/>
    <xf numFmtId="0" fontId="60" fillId="0" borderId="0"/>
    <xf numFmtId="168" fontId="60" fillId="0" borderId="0"/>
    <xf numFmtId="168" fontId="55" fillId="0" borderId="0"/>
    <xf numFmtId="0" fontId="55" fillId="0" borderId="0"/>
    <xf numFmtId="168" fontId="55"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0" fontId="63"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5" fillId="0" borderId="0" applyNumberFormat="0" applyFill="0" applyBorder="0" applyAlignment="0" applyProtection="0">
      <alignment vertical="top"/>
      <protection locked="0"/>
    </xf>
    <xf numFmtId="169" fontId="65" fillId="0" borderId="0" applyNumberFormat="0" applyFill="0" applyBorder="0" applyAlignment="0" applyProtection="0">
      <alignment vertical="top"/>
      <protection locked="0"/>
    </xf>
    <xf numFmtId="168" fontId="65" fillId="0" borderId="0" applyNumberFormat="0" applyFill="0" applyBorder="0" applyAlignment="0" applyProtection="0">
      <alignment vertical="top"/>
      <protection locked="0"/>
    </xf>
    <xf numFmtId="168" fontId="66" fillId="0" borderId="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9" fontId="69"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8" fillId="8" borderId="36"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0" fontId="67"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168" fontId="69" fillId="43" borderId="43" applyNumberFormat="0" applyAlignment="0" applyProtection="0"/>
    <xf numFmtId="169" fontId="69" fillId="43" borderId="43" applyNumberFormat="0" applyAlignment="0" applyProtection="0"/>
    <xf numFmtId="168" fontId="69" fillId="43" borderId="43" applyNumberFormat="0" applyAlignment="0" applyProtection="0"/>
    <xf numFmtId="0" fontId="67" fillId="43" borderId="43" applyNumberFormat="0" applyAlignment="0" applyProtection="0"/>
    <xf numFmtId="3" fontId="2" fillId="72" borderId="3" applyFont="0">
      <alignment horizontal="right" vertical="center"/>
      <protection locked="0"/>
    </xf>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0" fontId="70" fillId="0" borderId="49"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0" fontId="70" fillId="0" borderId="49"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0" fontId="71" fillId="0" borderId="38"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168" fontId="72" fillId="0" borderId="49" applyNumberFormat="0" applyFill="0" applyAlignment="0" applyProtection="0"/>
    <xf numFmtId="169" fontId="72" fillId="0" borderId="49" applyNumberFormat="0" applyFill="0" applyAlignment="0" applyProtection="0"/>
    <xf numFmtId="168" fontId="72" fillId="0" borderId="49" applyNumberFormat="0" applyFill="0" applyAlignment="0" applyProtection="0"/>
    <xf numFmtId="0" fontId="70"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3" fillId="73"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0" fontId="73" fillId="73"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0" fontId="74" fillId="7"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168" fontId="75" fillId="73" borderId="0" applyNumberFormat="0" applyBorder="0" applyAlignment="0" applyProtection="0"/>
    <xf numFmtId="169" fontId="75" fillId="73" borderId="0" applyNumberFormat="0" applyBorder="0" applyAlignment="0" applyProtection="0"/>
    <xf numFmtId="168" fontId="75" fillId="73" borderId="0" applyNumberFormat="0" applyBorder="0" applyAlignment="0" applyProtection="0"/>
    <xf numFmtId="0" fontId="73" fillId="73" borderId="0" applyNumberFormat="0" applyBorder="0" applyAlignment="0" applyProtection="0"/>
    <xf numFmtId="1" fontId="76" fillId="0" borderId="0" applyProtection="0"/>
    <xf numFmtId="168" fontId="27" fillId="0" borderId="50"/>
    <xf numFmtId="169" fontId="27" fillId="0" borderId="50"/>
    <xf numFmtId="168" fontId="27"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7" fillId="0" borderId="0"/>
    <xf numFmtId="181" fontId="2"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0" fontId="78" fillId="0" borderId="0"/>
    <xf numFmtId="0" fontId="77" fillId="0" borderId="0"/>
    <xf numFmtId="179" fontId="29" fillId="0" borderId="0"/>
    <xf numFmtId="179" fontId="2" fillId="0" borderId="0"/>
    <xf numFmtId="179" fontId="2" fillId="0" borderId="0"/>
    <xf numFmtId="0" fontId="2" fillId="0" borderId="0"/>
    <xf numFmtId="0" fontId="2"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0"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9"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9"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9" fillId="0" borderId="0"/>
    <xf numFmtId="0" fontId="29" fillId="0" borderId="0"/>
    <xf numFmtId="168" fontId="29" fillId="0" borderId="0"/>
    <xf numFmtId="0" fontId="29"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68" fontId="29" fillId="0" borderId="0"/>
    <xf numFmtId="0" fontId="29" fillId="0" borderId="0"/>
    <xf numFmtId="0" fontId="29" fillId="0" borderId="0"/>
    <xf numFmtId="0" fontId="2"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8" fillId="0" borderId="0"/>
    <xf numFmtId="179" fontId="29" fillId="0" borderId="0"/>
    <xf numFmtId="179" fontId="29"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9" fillId="0" borderId="0"/>
    <xf numFmtId="179" fontId="29" fillId="0" borderId="0"/>
    <xf numFmtId="179" fontId="29" fillId="0" borderId="0"/>
    <xf numFmtId="179" fontId="29" fillId="0" borderId="0"/>
    <xf numFmtId="179"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9"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29" fillId="0" borderId="0"/>
    <xf numFmtId="0" fontId="2" fillId="0" borderId="0"/>
    <xf numFmtId="0" fontId="28" fillId="0" borderId="0"/>
    <xf numFmtId="168" fontId="26" fillId="0" borderId="0"/>
    <xf numFmtId="0" fontId="2" fillId="0" borderId="0"/>
    <xf numFmtId="0" fontId="1" fillId="0" borderId="0"/>
    <xf numFmtId="0" fontId="1" fillId="0" borderId="0"/>
    <xf numFmtId="179"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9" fillId="0" borderId="0"/>
    <xf numFmtId="0" fontId="29" fillId="0" borderId="0"/>
    <xf numFmtId="168" fontId="26" fillId="0" borderId="0"/>
    <xf numFmtId="0" fontId="66" fillId="0" borderId="0"/>
    <xf numFmtId="0" fontId="2" fillId="0" borderId="0"/>
    <xf numFmtId="168" fontId="26" fillId="0" borderId="0"/>
    <xf numFmtId="0" fontId="1" fillId="0" borderId="0"/>
    <xf numFmtId="179" fontId="29" fillId="0" borderId="0"/>
    <xf numFmtId="0" fontId="29" fillId="0" borderId="0"/>
    <xf numFmtId="0" fontId="29" fillId="0" borderId="0"/>
    <xf numFmtId="0" fontId="29" fillId="0" borderId="0"/>
    <xf numFmtId="0" fontId="29" fillId="0" borderId="0"/>
    <xf numFmtId="0" fontId="29" fillId="0" borderId="0"/>
    <xf numFmtId="0" fontId="29" fillId="0" borderId="0"/>
    <xf numFmtId="179" fontId="29"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179" fontId="2" fillId="0" borderId="0"/>
    <xf numFmtId="0" fontId="2" fillId="0" borderId="0"/>
    <xf numFmtId="179" fontId="2" fillId="0" borderId="0"/>
    <xf numFmtId="0" fontId="2" fillId="0" borderId="0"/>
    <xf numFmtId="179" fontId="2" fillId="0" borderId="0"/>
    <xf numFmtId="0" fontId="2"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9" fillId="0" borderId="0"/>
    <xf numFmtId="168" fontId="26" fillId="0" borderId="0"/>
    <xf numFmtId="168" fontId="26" fillId="0" borderId="0"/>
    <xf numFmtId="0" fontId="1" fillId="0" borderId="0"/>
    <xf numFmtId="179" fontId="29" fillId="0" borderId="0"/>
    <xf numFmtId="179" fontId="29" fillId="0" borderId="0"/>
    <xf numFmtId="0" fontId="6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9" fillId="0" borderId="0"/>
    <xf numFmtId="179" fontId="29"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7" fillId="0" borderId="0"/>
    <xf numFmtId="179" fontId="29"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79" fontId="2"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9"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7"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7" fillId="0" borderId="0"/>
    <xf numFmtId="0" fontId="8"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27" fillId="0" borderId="0"/>
    <xf numFmtId="0" fontId="27" fillId="0" borderId="0"/>
    <xf numFmtId="0" fontId="27" fillId="0" borderId="0"/>
    <xf numFmtId="0" fontId="27" fillId="0" borderId="0"/>
    <xf numFmtId="179" fontId="8" fillId="0" borderId="0"/>
    <xf numFmtId="0" fontId="27" fillId="0" borderId="0"/>
    <xf numFmtId="179" fontId="27" fillId="0" borderId="0"/>
    <xf numFmtId="0" fontId="27" fillId="0" borderId="0"/>
    <xf numFmtId="0" fontId="2" fillId="0" borderId="0"/>
    <xf numFmtId="0" fontId="27"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7" fillId="0" borderId="0"/>
    <xf numFmtId="179" fontId="8"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27"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7" fillId="0" borderId="0"/>
    <xf numFmtId="0" fontId="27" fillId="0" borderId="0"/>
    <xf numFmtId="168" fontId="27" fillId="0" borderId="0"/>
    <xf numFmtId="0" fontId="77" fillId="0" borderId="0"/>
    <xf numFmtId="168"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7" fillId="0" borderId="0"/>
    <xf numFmtId="0" fontId="8" fillId="0" borderId="0"/>
    <xf numFmtId="0" fontId="77" fillId="0" borderId="0"/>
    <xf numFmtId="168" fontId="8" fillId="0" borderId="0"/>
    <xf numFmtId="0" fontId="77" fillId="0" borderId="0"/>
    <xf numFmtId="168" fontId="8"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179" fontId="8"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179" fontId="2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7"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7" fillId="0" borderId="0"/>
    <xf numFmtId="179" fontId="27" fillId="0" borderId="0"/>
    <xf numFmtId="179" fontId="27" fillId="0" borderId="0"/>
    <xf numFmtId="179"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5" fillId="0" borderId="0"/>
    <xf numFmtId="0" fontId="2" fillId="0" borderId="0"/>
    <xf numFmtId="0" fontId="77" fillId="0" borderId="0"/>
    <xf numFmtId="168" fontId="45"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7" fillId="0" borderId="0"/>
    <xf numFmtId="0" fontId="2" fillId="0" borderId="0"/>
    <xf numFmtId="0" fontId="7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79" fontId="2" fillId="0" borderId="0"/>
    <xf numFmtId="0" fontId="77"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169" fontId="2"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168" fontId="2" fillId="0" borderId="0"/>
    <xf numFmtId="0" fontId="77"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168" fontId="2" fillId="0" borderId="0"/>
    <xf numFmtId="0" fontId="77" fillId="0" borderId="0"/>
    <xf numFmtId="0" fontId="77" fillId="0" borderId="0"/>
    <xf numFmtId="0" fontId="77" fillId="0" borderId="0"/>
    <xf numFmtId="0" fontId="77" fillId="0" borderId="0"/>
    <xf numFmtId="0" fontId="77"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1" fillId="0" borderId="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168" fontId="2" fillId="0" borderId="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169"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0" borderId="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9" fillId="11" borderId="40"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8"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2"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3" fillId="0" borderId="0"/>
    <xf numFmtId="0" fontId="83" fillId="0" borderId="0"/>
    <xf numFmtId="168" fontId="83" fillId="0" borderId="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9" fontId="86"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5" fillId="9" borderId="37"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0" fontId="84"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168" fontId="86" fillId="64" borderId="52" applyNumberFormat="0" applyAlignment="0" applyProtection="0"/>
    <xf numFmtId="169" fontId="86" fillId="64" borderId="52" applyNumberFormat="0" applyAlignment="0" applyProtection="0"/>
    <xf numFmtId="168" fontId="86" fillId="64" borderId="52" applyNumberFormat="0" applyAlignment="0" applyProtection="0"/>
    <xf numFmtId="0" fontId="84" fillId="64" borderId="52" applyNumberFormat="0" applyAlignment="0" applyProtection="0"/>
    <xf numFmtId="0" fontId="26" fillId="0" borderId="0"/>
    <xf numFmtId="175" fontId="38" fillId="0" borderId="0" applyFont="0" applyFill="0" applyBorder="0" applyAlignment="0" applyProtection="0"/>
    <xf numFmtId="186" fontId="3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87"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8" fillId="0" borderId="0" applyFill="0" applyBorder="0" applyAlignment="0"/>
    <xf numFmtId="172" fontId="38" fillId="0" borderId="0" applyFill="0" applyBorder="0" applyAlignment="0"/>
    <xf numFmtId="171" fontId="38" fillId="0" borderId="0" applyFill="0" applyBorder="0" applyAlignment="0"/>
    <xf numFmtId="176" fontId="38" fillId="0" borderId="0" applyFill="0" applyBorder="0" applyAlignment="0"/>
    <xf numFmtId="172" fontId="38" fillId="0" borderId="0" applyFill="0" applyBorder="0" applyAlignment="0"/>
    <xf numFmtId="168" fontId="2" fillId="0" borderId="0"/>
    <xf numFmtId="0" fontId="2" fillId="0" borderId="0"/>
    <xf numFmtId="168" fontId="2" fillId="0" borderId="0"/>
    <xf numFmtId="187" fontId="66" fillId="0" borderId="3" applyNumberFormat="0">
      <alignment horizontal="center" vertical="top" wrapText="1"/>
    </xf>
    <xf numFmtId="0" fontId="88"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9" fillId="0" borderId="0"/>
    <xf numFmtId="0" fontId="26" fillId="0" borderId="0"/>
    <xf numFmtId="0" fontId="90" fillId="0" borderId="0"/>
    <xf numFmtId="0" fontId="90" fillId="0" borderId="0"/>
    <xf numFmtId="168" fontId="26" fillId="0" borderId="0"/>
    <xf numFmtId="168" fontId="26" fillId="0" borderId="0"/>
    <xf numFmtId="0" fontId="91" fillId="0" borderId="0"/>
    <xf numFmtId="0" fontId="92" fillId="0" borderId="0"/>
    <xf numFmtId="0" fontId="91" fillId="0" borderId="0"/>
    <xf numFmtId="0" fontId="91" fillId="0" borderId="0"/>
    <xf numFmtId="0" fontId="91" fillId="0" borderId="0"/>
    <xf numFmtId="0" fontId="91" fillId="0" borderId="0"/>
    <xf numFmtId="0" fontId="91" fillId="0" borderId="0"/>
    <xf numFmtId="49" fontId="47" fillId="0" borderId="0" applyFill="0" applyBorder="0" applyAlignment="0"/>
    <xf numFmtId="189" fontId="38" fillId="0" borderId="0" applyFill="0" applyBorder="0" applyAlignment="0"/>
    <xf numFmtId="190" fontId="38" fillId="0" borderId="0" applyFill="0" applyBorder="0" applyAlignment="0"/>
    <xf numFmtId="0" fontId="93" fillId="0" borderId="0">
      <alignment horizontal="center" vertical="top"/>
    </xf>
    <xf numFmtId="0" fontId="94" fillId="0" borderId="0" applyNumberFormat="0" applyFill="0" applyBorder="0" applyAlignment="0" applyProtection="0"/>
    <xf numFmtId="169" fontId="94" fillId="0" borderId="0" applyNumberFormat="0" applyFill="0" applyBorder="0" applyAlignment="0" applyProtection="0"/>
    <xf numFmtId="0"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168" fontId="94" fillId="0" borderId="0" applyNumberFormat="0" applyFill="0" applyBorder="0" applyAlignment="0" applyProtection="0"/>
    <xf numFmtId="169" fontId="94" fillId="0" borderId="0" applyNumberFormat="0" applyFill="0" applyBorder="0" applyAlignment="0" applyProtection="0"/>
    <xf numFmtId="168" fontId="94" fillId="0" borderId="0" applyNumberFormat="0" applyFill="0" applyBorder="0" applyAlignment="0" applyProtection="0"/>
    <xf numFmtId="0" fontId="94" fillId="0" borderId="0" applyNumberFormat="0" applyFill="0" applyBorder="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9" fontId="95"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6" fillId="0" borderId="41"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0" fontId="48"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168" fontId="95" fillId="0" borderId="53" applyNumberFormat="0" applyFill="0" applyAlignment="0" applyProtection="0"/>
    <xf numFmtId="169" fontId="95" fillId="0" borderId="53" applyNumberFormat="0" applyFill="0" applyAlignment="0" applyProtection="0"/>
    <xf numFmtId="168" fontId="95" fillId="0" borderId="53" applyNumberFormat="0" applyFill="0" applyAlignment="0" applyProtection="0"/>
    <xf numFmtId="0" fontId="48" fillId="0" borderId="53" applyNumberFormat="0" applyFill="0" applyAlignment="0" applyProtection="0"/>
    <xf numFmtId="0" fontId="26" fillId="0" borderId="54"/>
    <xf numFmtId="185" fontId="82"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7" fillId="0" borderId="0" applyFont="0" applyFill="0" applyBorder="0" applyAlignment="0" applyProtection="0"/>
    <xf numFmtId="192" fontId="2" fillId="0" borderId="0" applyFon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0" fontId="96"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168" fontId="97" fillId="0" borderId="0" applyNumberFormat="0" applyFill="0" applyBorder="0" applyAlignment="0" applyProtection="0"/>
    <xf numFmtId="169" fontId="97" fillId="0" borderId="0" applyNumberFormat="0" applyFill="0" applyBorder="0" applyAlignment="0" applyProtection="0"/>
    <xf numFmtId="168" fontId="97" fillId="0" borderId="0" applyNumberFormat="0" applyFill="0" applyBorder="0" applyAlignment="0" applyProtection="0"/>
    <xf numFmtId="0" fontId="96" fillId="0" borderId="0" applyNumberFormat="0" applyFill="0" applyBorder="0" applyAlignment="0" applyProtection="0"/>
    <xf numFmtId="1" fontId="98" fillId="0" borderId="0" applyFill="0" applyProtection="0">
      <alignment horizontal="right"/>
    </xf>
    <xf numFmtId="42" fontId="99" fillId="0" borderId="0" applyFont="0" applyFill="0" applyBorder="0" applyAlignment="0" applyProtection="0"/>
    <xf numFmtId="44" fontId="99" fillId="0" borderId="0" applyFont="0" applyFill="0" applyBorder="0" applyAlignment="0" applyProtection="0"/>
    <xf numFmtId="0" fontId="100" fillId="0" borderId="0"/>
    <xf numFmtId="0" fontId="101" fillId="0" borderId="0"/>
    <xf numFmtId="38" fontId="27" fillId="0" borderId="0" applyFont="0" applyFill="0" applyBorder="0" applyAlignment="0" applyProtection="0"/>
    <xf numFmtId="40" fontId="27" fillId="0" borderId="0" applyFont="0" applyFill="0" applyBorder="0" applyAlignment="0" applyProtection="0"/>
    <xf numFmtId="41" fontId="99" fillId="0" borderId="0" applyFont="0" applyFill="0" applyBorder="0" applyAlignment="0" applyProtection="0"/>
    <xf numFmtId="43" fontId="99" fillId="0" borderId="0" applyFont="0" applyFill="0" applyBorder="0" applyAlignment="0" applyProtection="0"/>
    <xf numFmtId="0" fontId="2" fillId="0" borderId="0"/>
    <xf numFmtId="9" fontId="1" fillId="0" borderId="0" applyFont="0" applyFill="0" applyBorder="0" applyAlignment="0" applyProtection="0"/>
    <xf numFmtId="0" fontId="48"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168" fontId="95" fillId="0" borderId="93" applyNumberFormat="0" applyFill="0" applyAlignment="0" applyProtection="0"/>
    <xf numFmtId="169" fontId="95" fillId="0" borderId="93" applyNumberFormat="0" applyFill="0" applyAlignment="0" applyProtection="0"/>
    <xf numFmtId="168"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69"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68"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68" fontId="95"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0" fontId="48" fillId="0" borderId="93" applyNumberFormat="0" applyFill="0" applyAlignment="0" applyProtection="0"/>
    <xf numFmtId="188" fontId="2" fillId="70" borderId="87" applyFont="0">
      <alignment horizontal="right" vertical="center"/>
    </xf>
    <xf numFmtId="3" fontId="2" fillId="70" borderId="87" applyFont="0">
      <alignment horizontal="right" vertical="center"/>
    </xf>
    <xf numFmtId="0" fontId="84"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168" fontId="86" fillId="64" borderId="92" applyNumberFormat="0" applyAlignment="0" applyProtection="0"/>
    <xf numFmtId="169" fontId="86" fillId="64" borderId="92" applyNumberFormat="0" applyAlignment="0" applyProtection="0"/>
    <xf numFmtId="168"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169"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168"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168" fontId="86"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0" fontId="84"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0" fontId="28" fillId="74" borderId="91" applyNumberFormat="0" applyFont="0" applyAlignment="0" applyProtection="0"/>
    <xf numFmtId="3" fontId="2" fillId="72" borderId="87" applyFont="0">
      <alignment horizontal="right" vertical="center"/>
      <protection locked="0"/>
    </xf>
    <xf numFmtId="0" fontId="67"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168" fontId="69" fillId="43" borderId="90" applyNumberFormat="0" applyAlignment="0" applyProtection="0"/>
    <xf numFmtId="169" fontId="69" fillId="43" borderId="90" applyNumberFormat="0" applyAlignment="0" applyProtection="0"/>
    <xf numFmtId="168"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169"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168"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168" fontId="69"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67"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3" fillId="70" borderId="88" applyFont="0" applyBorder="0">
      <alignment horizontal="center" wrapText="1"/>
    </xf>
    <xf numFmtId="168" fontId="55" fillId="0" borderId="85">
      <alignment horizontal="left" vertical="center"/>
    </xf>
    <xf numFmtId="0" fontId="55" fillId="0" borderId="85">
      <alignment horizontal="left" vertical="center"/>
    </xf>
    <xf numFmtId="0" fontId="55" fillId="0" borderId="85">
      <alignment horizontal="left" vertical="center"/>
    </xf>
    <xf numFmtId="0" fontId="2" fillId="69" borderId="87" applyNumberFormat="0" applyFont="0" applyBorder="0" applyProtection="0">
      <alignment horizontal="center" vertical="center"/>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7" fillId="0" borderId="87" applyNumberFormat="0" applyAlignment="0">
      <alignment horizontal="right"/>
      <protection locked="0"/>
    </xf>
    <xf numFmtId="0" fontId="39"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168" fontId="41" fillId="64" borderId="90" applyNumberFormat="0" applyAlignment="0" applyProtection="0"/>
    <xf numFmtId="169" fontId="41" fillId="64" borderId="90" applyNumberFormat="0" applyAlignment="0" applyProtection="0"/>
    <xf numFmtId="168"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169"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168"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168" fontId="41"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39" fillId="64" borderId="90" applyNumberFormat="0" applyAlignment="0" applyProtection="0"/>
    <xf numFmtId="0" fontId="1" fillId="0" borderId="0"/>
    <xf numFmtId="169" fontId="27" fillId="37" borderId="0"/>
    <xf numFmtId="0" fontId="2" fillId="0" borderId="0">
      <alignment vertical="center"/>
    </xf>
    <xf numFmtId="166" fontId="1" fillId="0" borderId="0" applyFont="0" applyFill="0" applyBorder="0" applyAlignment="0" applyProtection="0"/>
  </cellStyleXfs>
  <cellXfs count="59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8"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1" xfId="0" applyFont="1" applyBorder="1" applyAlignment="1">
      <alignment vertical="center"/>
    </xf>
    <xf numFmtId="0" fontId="9" fillId="0" borderId="24"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0" fillId="0" borderId="0" xfId="11" applyFont="1" applyFill="1" applyBorder="1" applyAlignment="1" applyProtection="1"/>
    <xf numFmtId="0" fontId="9" fillId="0" borderId="8" xfId="0" applyFont="1" applyBorder="1" applyAlignment="1">
      <alignment wrapText="1"/>
    </xf>
    <xf numFmtId="0" fontId="9" fillId="0" borderId="23"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8" xfId="0" applyFont="1" applyFill="1" applyBorder="1" applyAlignment="1" applyProtection="1">
      <alignment horizontal="center" vertical="center"/>
    </xf>
    <xf numFmtId="0" fontId="9" fillId="0" borderId="19" xfId="0" applyFont="1" applyFill="1" applyBorder="1" applyProtection="1"/>
    <xf numFmtId="0" fontId="9" fillId="0" borderId="21"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4" xfId="0" applyFont="1" applyFill="1" applyBorder="1" applyAlignment="1" applyProtection="1">
      <alignment horizontal="left" indent="1"/>
    </xf>
    <xf numFmtId="0" fontId="10" fillId="0" borderId="27"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19" fillId="0" borderId="3" xfId="0" applyFont="1" applyFill="1" applyBorder="1" applyAlignment="1">
      <alignment horizontal="left" vertical="center"/>
    </xf>
    <xf numFmtId="0" fontId="19" fillId="0" borderId="3" xfId="0" applyFont="1" applyFill="1" applyBorder="1" applyAlignment="1">
      <alignment horizontal="center" vertical="center" wrapText="1"/>
    </xf>
    <xf numFmtId="0" fontId="19" fillId="0" borderId="3" xfId="0" applyFont="1" applyFill="1" applyBorder="1" applyAlignment="1">
      <alignment horizontal="left" indent="1"/>
    </xf>
    <xf numFmtId="0" fontId="20" fillId="0" borderId="3" xfId="0" applyFont="1" applyFill="1" applyBorder="1" applyAlignment="1">
      <alignment horizontal="center"/>
    </xf>
    <xf numFmtId="38" fontId="19" fillId="0" borderId="3" xfId="0" applyNumberFormat="1" applyFont="1" applyFill="1" applyBorder="1" applyAlignment="1" applyProtection="1">
      <alignment horizontal="right"/>
      <protection locked="0"/>
    </xf>
    <xf numFmtId="0" fontId="19" fillId="0" borderId="3" xfId="0" applyFont="1" applyFill="1" applyBorder="1" applyAlignment="1">
      <alignment horizontal="left" wrapText="1" indent="1"/>
    </xf>
    <xf numFmtId="0" fontId="19" fillId="0" borderId="3" xfId="0" applyFont="1" applyFill="1" applyBorder="1" applyAlignment="1">
      <alignment horizontal="left" wrapText="1" indent="2"/>
    </xf>
    <xf numFmtId="0" fontId="20" fillId="0" borderId="3" xfId="0" applyFont="1" applyFill="1" applyBorder="1" applyAlignment="1"/>
    <xf numFmtId="0" fontId="20" fillId="0" borderId="3" xfId="0" applyFont="1" applyFill="1" applyBorder="1" applyAlignment="1">
      <alignment horizontal="left"/>
    </xf>
    <xf numFmtId="0" fontId="20" fillId="0" borderId="3" xfId="0" applyFont="1" applyFill="1" applyBorder="1" applyAlignment="1">
      <alignment horizontal="left" indent="1"/>
    </xf>
    <xf numFmtId="0" fontId="20"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24" fillId="0" borderId="0" xfId="0" applyFont="1" applyAlignment="1">
      <alignment horizontal="center" vertical="center"/>
    </xf>
    <xf numFmtId="0" fontId="24"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4"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4"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4" fillId="36" borderId="3" xfId="2" applyNumberFormat="1" applyFont="1" applyFill="1" applyBorder="1" applyAlignment="1" applyProtection="1">
      <alignment horizontal="left" vertical="top" wrapText="1"/>
    </xf>
    <xf numFmtId="0" fontId="14" fillId="36" borderId="3" xfId="13" applyFont="1" applyFill="1" applyBorder="1" applyAlignment="1" applyProtection="1">
      <alignment vertical="center" wrapText="1"/>
      <protection locked="0"/>
    </xf>
    <xf numFmtId="0" fontId="24" fillId="0" borderId="35" xfId="0" applyFont="1" applyBorder="1" applyAlignment="1">
      <alignment wrapText="1"/>
    </xf>
    <xf numFmtId="0" fontId="24" fillId="0" borderId="11" xfId="0" applyFont="1" applyBorder="1" applyAlignment="1">
      <alignment wrapText="1"/>
    </xf>
    <xf numFmtId="0" fontId="18" fillId="0" borderId="11" xfId="0" applyFont="1" applyBorder="1" applyAlignment="1">
      <alignment wrapText="1"/>
    </xf>
    <xf numFmtId="0" fontId="18" fillId="0" borderId="11" xfId="0" applyFont="1" applyBorder="1" applyAlignment="1">
      <alignment horizontal="right" wrapText="1"/>
    </xf>
    <xf numFmtId="0" fontId="24" fillId="0" borderId="12" xfId="0" applyFont="1" applyBorder="1" applyAlignment="1">
      <alignment wrapText="1"/>
    </xf>
    <xf numFmtId="0" fontId="18" fillId="0" borderId="12" xfId="0" applyFont="1" applyBorder="1" applyAlignment="1">
      <alignment horizontal="right" wrapText="1"/>
    </xf>
    <xf numFmtId="0" fontId="23" fillId="36" borderId="15" xfId="0" applyFont="1" applyFill="1" applyBorder="1" applyAlignment="1">
      <alignment wrapText="1"/>
    </xf>
    <xf numFmtId="0" fontId="4" fillId="0" borderId="21" xfId="0" applyFont="1" applyBorder="1"/>
    <xf numFmtId="0" fontId="24" fillId="0" borderId="3" xfId="0" applyFont="1" applyBorder="1"/>
    <xf numFmtId="0" fontId="23"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1"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0" fontId="4" fillId="0" borderId="18" xfId="0" applyFont="1" applyBorder="1"/>
    <xf numFmtId="0" fontId="4" fillId="0" borderId="20" xfId="0" applyFont="1" applyBorder="1"/>
    <xf numFmtId="0" fontId="7" fillId="3" borderId="24" xfId="9" applyFont="1" applyFill="1" applyBorder="1" applyAlignment="1" applyProtection="1">
      <alignment horizontal="left" vertical="center"/>
      <protection locked="0"/>
    </xf>
    <xf numFmtId="0" fontId="14" fillId="3" borderId="26"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7" fillId="0" borderId="0" xfId="11" applyFont="1" applyFill="1" applyBorder="1" applyAlignment="1" applyProtection="1">
      <alignment vertical="center"/>
    </xf>
    <xf numFmtId="0" fontId="4" fillId="0" borderId="21" xfId="0" applyFont="1" applyBorder="1" applyAlignment="1">
      <alignment vertical="center"/>
    </xf>
    <xf numFmtId="0" fontId="9" fillId="2" borderId="24" xfId="0" applyFont="1" applyFill="1" applyBorder="1" applyAlignment="1">
      <alignment horizontal="right" vertical="center"/>
    </xf>
    <xf numFmtId="0" fontId="19" fillId="0" borderId="18" xfId="0" applyFont="1" applyFill="1" applyBorder="1" applyAlignment="1">
      <alignment horizontal="left" vertical="center" indent="1"/>
    </xf>
    <xf numFmtId="0" fontId="19" fillId="0" borderId="19" xfId="0" applyFont="1" applyFill="1" applyBorder="1" applyAlignment="1">
      <alignment horizontal="left" vertical="center"/>
    </xf>
    <xf numFmtId="0" fontId="19" fillId="0" borderId="21" xfId="0" applyFont="1" applyFill="1" applyBorder="1" applyAlignment="1">
      <alignment horizontal="left" vertical="center" indent="1"/>
    </xf>
    <xf numFmtId="0" fontId="19" fillId="0" borderId="22" xfId="0" applyFont="1" applyFill="1" applyBorder="1" applyAlignment="1">
      <alignment horizontal="center" vertical="center" wrapText="1"/>
    </xf>
    <xf numFmtId="0" fontId="19" fillId="0" borderId="21" xfId="0" applyFont="1" applyFill="1" applyBorder="1" applyAlignment="1">
      <alignment horizontal="left" indent="1"/>
    </xf>
    <xf numFmtId="38" fontId="19" fillId="0" borderId="22" xfId="0" applyNumberFormat="1" applyFont="1" applyFill="1" applyBorder="1" applyAlignment="1" applyProtection="1">
      <alignment horizontal="right"/>
      <protection locked="0"/>
    </xf>
    <xf numFmtId="0" fontId="19" fillId="0" borderId="24" xfId="0" applyFont="1" applyFill="1" applyBorder="1" applyAlignment="1">
      <alignment horizontal="left" vertical="center" indent="1"/>
    </xf>
    <xf numFmtId="0" fontId="20" fillId="0" borderId="25" xfId="0" applyFont="1" applyFill="1" applyBorder="1" applyAlignment="1"/>
    <xf numFmtId="0" fontId="4" fillId="0" borderId="59" xfId="0" applyFont="1" applyBorder="1"/>
    <xf numFmtId="0" fontId="21" fillId="0" borderId="24" xfId="0" applyFont="1" applyBorder="1" applyAlignment="1">
      <alignment horizontal="center" vertical="center" wrapText="1"/>
    </xf>
    <xf numFmtId="0" fontId="4" fillId="0" borderId="60" xfId="0" applyFont="1" applyBorder="1"/>
    <xf numFmtId="0" fontId="7" fillId="0" borderId="18" xfId="9" applyFont="1" applyFill="1" applyBorder="1" applyAlignment="1" applyProtection="1">
      <alignment horizontal="center" vertical="center"/>
      <protection locked="0"/>
    </xf>
    <xf numFmtId="0" fontId="14" fillId="3" borderId="5" xfId="9" applyFont="1" applyFill="1" applyBorder="1" applyAlignment="1" applyProtection="1">
      <alignment horizontal="center" vertical="center" wrapText="1"/>
      <protection locked="0"/>
    </xf>
    <xf numFmtId="164" fontId="7" fillId="3" borderId="20" xfId="2" applyNumberFormat="1" applyFont="1" applyFill="1" applyBorder="1" applyAlignment="1" applyProtection="1">
      <alignment horizontal="center" vertical="center"/>
      <protection locked="0"/>
    </xf>
    <xf numFmtId="0" fontId="7" fillId="0" borderId="21"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1" xfId="9" applyFont="1" applyFill="1" applyBorder="1" applyAlignment="1" applyProtection="1">
      <alignment horizontal="center" vertical="center" wrapText="1"/>
      <protection locked="0"/>
    </xf>
    <xf numFmtId="0" fontId="7" fillId="0" borderId="24" xfId="9" applyFont="1" applyFill="1" applyBorder="1" applyAlignment="1" applyProtection="1">
      <alignment horizontal="center" vertical="center" wrapText="1"/>
      <protection locked="0"/>
    </xf>
    <xf numFmtId="0" fontId="14" fillId="36" borderId="25" xfId="13" applyFont="1" applyFill="1" applyBorder="1" applyAlignment="1" applyProtection="1">
      <alignment vertical="center" wrapText="1"/>
      <protection locked="0"/>
    </xf>
    <xf numFmtId="0" fontId="24" fillId="0" borderId="21" xfId="0" applyFont="1" applyBorder="1" applyAlignment="1">
      <alignment horizontal="center"/>
    </xf>
    <xf numFmtId="167" fontId="24" fillId="0" borderId="68" xfId="0" applyNumberFormat="1" applyFont="1" applyBorder="1" applyAlignment="1">
      <alignment horizontal="center"/>
    </xf>
    <xf numFmtId="167" fontId="24" fillId="0" borderId="66" xfId="0" applyNumberFormat="1" applyFont="1" applyBorder="1" applyAlignment="1">
      <alignment horizontal="center"/>
    </xf>
    <xf numFmtId="167" fontId="18" fillId="0" borderId="66" xfId="0" applyNumberFormat="1" applyFont="1" applyBorder="1" applyAlignment="1">
      <alignment horizontal="center"/>
    </xf>
    <xf numFmtId="167" fontId="24" fillId="0" borderId="69" xfId="0" applyNumberFormat="1" applyFont="1" applyBorder="1" applyAlignment="1">
      <alignment horizontal="center"/>
    </xf>
    <xf numFmtId="167" fontId="23" fillId="36" borderId="61" xfId="0" applyNumberFormat="1" applyFont="1" applyFill="1" applyBorder="1" applyAlignment="1">
      <alignment horizontal="center"/>
    </xf>
    <xf numFmtId="167" fontId="24" fillId="0" borderId="65" xfId="0" applyNumberFormat="1" applyFont="1" applyBorder="1" applyAlignment="1">
      <alignment horizontal="center"/>
    </xf>
    <xf numFmtId="167" fontId="24" fillId="0" borderId="70" xfId="0" applyNumberFormat="1" applyFont="1" applyBorder="1" applyAlignment="1">
      <alignment horizontal="center"/>
    </xf>
    <xf numFmtId="0" fontId="24" fillId="0" borderId="24" xfId="0" applyFont="1" applyBorder="1" applyAlignment="1">
      <alignment horizontal="center"/>
    </xf>
    <xf numFmtId="0" fontId="23" fillId="36" borderId="62" xfId="0" applyFont="1" applyFill="1" applyBorder="1" applyAlignment="1">
      <alignment wrapText="1"/>
    </xf>
    <xf numFmtId="167" fontId="23"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1" xfId="0" applyFont="1" applyBorder="1"/>
    <xf numFmtId="0" fontId="4" fillId="0" borderId="19" xfId="0" applyFont="1" applyBorder="1"/>
    <xf numFmtId="0" fontId="4" fillId="0" borderId="24" xfId="0" applyFont="1" applyBorder="1"/>
    <xf numFmtId="0" fontId="7" fillId="3" borderId="22" xfId="13" applyFont="1" applyFill="1" applyBorder="1" applyAlignment="1" applyProtection="1">
      <alignment horizontal="left" vertical="center"/>
      <protection locked="0"/>
    </xf>
    <xf numFmtId="0" fontId="12" fillId="0" borderId="0" xfId="0" applyFont="1" applyAlignment="1"/>
    <xf numFmtId="0" fontId="7" fillId="3" borderId="21" xfId="5" applyFont="1" applyFill="1" applyBorder="1" applyAlignment="1" applyProtection="1">
      <alignment horizontal="right" vertical="center"/>
      <protection locked="0"/>
    </xf>
    <xf numFmtId="0" fontId="14" fillId="3" borderId="25" xfId="16" applyFont="1" applyFill="1" applyBorder="1" applyAlignment="1" applyProtection="1">
      <protection locked="0"/>
    </xf>
    <xf numFmtId="0" fontId="4" fillId="0" borderId="19" xfId="0" applyFont="1" applyBorder="1" applyAlignment="1">
      <alignment wrapText="1"/>
    </xf>
    <xf numFmtId="0" fontId="4" fillId="0" borderId="20" xfId="0" applyFont="1" applyBorder="1" applyAlignment="1">
      <alignment wrapText="1"/>
    </xf>
    <xf numFmtId="0" fontId="6" fillId="0" borderId="25" xfId="0" applyFont="1" applyBorder="1"/>
    <xf numFmtId="0" fontId="9" fillId="3" borderId="21" xfId="5" applyFont="1" applyFill="1" applyBorder="1" applyAlignment="1" applyProtection="1">
      <alignment horizontal="left" vertical="center"/>
      <protection locked="0"/>
    </xf>
    <xf numFmtId="0" fontId="9" fillId="3" borderId="22" xfId="13" applyFont="1" applyFill="1" applyBorder="1" applyAlignment="1" applyProtection="1">
      <alignment horizontal="center" vertical="center" wrapText="1"/>
      <protection locked="0"/>
    </xf>
    <xf numFmtId="0" fontId="9" fillId="3" borderId="21" xfId="5" applyFont="1" applyFill="1" applyBorder="1" applyAlignment="1" applyProtection="1">
      <alignment horizontal="right" vertical="center"/>
      <protection locked="0"/>
    </xf>
    <xf numFmtId="3" fontId="9" fillId="36" borderId="22" xfId="5" applyNumberFormat="1" applyFont="1" applyFill="1" applyBorder="1" applyProtection="1">
      <protection locked="0"/>
    </xf>
    <xf numFmtId="0" fontId="9" fillId="3" borderId="24" xfId="9" applyFont="1" applyFill="1" applyBorder="1" applyAlignment="1" applyProtection="1">
      <alignment horizontal="right" vertical="center"/>
      <protection locked="0"/>
    </xf>
    <xf numFmtId="0" fontId="10" fillId="3" borderId="25" xfId="16" applyFont="1" applyFill="1" applyBorder="1" applyAlignment="1" applyProtection="1">
      <protection locked="0"/>
    </xf>
    <xf numFmtId="3" fontId="10" fillId="36" borderId="25" xfId="16" applyNumberFormat="1" applyFont="1" applyFill="1" applyBorder="1" applyAlignment="1" applyProtection="1">
      <protection locked="0"/>
    </xf>
    <xf numFmtId="164" fontId="10" fillId="36" borderId="26" xfId="1" applyNumberFormat="1" applyFont="1" applyFill="1" applyBorder="1" applyAlignment="1" applyProtection="1">
      <protection locked="0"/>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2" xfId="0" applyFont="1" applyBorder="1" applyAlignment="1">
      <alignment horizontal="center" vertical="center"/>
    </xf>
    <xf numFmtId="0" fontId="103" fillId="0" borderId="3" xfId="0" applyFont="1" applyBorder="1"/>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4" fillId="0" borderId="3" xfId="20960" applyFont="1" applyFill="1" applyBorder="1" applyAlignment="1" applyProtection="1">
      <alignment horizontal="center" vertical="center"/>
    </xf>
    <xf numFmtId="0" fontId="105" fillId="0" borderId="0" xfId="0" applyFont="1" applyBorder="1" applyAlignment="1">
      <alignment wrapText="1"/>
    </xf>
    <xf numFmtId="0" fontId="9" fillId="0" borderId="2" xfId="20960" applyFont="1" applyFill="1" applyBorder="1" applyAlignment="1" applyProtection="1">
      <alignment horizontal="left" wrapText="1" indent="1"/>
    </xf>
    <xf numFmtId="0" fontId="14" fillId="0" borderId="19"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8"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4" fillId="0" borderId="0" xfId="11" applyFont="1" applyFill="1" applyBorder="1" applyAlignment="1" applyProtection="1">
      <alignment horizontal="center" vertical="center" wrapText="1"/>
    </xf>
    <xf numFmtId="0" fontId="4" fillId="0" borderId="21"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4"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4" fillId="0" borderId="1" xfId="0" applyFont="1" applyBorder="1" applyAlignment="1">
      <alignment horizontal="center" vertical="center"/>
    </xf>
    <xf numFmtId="0" fontId="6" fillId="0" borderId="1" xfId="0" applyFont="1" applyBorder="1" applyAlignment="1">
      <alignment horizontal="center" vertical="center"/>
    </xf>
    <xf numFmtId="0" fontId="4" fillId="0" borderId="1" xfId="0" applyFont="1" applyBorder="1"/>
    <xf numFmtId="0" fontId="6" fillId="0" borderId="1" xfId="0" applyFont="1" applyBorder="1" applyAlignment="1">
      <alignment horizontal="center"/>
    </xf>
    <xf numFmtId="0" fontId="17"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1" xfId="0" applyFont="1" applyFill="1" applyBorder="1" applyAlignment="1">
      <alignment horizontal="center" vertical="center"/>
    </xf>
    <xf numFmtId="0" fontId="14"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7" fillId="0" borderId="10" xfId="0" applyFont="1" applyFill="1" applyBorder="1" applyAlignment="1" applyProtection="1">
      <alignment horizontal="left" vertical="center" indent="1"/>
      <protection locked="0"/>
    </xf>
    <xf numFmtId="0" fontId="17" fillId="0" borderId="10" xfId="0" applyFont="1" applyFill="1" applyBorder="1" applyAlignment="1" applyProtection="1">
      <alignment horizontal="left" vertical="center"/>
      <protection locked="0"/>
    </xf>
    <xf numFmtId="0" fontId="4" fillId="0" borderId="24" xfId="0" applyFont="1" applyFill="1" applyBorder="1" applyAlignment="1">
      <alignment horizontal="center" vertical="center"/>
    </xf>
    <xf numFmtId="0" fontId="14" fillId="0" borderId="28" xfId="0" applyNumberFormat="1" applyFont="1" applyFill="1" applyBorder="1" applyAlignment="1">
      <alignmen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4"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6" borderId="66" xfId="0" applyNumberFormat="1" applyFont="1" applyFill="1" applyBorder="1" applyAlignment="1">
      <alignment horizontal="center"/>
    </xf>
    <xf numFmtId="193" fontId="9" fillId="2" borderId="25"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2"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2" xfId="0" applyNumberFormat="1" applyFont="1" applyFill="1" applyBorder="1" applyAlignment="1" applyProtection="1">
      <alignment horizontal="right"/>
    </xf>
    <xf numFmtId="193" fontId="9" fillId="36" borderId="25" xfId="7"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193" fontId="19" fillId="0" borderId="3" xfId="0" applyNumberFormat="1" applyFont="1" applyFill="1" applyBorder="1" applyAlignment="1" applyProtection="1">
      <alignment horizontal="right"/>
      <protection locked="0"/>
    </xf>
    <xf numFmtId="193" fontId="9" fillId="36" borderId="22" xfId="7" applyNumberFormat="1" applyFont="1" applyFill="1" applyBorder="1" applyAlignment="1" applyProtection="1">
      <alignment horizontal="right"/>
    </xf>
    <xf numFmtId="193" fontId="19" fillId="36" borderId="3" xfId="0" applyNumberFormat="1" applyFont="1" applyFill="1" applyBorder="1" applyAlignment="1">
      <alignment horizontal="right"/>
    </xf>
    <xf numFmtId="193" fontId="9" fillId="0" borderId="22" xfId="7" applyNumberFormat="1" applyFont="1" applyFill="1" applyBorder="1" applyAlignment="1" applyProtection="1">
      <alignment horizontal="right"/>
    </xf>
    <xf numFmtId="193" fontId="20" fillId="0" borderId="3" xfId="0" applyNumberFormat="1" applyFont="1" applyFill="1" applyBorder="1" applyAlignment="1">
      <alignment horizontal="center"/>
    </xf>
    <xf numFmtId="193" fontId="20" fillId="0" borderId="22" xfId="0" applyNumberFormat="1" applyFont="1" applyFill="1" applyBorder="1" applyAlignment="1">
      <alignment horizontal="center"/>
    </xf>
    <xf numFmtId="193" fontId="19" fillId="36" borderId="3" xfId="0" applyNumberFormat="1" applyFont="1" applyFill="1" applyBorder="1" applyAlignment="1" applyProtection="1">
      <alignment horizontal="right"/>
    </xf>
    <xf numFmtId="193" fontId="19" fillId="0" borderId="22" xfId="0" applyNumberFormat="1" applyFont="1" applyFill="1" applyBorder="1" applyAlignment="1" applyProtection="1">
      <alignment horizontal="right"/>
      <protection locked="0"/>
    </xf>
    <xf numFmtId="193" fontId="9" fillId="36" borderId="3" xfId="0" applyNumberFormat="1" applyFont="1" applyFill="1" applyBorder="1" applyAlignment="1" applyProtection="1">
      <alignment horizontal="right"/>
    </xf>
    <xf numFmtId="193" fontId="9" fillId="0" borderId="25" xfId="0" applyNumberFormat="1" applyFont="1" applyFill="1" applyBorder="1" applyAlignment="1" applyProtection="1">
      <alignment horizontal="right"/>
    </xf>
    <xf numFmtId="193" fontId="9" fillId="36" borderId="25" xfId="0" applyNumberFormat="1" applyFont="1" applyFill="1" applyBorder="1" applyAlignment="1" applyProtection="1">
      <alignment horizontal="right"/>
    </xf>
    <xf numFmtId="3" fontId="22" fillId="36" borderId="25" xfId="0" applyNumberFormat="1" applyFont="1" applyFill="1" applyBorder="1" applyAlignment="1">
      <alignment vertical="center" wrapText="1"/>
    </xf>
    <xf numFmtId="3" fontId="22" fillId="36" borderId="26" xfId="0" applyNumberFormat="1" applyFont="1" applyFill="1" applyBorder="1" applyAlignment="1">
      <alignment vertical="center" wrapText="1"/>
    </xf>
    <xf numFmtId="193" fontId="0" fillId="36" borderId="20" xfId="0" applyNumberFormat="1" applyFill="1" applyBorder="1" applyAlignment="1">
      <alignment horizontal="center" vertical="center"/>
    </xf>
    <xf numFmtId="193" fontId="0" fillId="0" borderId="22" xfId="0" applyNumberFormat="1" applyBorder="1" applyAlignment="1"/>
    <xf numFmtId="193" fontId="0" fillId="0" borderId="22" xfId="0" applyNumberFormat="1" applyBorder="1" applyAlignment="1">
      <alignment wrapText="1"/>
    </xf>
    <xf numFmtId="193" fontId="0" fillId="36" borderId="22" xfId="0" applyNumberFormat="1" applyFill="1" applyBorder="1" applyAlignment="1">
      <alignment horizontal="center" vertical="center" wrapText="1"/>
    </xf>
    <xf numFmtId="193" fontId="0" fillId="36" borderId="26" xfId="0" applyNumberFormat="1" applyFill="1" applyBorder="1" applyAlignment="1">
      <alignment horizontal="center" vertical="center" wrapText="1"/>
    </xf>
    <xf numFmtId="193" fontId="7" fillId="36" borderId="22" xfId="2" applyNumberFormat="1" applyFont="1" applyFill="1" applyBorder="1" applyAlignment="1" applyProtection="1">
      <alignment vertical="top"/>
    </xf>
    <xf numFmtId="193" fontId="7" fillId="3" borderId="22" xfId="2" applyNumberFormat="1" applyFont="1" applyFill="1" applyBorder="1" applyAlignment="1" applyProtection="1">
      <alignment vertical="top"/>
      <protection locked="0"/>
    </xf>
    <xf numFmtId="193" fontId="7" fillId="36" borderId="22" xfId="2" applyNumberFormat="1" applyFont="1" applyFill="1" applyBorder="1" applyAlignment="1" applyProtection="1">
      <alignment vertical="top" wrapText="1"/>
    </xf>
    <xf numFmtId="193" fontId="7" fillId="3" borderId="22" xfId="2" applyNumberFormat="1" applyFont="1" applyFill="1" applyBorder="1" applyAlignment="1" applyProtection="1">
      <alignment vertical="top" wrapText="1"/>
      <protection locked="0"/>
    </xf>
    <xf numFmtId="193" fontId="7" fillId="36" borderId="22" xfId="2" applyNumberFormat="1" applyFont="1" applyFill="1" applyBorder="1" applyAlignment="1" applyProtection="1">
      <alignment vertical="top" wrapText="1"/>
      <protection locked="0"/>
    </xf>
    <xf numFmtId="193" fontId="7" fillId="36" borderId="26" xfId="2" applyNumberFormat="1" applyFont="1" applyFill="1" applyBorder="1" applyAlignment="1" applyProtection="1">
      <alignment vertical="top" wrapText="1"/>
    </xf>
    <xf numFmtId="193" fontId="24" fillId="0" borderId="34" xfId="0" applyNumberFormat="1" applyFont="1" applyBorder="1" applyAlignment="1">
      <alignment vertical="center"/>
    </xf>
    <xf numFmtId="193" fontId="24" fillId="0" borderId="13" xfId="0" applyNumberFormat="1" applyFont="1" applyBorder="1" applyAlignment="1">
      <alignment vertical="center"/>
    </xf>
    <xf numFmtId="193" fontId="18" fillId="0" borderId="13" xfId="0" applyNumberFormat="1" applyFont="1" applyBorder="1" applyAlignment="1">
      <alignment vertical="center"/>
    </xf>
    <xf numFmtId="193" fontId="24" fillId="0" borderId="14" xfId="0" applyNumberFormat="1" applyFont="1" applyBorder="1" applyAlignment="1">
      <alignment vertical="center"/>
    </xf>
    <xf numFmtId="193" fontId="23" fillId="36" borderId="16" xfId="0" applyNumberFormat="1" applyFont="1" applyFill="1" applyBorder="1" applyAlignment="1">
      <alignment vertical="center"/>
    </xf>
    <xf numFmtId="193" fontId="24" fillId="0" borderId="17" xfId="0" applyNumberFormat="1" applyFont="1" applyBorder="1" applyAlignment="1">
      <alignment vertical="center"/>
    </xf>
    <xf numFmtId="193" fontId="18" fillId="0" borderId="14" xfId="0" applyNumberFormat="1" applyFont="1" applyBorder="1" applyAlignment="1">
      <alignment vertical="center"/>
    </xf>
    <xf numFmtId="193" fontId="23" fillId="36" borderId="63" xfId="0" applyNumberFormat="1" applyFont="1" applyFill="1" applyBorder="1" applyAlignment="1">
      <alignment vertical="center"/>
    </xf>
    <xf numFmtId="193" fontId="24" fillId="36" borderId="13" xfId="0" applyNumberFormat="1" applyFont="1" applyFill="1" applyBorder="1" applyAlignment="1">
      <alignment vertical="center"/>
    </xf>
    <xf numFmtId="193" fontId="4" fillId="0" borderId="3" xfId="0" applyNumberFormat="1" applyFont="1" applyBorder="1" applyAlignment="1"/>
    <xf numFmtId="193" fontId="4" fillId="36" borderId="25" xfId="0" applyNumberFormat="1" applyFont="1" applyFill="1" applyBorder="1"/>
    <xf numFmtId="193" fontId="4" fillId="0" borderId="21" xfId="0" applyNumberFormat="1" applyFont="1" applyBorder="1" applyAlignment="1"/>
    <xf numFmtId="193" fontId="4" fillId="0" borderId="22" xfId="0" applyNumberFormat="1" applyFont="1" applyBorder="1" applyAlignment="1"/>
    <xf numFmtId="193" fontId="4" fillId="36" borderId="56" xfId="0" applyNumberFormat="1" applyFont="1" applyFill="1" applyBorder="1" applyAlignment="1"/>
    <xf numFmtId="193" fontId="4" fillId="36" borderId="24" xfId="0" applyNumberFormat="1" applyFont="1" applyFill="1" applyBorder="1"/>
    <xf numFmtId="193" fontId="4" fillId="36" borderId="26" xfId="0" applyNumberFormat="1" applyFont="1" applyFill="1" applyBorder="1"/>
    <xf numFmtId="193" fontId="4" fillId="36" borderId="57"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5"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5" xfId="1" applyNumberFormat="1" applyFont="1" applyFill="1" applyBorder="1" applyAlignment="1" applyProtection="1">
      <protection locked="0"/>
    </xf>
    <xf numFmtId="193" fontId="9" fillId="3" borderId="25" xfId="5" applyNumberFormat="1" applyFont="1" applyFill="1" applyBorder="1" applyProtection="1">
      <protection locked="0"/>
    </xf>
    <xf numFmtId="193" fontId="24" fillId="0" borderId="0" xfId="0" applyNumberFormat="1" applyFont="1"/>
    <xf numFmtId="0" fontId="4" fillId="0" borderId="29" xfId="0" applyFont="1" applyBorder="1" applyAlignment="1">
      <alignment horizontal="center" vertical="center"/>
    </xf>
    <xf numFmtId="193" fontId="4" fillId="0" borderId="8" xfId="0" applyNumberFormat="1" applyFont="1" applyBorder="1" applyAlignment="1"/>
    <xf numFmtId="0" fontId="4" fillId="0" borderId="29" xfId="0" applyFont="1" applyBorder="1" applyAlignment="1">
      <alignment wrapText="1"/>
    </xf>
    <xf numFmtId="193" fontId="4" fillId="0" borderId="23" xfId="0" applyNumberFormat="1" applyFont="1" applyBorder="1" applyAlignment="1"/>
    <xf numFmtId="193" fontId="4" fillId="0" borderId="23" xfId="0" applyNumberFormat="1"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2" xfId="20961" applyFont="1" applyBorder="1"/>
    <xf numFmtId="9" fontId="4" fillId="36" borderId="26" xfId="20961" applyFont="1" applyFill="1" applyBorder="1"/>
    <xf numFmtId="167" fontId="6" fillId="36" borderId="25" xfId="0" applyNumberFormat="1" applyFont="1" applyFill="1" applyBorder="1" applyAlignment="1">
      <alignment horizontal="center" vertical="center"/>
    </xf>
    <xf numFmtId="0" fontId="9" fillId="0" borderId="18" xfId="0" applyFont="1" applyFill="1" applyBorder="1" applyAlignment="1">
      <alignment horizontal="right" vertical="center" wrapText="1"/>
    </xf>
    <xf numFmtId="0" fontId="7" fillId="0" borderId="19" xfId="0" applyFont="1" applyFill="1" applyBorder="1" applyAlignment="1">
      <alignment vertical="center" wrapText="1"/>
    </xf>
    <xf numFmtId="169" fontId="27" fillId="37" borderId="0" xfId="20" applyBorder="1"/>
    <xf numFmtId="169" fontId="27" fillId="37" borderId="80" xfId="20" applyBorder="1"/>
    <xf numFmtId="0" fontId="4" fillId="0" borderId="0" xfId="0" applyFont="1"/>
    <xf numFmtId="0" fontId="4" fillId="0" borderId="0" xfId="0" applyFont="1" applyFill="1"/>
    <xf numFmtId="0" fontId="4" fillId="0" borderId="7"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18" xfId="11" applyFont="1" applyFill="1" applyBorder="1" applyAlignment="1" applyProtection="1">
      <alignment vertical="center"/>
    </xf>
    <xf numFmtId="0" fontId="7" fillId="0" borderId="19" xfId="11" applyFont="1" applyFill="1" applyBorder="1" applyAlignment="1" applyProtection="1">
      <alignment vertical="center"/>
    </xf>
    <xf numFmtId="0" fontId="14" fillId="0" borderId="20" xfId="11" applyFont="1" applyFill="1" applyBorder="1" applyAlignment="1" applyProtection="1">
      <alignment horizontal="center" vertical="center"/>
    </xf>
    <xf numFmtId="0" fontId="0" fillId="0" borderId="104" xfId="0" applyBorder="1"/>
    <xf numFmtId="0" fontId="0" fillId="0" borderId="104" xfId="0" applyBorder="1" applyAlignment="1">
      <alignment horizontal="center"/>
    </xf>
    <xf numFmtId="0" fontId="4" fillId="0" borderId="86" xfId="0" applyFont="1" applyBorder="1" applyAlignment="1">
      <alignment vertical="center" wrapText="1"/>
    </xf>
    <xf numFmtId="167" fontId="4" fillId="0" borderId="87" xfId="0" applyNumberFormat="1" applyFont="1" applyBorder="1" applyAlignment="1">
      <alignment horizontal="center" vertical="center"/>
    </xf>
    <xf numFmtId="167" fontId="4" fillId="0" borderId="102" xfId="0" applyNumberFormat="1" applyFont="1" applyBorder="1" applyAlignment="1">
      <alignment horizontal="center" vertical="center"/>
    </xf>
    <xf numFmtId="167" fontId="13" fillId="0" borderId="87" xfId="0" applyNumberFormat="1" applyFont="1" applyBorder="1" applyAlignment="1">
      <alignment horizontal="center" vertical="center"/>
    </xf>
    <xf numFmtId="0" fontId="13" fillId="0" borderId="86" xfId="0" applyFont="1" applyBorder="1" applyAlignment="1">
      <alignment vertical="center" wrapText="1"/>
    </xf>
    <xf numFmtId="0" fontId="0" fillId="0" borderId="24" xfId="0" applyBorder="1"/>
    <xf numFmtId="0" fontId="6" fillId="36" borderId="105" xfId="0" applyFont="1" applyFill="1" applyBorder="1" applyAlignment="1">
      <alignment vertical="center" wrapText="1"/>
    </xf>
    <xf numFmtId="167" fontId="6" fillId="36" borderId="26" xfId="0" applyNumberFormat="1" applyFont="1" applyFill="1" applyBorder="1" applyAlignment="1">
      <alignment horizontal="center" vertical="center"/>
    </xf>
    <xf numFmtId="193" fontId="0" fillId="0" borderId="22" xfId="0" applyNumberFormat="1" applyFill="1" applyBorder="1" applyAlignment="1">
      <alignment wrapText="1"/>
    </xf>
    <xf numFmtId="0" fontId="7" fillId="0" borderId="0" xfId="0" applyFont="1" applyFill="1" applyAlignment="1">
      <alignment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104"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2" xfId="0" applyFont="1" applyFill="1" applyBorder="1" applyAlignment="1">
      <alignment horizontal="left" vertical="center" wrapText="1"/>
    </xf>
    <xf numFmtId="0" fontId="4" fillId="0" borderId="104" xfId="0" applyFont="1" applyFill="1" applyBorder="1" applyAlignment="1">
      <alignment horizontal="right" vertical="center" wrapText="1"/>
    </xf>
    <xf numFmtId="0" fontId="4" fillId="0" borderId="87" xfId="0" applyFont="1" applyFill="1" applyBorder="1" applyAlignment="1">
      <alignment horizontal="left" vertical="center" wrapText="1"/>
    </xf>
    <xf numFmtId="0" fontId="107" fillId="0" borderId="104" xfId="0" applyFont="1" applyFill="1" applyBorder="1" applyAlignment="1">
      <alignment horizontal="right" vertical="center" wrapText="1"/>
    </xf>
    <xf numFmtId="0" fontId="107" fillId="0" borderId="87" xfId="0" applyFont="1" applyFill="1" applyBorder="1" applyAlignment="1">
      <alignment horizontal="left" vertical="center" wrapText="1"/>
    </xf>
    <xf numFmtId="0" fontId="6" fillId="0" borderId="104"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7" fillId="0" borderId="0" xfId="0" applyFont="1" applyFill="1" applyAlignment="1">
      <alignment horizontal="left" vertical="center"/>
    </xf>
    <xf numFmtId="49" fontId="108" fillId="0" borderId="24" xfId="5" applyNumberFormat="1" applyFont="1" applyFill="1" applyBorder="1" applyAlignment="1" applyProtection="1">
      <alignment horizontal="left" vertical="center"/>
      <protection locked="0"/>
    </xf>
    <xf numFmtId="0" fontId="109" fillId="0" borderId="25" xfId="9" applyFont="1" applyFill="1" applyBorder="1" applyAlignment="1" applyProtection="1">
      <alignment horizontal="left" vertical="center" wrapText="1"/>
      <protection locked="0"/>
    </xf>
    <xf numFmtId="0" fontId="21" fillId="0" borderId="104" xfId="0" applyFont="1" applyBorder="1" applyAlignment="1">
      <alignment horizontal="center" vertical="center" wrapText="1"/>
    </xf>
    <xf numFmtId="3" fontId="22" fillId="36" borderId="87" xfId="0" applyNumberFormat="1" applyFont="1" applyFill="1" applyBorder="1" applyAlignment="1">
      <alignment vertical="center" wrapText="1"/>
    </xf>
    <xf numFmtId="3" fontId="22" fillId="36" borderId="102"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2"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3" fontId="22" fillId="0" borderId="87" xfId="0" applyNumberFormat="1" applyFont="1" applyFill="1" applyBorder="1" applyAlignment="1">
      <alignment vertical="center" wrapText="1"/>
    </xf>
    <xf numFmtId="0" fontId="11" fillId="0" borderId="87" xfId="17" applyFill="1" applyBorder="1" applyAlignment="1" applyProtection="1"/>
    <xf numFmtId="49" fontId="107" fillId="0" borderId="104" xfId="0" applyNumberFormat="1" applyFont="1" applyFill="1" applyBorder="1" applyAlignment="1">
      <alignment horizontal="right" vertical="center" wrapText="1"/>
    </xf>
    <xf numFmtId="0" fontId="7" fillId="3" borderId="87" xfId="20960" applyFont="1" applyFill="1" applyBorder="1" applyAlignment="1" applyProtection="1"/>
    <xf numFmtId="0" fontId="104" fillId="0" borderId="87" xfId="20960" applyFont="1" applyFill="1" applyBorder="1" applyAlignment="1" applyProtection="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7" fillId="0" borderId="87" xfId="0" applyNumberFormat="1" applyFont="1" applyFill="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4" fillId="0" borderId="87" xfId="0" applyFont="1" applyFill="1" applyBorder="1"/>
    <xf numFmtId="0" fontId="21" fillId="0" borderId="104" xfId="0"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7"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09" fillId="0" borderId="25" xfId="20961" applyNumberFormat="1" applyFont="1" applyFill="1" applyBorder="1" applyAlignment="1" applyProtection="1">
      <alignment horizontal="left" vertical="center"/>
    </xf>
    <xf numFmtId="43" fontId="7" fillId="0" borderId="0" xfId="7" applyFont="1"/>
    <xf numFmtId="0" fontId="10" fillId="0" borderId="29" xfId="0" applyFont="1" applyBorder="1" applyAlignment="1">
      <alignment horizontal="center" wrapText="1"/>
    </xf>
    <xf numFmtId="0" fontId="9" fillId="0" borderId="104" xfId="0" applyFont="1" applyBorder="1" applyAlignment="1">
      <alignment horizontal="right" vertical="center" wrapText="1"/>
    </xf>
    <xf numFmtId="0" fontId="9" fillId="0" borderId="104" xfId="0" applyFont="1" applyFill="1" applyBorder="1" applyAlignment="1">
      <alignment horizontal="right" vertical="center" wrapText="1"/>
    </xf>
    <xf numFmtId="0" fontId="7" fillId="0" borderId="87" xfId="0" applyFont="1" applyFill="1" applyBorder="1" applyAlignment="1">
      <alignment vertical="center" wrapText="1"/>
    </xf>
    <xf numFmtId="0" fontId="4" fillId="0" borderId="87" xfId="0" applyFont="1" applyBorder="1" applyAlignment="1">
      <alignment vertical="center" wrapText="1"/>
    </xf>
    <xf numFmtId="0" fontId="4" fillId="0" borderId="87" xfId="0" applyFont="1" applyFill="1" applyBorder="1" applyAlignment="1">
      <alignment horizontal="left" vertical="center" wrapText="1" indent="2"/>
    </xf>
    <xf numFmtId="0" fontId="4" fillId="0" borderId="87" xfId="0" applyFont="1" applyFill="1" applyBorder="1" applyAlignment="1">
      <alignment vertical="center" wrapText="1"/>
    </xf>
    <xf numFmtId="3" fontId="22" fillId="36" borderId="88" xfId="0" applyNumberFormat="1" applyFont="1" applyFill="1" applyBorder="1" applyAlignment="1">
      <alignment vertical="center" wrapText="1"/>
    </xf>
    <xf numFmtId="3" fontId="22" fillId="36" borderId="23" xfId="0" applyNumberFormat="1" applyFont="1" applyFill="1" applyBorder="1" applyAlignment="1">
      <alignment vertical="center" wrapText="1"/>
    </xf>
    <xf numFmtId="3" fontId="22" fillId="0" borderId="88" xfId="0" applyNumberFormat="1" applyFont="1" applyBorder="1" applyAlignment="1">
      <alignment vertical="center" wrapText="1"/>
    </xf>
    <xf numFmtId="3" fontId="22" fillId="0" borderId="23" xfId="0" applyNumberFormat="1" applyFont="1" applyBorder="1" applyAlignment="1">
      <alignment vertical="center" wrapText="1"/>
    </xf>
    <xf numFmtId="3" fontId="22" fillId="0" borderId="23" xfId="0" applyNumberFormat="1" applyFont="1" applyFill="1" applyBorder="1" applyAlignment="1">
      <alignment vertical="center" wrapText="1"/>
    </xf>
    <xf numFmtId="3" fontId="22" fillId="36" borderId="27" xfId="0" applyNumberFormat="1" applyFont="1" applyFill="1" applyBorder="1" applyAlignment="1">
      <alignment vertical="center" wrapText="1"/>
    </xf>
    <xf numFmtId="3" fontId="22" fillId="36" borderId="42" xfId="0" applyNumberFormat="1" applyFont="1" applyFill="1" applyBorder="1" applyAlignment="1">
      <alignment vertical="center" wrapText="1"/>
    </xf>
    <xf numFmtId="0" fontId="6" fillId="0" borderId="25" xfId="0" applyFont="1" applyBorder="1" applyAlignment="1">
      <alignment vertical="center" wrapText="1"/>
    </xf>
    <xf numFmtId="0" fontId="9" fillId="0" borderId="102" xfId="0" applyFont="1" applyBorder="1" applyAlignment="1"/>
    <xf numFmtId="0" fontId="9" fillId="0" borderId="102" xfId="0" applyFont="1" applyBorder="1" applyAlignment="1">
      <alignment wrapText="1"/>
    </xf>
    <xf numFmtId="0" fontId="10" fillId="0" borderId="20" xfId="0" applyFont="1" applyBorder="1" applyAlignment="1">
      <alignment horizontal="center"/>
    </xf>
    <xf numFmtId="0" fontId="10" fillId="0" borderId="102" xfId="0" applyFont="1" applyBorder="1" applyAlignment="1">
      <alignment horizontal="center" vertical="center" wrapText="1"/>
    </xf>
    <xf numFmtId="0" fontId="2" fillId="0" borderId="19" xfId="0" applyNumberFormat="1" applyFont="1" applyFill="1" applyBorder="1" applyAlignment="1">
      <alignment horizontal="left" vertical="center" wrapText="1" indent="1"/>
    </xf>
    <xf numFmtId="0" fontId="9" fillId="0" borderId="104" xfId="0" applyFont="1" applyFill="1" applyBorder="1" applyAlignment="1">
      <alignment horizontal="center" vertical="center" wrapText="1"/>
    </xf>
    <xf numFmtId="0" fontId="14" fillId="0" borderId="87" xfId="0" applyFont="1" applyFill="1" applyBorder="1" applyAlignment="1">
      <alignment horizontal="center" vertical="center" wrapText="1"/>
    </xf>
    <xf numFmtId="0" fontId="15" fillId="0" borderId="87" xfId="0" applyFont="1" applyFill="1" applyBorder="1" applyAlignment="1">
      <alignment horizontal="left" vertical="center" wrapText="1"/>
    </xf>
    <xf numFmtId="193" fontId="7" fillId="0" borderId="87" xfId="0" applyNumberFormat="1" applyFont="1" applyFill="1" applyBorder="1" applyAlignment="1" applyProtection="1">
      <alignment vertical="center" wrapText="1"/>
      <protection locked="0"/>
    </xf>
    <xf numFmtId="193" fontId="4" fillId="0" borderId="87" xfId="0" applyNumberFormat="1" applyFont="1" applyFill="1" applyBorder="1" applyAlignment="1" applyProtection="1">
      <alignment vertical="center" wrapText="1"/>
      <protection locked="0"/>
    </xf>
    <xf numFmtId="193" fontId="4" fillId="0" borderId="102" xfId="0" applyNumberFormat="1" applyFont="1" applyFill="1" applyBorder="1" applyAlignment="1" applyProtection="1">
      <alignment vertical="center" wrapText="1"/>
      <protection locked="0"/>
    </xf>
    <xf numFmtId="193" fontId="7" fillId="0" borderId="87" xfId="0" applyNumberFormat="1" applyFont="1" applyFill="1" applyBorder="1" applyAlignment="1" applyProtection="1">
      <alignment horizontal="right" vertical="center" wrapText="1"/>
      <protection locked="0"/>
    </xf>
    <xf numFmtId="0" fontId="9" fillId="2" borderId="104" xfId="0" applyFont="1" applyFill="1" applyBorder="1" applyAlignment="1">
      <alignment horizontal="right" vertical="center"/>
    </xf>
    <xf numFmtId="0" fontId="9" fillId="2" borderId="87" xfId="0" applyFont="1" applyFill="1" applyBorder="1" applyAlignment="1">
      <alignment vertical="center"/>
    </xf>
    <xf numFmtId="193" fontId="9" fillId="2" borderId="87" xfId="0" applyNumberFormat="1" applyFont="1" applyFill="1" applyBorder="1" applyAlignment="1" applyProtection="1">
      <alignment vertical="center"/>
      <protection locked="0"/>
    </xf>
    <xf numFmtId="193" fontId="16" fillId="2" borderId="87" xfId="0" applyNumberFormat="1" applyFont="1" applyFill="1" applyBorder="1" applyAlignment="1" applyProtection="1">
      <alignment vertical="center"/>
      <protection locked="0"/>
    </xf>
    <xf numFmtId="193" fontId="16" fillId="2" borderId="102" xfId="0" applyNumberFormat="1" applyFont="1" applyFill="1" applyBorder="1" applyAlignment="1" applyProtection="1">
      <alignment vertical="center"/>
      <protection locked="0"/>
    </xf>
    <xf numFmtId="193" fontId="9" fillId="2" borderId="102" xfId="0" applyNumberFormat="1" applyFont="1" applyFill="1" applyBorder="1" applyAlignment="1" applyProtection="1">
      <alignment vertical="center"/>
      <protection locked="0"/>
    </xf>
    <xf numFmtId="0" fontId="14" fillId="0" borderId="104" xfId="0" applyFont="1" applyFill="1" applyBorder="1" applyAlignment="1">
      <alignment horizontal="center" vertical="center" wrapText="1"/>
    </xf>
    <xf numFmtId="10" fontId="4" fillId="0" borderId="87" xfId="20961" applyNumberFormat="1" applyFont="1" applyFill="1" applyBorder="1" applyAlignment="1" applyProtection="1">
      <alignment horizontal="right" vertical="center" wrapText="1"/>
      <protection locked="0"/>
    </xf>
    <xf numFmtId="10" fontId="4" fillId="0" borderId="87" xfId="20961" applyNumberFormat="1" applyFont="1" applyBorder="1" applyAlignment="1" applyProtection="1">
      <alignment vertical="center" wrapText="1"/>
      <protection locked="0"/>
    </xf>
    <xf numFmtId="10" fontId="4" fillId="0" borderId="102" xfId="20961" applyNumberFormat="1" applyFont="1" applyBorder="1" applyAlignment="1" applyProtection="1">
      <alignment vertical="center" wrapText="1"/>
      <protection locked="0"/>
    </xf>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3" fontId="9" fillId="2" borderId="82" xfId="0" applyNumberFormat="1" applyFont="1" applyFill="1" applyBorder="1" applyAlignment="1" applyProtection="1">
      <alignment vertical="center"/>
      <protection locked="0"/>
    </xf>
    <xf numFmtId="193" fontId="16" fillId="2" borderId="82" xfId="0" applyNumberFormat="1" applyFont="1" applyFill="1" applyBorder="1" applyAlignment="1" applyProtection="1">
      <alignment vertical="center"/>
      <protection locked="0"/>
    </xf>
    <xf numFmtId="193" fontId="16" fillId="2" borderId="96" xfId="0" applyNumberFormat="1" applyFont="1" applyFill="1" applyBorder="1" applyAlignment="1" applyProtection="1">
      <alignment vertical="center"/>
      <protection locked="0"/>
    </xf>
    <xf numFmtId="0" fontId="9" fillId="0" borderId="87" xfId="0" applyFont="1" applyFill="1" applyBorder="1" applyAlignment="1">
      <alignment horizontal="left" vertical="center" wrapText="1"/>
    </xf>
    <xf numFmtId="0" fontId="10" fillId="0" borderId="8" xfId="0" applyFont="1" applyBorder="1" applyAlignment="1">
      <alignment horizontal="center" vertical="center" wrapText="1"/>
    </xf>
    <xf numFmtId="10" fontId="9" fillId="2" borderId="87" xfId="20961" applyNumberFormat="1" applyFont="1" applyFill="1" applyBorder="1" applyAlignment="1" applyProtection="1">
      <alignment vertical="center"/>
      <protection locked="0"/>
    </xf>
    <xf numFmtId="10" fontId="16" fillId="2" borderId="87" xfId="20961" applyNumberFormat="1" applyFont="1" applyFill="1" applyBorder="1" applyAlignment="1" applyProtection="1">
      <alignment vertical="center"/>
      <protection locked="0"/>
    </xf>
    <xf numFmtId="10" fontId="16" fillId="2" borderId="102" xfId="20961" applyNumberFormat="1" applyFont="1" applyFill="1" applyBorder="1" applyAlignment="1" applyProtection="1">
      <alignment vertical="center"/>
      <protection locked="0"/>
    </xf>
    <xf numFmtId="10" fontId="9" fillId="2" borderId="102" xfId="20961" applyNumberFormat="1" applyFont="1" applyFill="1" applyBorder="1" applyAlignment="1" applyProtection="1">
      <alignment vertical="center"/>
      <protection locked="0"/>
    </xf>
    <xf numFmtId="10" fontId="9" fillId="2" borderId="25" xfId="20961" applyNumberFormat="1" applyFont="1" applyFill="1" applyBorder="1" applyAlignment="1" applyProtection="1">
      <alignment vertical="center"/>
      <protection locked="0"/>
    </xf>
    <xf numFmtId="10" fontId="16" fillId="2" borderId="25" xfId="20961" applyNumberFormat="1" applyFont="1" applyFill="1" applyBorder="1" applyAlignment="1" applyProtection="1">
      <alignment vertical="center"/>
      <protection locked="0"/>
    </xf>
    <xf numFmtId="10" fontId="16" fillId="2" borderId="26" xfId="20961" applyNumberFormat="1" applyFont="1" applyFill="1" applyBorder="1" applyAlignment="1" applyProtection="1">
      <alignment vertical="center"/>
      <protection locked="0"/>
    </xf>
    <xf numFmtId="164" fontId="4" fillId="0" borderId="87" xfId="7" applyNumberFormat="1" applyFont="1" applyFill="1" applyBorder="1" applyAlignment="1" applyProtection="1">
      <alignment horizontal="right" vertical="center" wrapText="1"/>
      <protection locked="0"/>
    </xf>
    <xf numFmtId="164" fontId="4" fillId="0" borderId="87" xfId="7" applyNumberFormat="1" applyFont="1" applyBorder="1" applyAlignment="1" applyProtection="1">
      <alignment vertical="center" wrapText="1"/>
      <protection locked="0"/>
    </xf>
    <xf numFmtId="164" fontId="4" fillId="0" borderId="102" xfId="7" applyNumberFormat="1" applyFont="1" applyBorder="1" applyAlignment="1" applyProtection="1">
      <alignment vertical="center" wrapText="1"/>
      <protection locked="0"/>
    </xf>
    <xf numFmtId="193" fontId="0" fillId="0" borderId="0" xfId="0" applyNumberFormat="1" applyFill="1"/>
    <xf numFmtId="3" fontId="4" fillId="0" borderId="0" xfId="0" applyNumberFormat="1" applyFont="1"/>
    <xf numFmtId="0" fontId="103" fillId="0" borderId="0" xfId="0" applyFont="1"/>
    <xf numFmtId="0" fontId="24" fillId="0" borderId="102" xfId="0" applyFont="1" applyBorder="1" applyAlignment="1"/>
    <xf numFmtId="0" fontId="103" fillId="0" borderId="0" xfId="0" applyFont="1" applyAlignment="1">
      <alignment wrapText="1"/>
    </xf>
    <xf numFmtId="9" fontId="24" fillId="0" borderId="23" xfId="0" applyNumberFormat="1" applyFont="1" applyBorder="1" applyAlignment="1"/>
    <xf numFmtId="0" fontId="24" fillId="0" borderId="23" xfId="0" applyFont="1" applyBorder="1" applyAlignment="1"/>
    <xf numFmtId="0" fontId="9" fillId="0" borderId="27" xfId="0" applyFont="1" applyBorder="1" applyAlignment="1">
      <alignment wrapText="1"/>
    </xf>
    <xf numFmtId="0" fontId="24" fillId="0" borderId="26" xfId="0" applyFont="1" applyBorder="1" applyAlignment="1"/>
    <xf numFmtId="164" fontId="4" fillId="0" borderId="22" xfId="7" applyNumberFormat="1" applyFont="1" applyBorder="1" applyAlignment="1"/>
    <xf numFmtId="164" fontId="4" fillId="36" borderId="26" xfId="7" applyNumberFormat="1" applyFont="1" applyFill="1" applyBorder="1"/>
    <xf numFmtId="193" fontId="24" fillId="0" borderId="87" xfId="7" applyNumberFormat="1" applyFont="1" applyFill="1" applyBorder="1" applyAlignment="1" applyProtection="1">
      <alignment horizontal="right"/>
    </xf>
    <xf numFmtId="193" fontId="24" fillId="36" borderId="87" xfId="7" applyNumberFormat="1" applyFont="1" applyFill="1" applyBorder="1" applyAlignment="1" applyProtection="1">
      <alignment horizontal="right"/>
    </xf>
    <xf numFmtId="193" fontId="24" fillId="36" borderId="102" xfId="7" applyNumberFormat="1" applyFont="1" applyFill="1" applyBorder="1" applyAlignment="1" applyProtection="1">
      <alignment horizontal="right"/>
    </xf>
    <xf numFmtId="193" fontId="24" fillId="36" borderId="87" xfId="7" applyNumberFormat="1" applyFont="1" applyFill="1" applyBorder="1" applyAlignment="1" applyProtection="1"/>
    <xf numFmtId="193" fontId="24" fillId="36" borderId="102" xfId="7" applyNumberFormat="1" applyFont="1" applyFill="1" applyBorder="1" applyAlignment="1" applyProtection="1"/>
    <xf numFmtId="193" fontId="24" fillId="36" borderId="87" xfId="0" applyNumberFormat="1" applyFont="1" applyFill="1" applyBorder="1" applyAlignment="1">
      <alignment horizontal="right"/>
    </xf>
    <xf numFmtId="193" fontId="24" fillId="0" borderId="87" xfId="0" applyNumberFormat="1" applyFont="1" applyBorder="1" applyAlignment="1" applyProtection="1">
      <alignment horizontal="right"/>
      <protection locked="0"/>
    </xf>
    <xf numFmtId="193" fontId="24" fillId="0" borderId="102" xfId="0" applyNumberFormat="1" applyFont="1" applyBorder="1" applyAlignment="1" applyProtection="1">
      <alignment horizontal="right"/>
      <protection locked="0"/>
    </xf>
    <xf numFmtId="193" fontId="24" fillId="36" borderId="25" xfId="0" applyNumberFormat="1" applyFont="1" applyFill="1" applyBorder="1" applyAlignment="1">
      <alignment horizontal="right"/>
    </xf>
    <xf numFmtId="193" fontId="24" fillId="36" borderId="25" xfId="7" applyNumberFormat="1" applyFont="1" applyFill="1" applyBorder="1" applyAlignment="1" applyProtection="1">
      <alignment horizontal="right"/>
    </xf>
    <xf numFmtId="193" fontId="24" fillId="36" borderId="26" xfId="7" applyNumberFormat="1" applyFont="1" applyFill="1" applyBorder="1" applyAlignment="1" applyProtection="1">
      <alignment horizontal="right"/>
    </xf>
    <xf numFmtId="14" fontId="4" fillId="0" borderId="0" xfId="0" applyNumberFormat="1" applyFont="1" applyAlignment="1">
      <alignment horizontal="left"/>
    </xf>
    <xf numFmtId="14" fontId="7" fillId="0" borderId="0" xfId="0" applyNumberFormat="1" applyFont="1" applyAlignment="1">
      <alignment horizontal="left"/>
    </xf>
    <xf numFmtId="14" fontId="24" fillId="0" borderId="0" xfId="0" applyNumberFormat="1" applyFont="1" applyAlignment="1">
      <alignment horizontal="left"/>
    </xf>
    <xf numFmtId="164" fontId="4" fillId="0" borderId="3" xfId="7" applyNumberFormat="1" applyFont="1" applyBorder="1"/>
    <xf numFmtId="164" fontId="4" fillId="0" borderId="3" xfId="7" applyNumberFormat="1" applyFont="1" applyFill="1" applyBorder="1"/>
    <xf numFmtId="164" fontId="4" fillId="0" borderId="8" xfId="7" applyNumberFormat="1" applyFont="1" applyBorder="1"/>
    <xf numFmtId="164" fontId="4" fillId="0" borderId="8" xfId="7" applyNumberFormat="1" applyFont="1" applyFill="1" applyBorder="1"/>
    <xf numFmtId="164" fontId="4" fillId="0" borderId="102" xfId="7" applyNumberFormat="1" applyFont="1" applyFill="1" applyBorder="1" applyAlignment="1">
      <alignment horizontal="right" vertical="center" wrapText="1"/>
    </xf>
    <xf numFmtId="164" fontId="6" fillId="36" borderId="102" xfId="7" applyNumberFormat="1" applyFont="1" applyFill="1" applyBorder="1" applyAlignment="1">
      <alignment horizontal="right" vertical="center" wrapText="1"/>
    </xf>
    <xf numFmtId="164" fontId="107" fillId="0" borderId="102" xfId="7" applyNumberFormat="1" applyFont="1" applyFill="1" applyBorder="1" applyAlignment="1">
      <alignment horizontal="right" vertical="center" wrapText="1"/>
    </xf>
    <xf numFmtId="164" fontId="6" fillId="36" borderId="102" xfId="7" applyNumberFormat="1" applyFont="1" applyFill="1" applyBorder="1" applyAlignment="1">
      <alignment horizontal="center" vertical="center" wrapText="1"/>
    </xf>
    <xf numFmtId="164" fontId="7" fillId="0" borderId="26" xfId="7" applyNumberFormat="1" applyFont="1" applyFill="1" applyBorder="1" applyAlignment="1" applyProtection="1">
      <alignment horizontal="right" vertical="center"/>
    </xf>
    <xf numFmtId="164" fontId="4" fillId="0" borderId="0" xfId="0" applyNumberFormat="1" applyFont="1" applyFill="1" applyAlignment="1">
      <alignment horizontal="left" vertical="center"/>
    </xf>
    <xf numFmtId="193" fontId="0" fillId="0" borderId="0" xfId="0" applyNumberFormat="1"/>
    <xf numFmtId="193" fontId="4" fillId="0" borderId="0" xfId="0" applyNumberFormat="1" applyFont="1"/>
    <xf numFmtId="193" fontId="12" fillId="0" borderId="0" xfId="0" applyNumberFormat="1" applyFont="1"/>
    <xf numFmtId="3" fontId="12" fillId="0" borderId="0" xfId="0" applyNumberFormat="1" applyFont="1"/>
    <xf numFmtId="0" fontId="10" fillId="77" borderId="88" xfId="21412" applyFont="1" applyFill="1" applyBorder="1" applyAlignment="1" applyProtection="1">
      <alignment vertical="center" wrapText="1"/>
      <protection locked="0"/>
    </xf>
    <xf numFmtId="0" fontId="10" fillId="77" borderId="86" xfId="21412" applyFont="1" applyFill="1" applyBorder="1" applyAlignment="1" applyProtection="1">
      <alignment vertical="center"/>
      <protection locked="0"/>
    </xf>
    <xf numFmtId="0" fontId="9" fillId="70" borderId="82" xfId="21412" applyFont="1" applyFill="1" applyBorder="1" applyAlignment="1" applyProtection="1">
      <alignment horizontal="center" vertical="center"/>
      <protection locked="0"/>
    </xf>
    <xf numFmtId="0" fontId="9" fillId="0" borderId="86" xfId="21412" applyFont="1" applyFill="1" applyBorder="1" applyAlignment="1" applyProtection="1">
      <alignment horizontal="left" vertical="center" wrapText="1"/>
      <protection locked="0"/>
    </xf>
    <xf numFmtId="164" fontId="9" fillId="0" borderId="87" xfId="948" applyNumberFormat="1" applyFont="1" applyFill="1" applyBorder="1" applyAlignment="1" applyProtection="1">
      <alignment horizontal="right" vertical="center"/>
      <protection locked="0"/>
    </xf>
    <xf numFmtId="0" fontId="10" fillId="78" borderId="87" xfId="21412" applyFont="1" applyFill="1" applyBorder="1" applyAlignment="1" applyProtection="1">
      <alignment horizontal="center" vertical="center"/>
      <protection locked="0"/>
    </xf>
    <xf numFmtId="0" fontId="10" fillId="78" borderId="86" xfId="21412" applyFont="1" applyFill="1" applyBorder="1" applyAlignment="1" applyProtection="1">
      <alignment vertical="top" wrapText="1"/>
      <protection locked="0"/>
    </xf>
    <xf numFmtId="164" fontId="9" fillId="78" borderId="87" xfId="948" applyNumberFormat="1" applyFont="1" applyFill="1" applyBorder="1" applyAlignment="1" applyProtection="1">
      <alignment horizontal="right" vertical="center"/>
    </xf>
    <xf numFmtId="0" fontId="10" fillId="77" borderId="88" xfId="21412" applyFont="1" applyFill="1" applyBorder="1" applyAlignment="1" applyProtection="1">
      <alignment vertical="center"/>
      <protection locked="0"/>
    </xf>
    <xf numFmtId="164" fontId="10" fillId="77" borderId="86" xfId="948" applyNumberFormat="1" applyFont="1" applyFill="1" applyBorder="1" applyAlignment="1" applyProtection="1">
      <alignment horizontal="right" vertical="center"/>
      <protection locked="0"/>
    </xf>
    <xf numFmtId="0" fontId="9" fillId="70" borderId="86" xfId="21412" applyFont="1" applyFill="1" applyBorder="1" applyAlignment="1" applyProtection="1">
      <alignment vertical="center" wrapText="1"/>
      <protection locked="0"/>
    </xf>
    <xf numFmtId="0" fontId="9" fillId="70" borderId="86" xfId="21412" applyFont="1" applyFill="1" applyBorder="1" applyAlignment="1" applyProtection="1">
      <alignment horizontal="left" vertical="center" wrapText="1"/>
      <protection locked="0"/>
    </xf>
    <xf numFmtId="0" fontId="9" fillId="3" borderId="82" xfId="21412" applyFont="1" applyFill="1" applyBorder="1" applyAlignment="1" applyProtection="1">
      <alignment horizontal="center" vertical="center"/>
      <protection locked="0"/>
    </xf>
    <xf numFmtId="0" fontId="9" fillId="0" borderId="86" xfId="21412" applyFont="1" applyFill="1" applyBorder="1" applyAlignment="1" applyProtection="1">
      <alignment vertical="center" wrapText="1"/>
      <protection locked="0"/>
    </xf>
    <xf numFmtId="0" fontId="9" fillId="3" borderId="86" xfId="21412" applyFont="1" applyFill="1" applyBorder="1" applyAlignment="1" applyProtection="1">
      <alignment horizontal="left" vertical="center" wrapText="1"/>
      <protection locked="0"/>
    </xf>
    <xf numFmtId="0" fontId="9" fillId="0" borderId="82" xfId="21412" applyFont="1" applyFill="1" applyBorder="1" applyAlignment="1" applyProtection="1">
      <alignment horizontal="center" vertical="center"/>
      <protection locked="0"/>
    </xf>
    <xf numFmtId="0" fontId="10" fillId="78" borderId="86" xfId="21412" applyFont="1" applyFill="1" applyBorder="1" applyAlignment="1" applyProtection="1">
      <alignment vertical="center" wrapText="1"/>
      <protection locked="0"/>
    </xf>
    <xf numFmtId="0" fontId="10" fillId="77" borderId="88" xfId="21412" applyFont="1" applyFill="1" applyBorder="1" applyAlignment="1" applyProtection="1">
      <alignment horizontal="center" vertical="center"/>
      <protection locked="0"/>
    </xf>
    <xf numFmtId="164" fontId="9" fillId="3" borderId="87" xfId="948" applyNumberFormat="1" applyFont="1" applyFill="1" applyBorder="1" applyAlignment="1" applyProtection="1">
      <alignment horizontal="right" vertical="center"/>
      <protection locked="0"/>
    </xf>
    <xf numFmtId="164" fontId="9" fillId="78" borderId="87" xfId="7" applyNumberFormat="1" applyFont="1" applyFill="1" applyBorder="1" applyAlignment="1" applyProtection="1">
      <alignment horizontal="right" vertical="center"/>
      <protection locked="0"/>
    </xf>
    <xf numFmtId="10" fontId="9" fillId="78" borderId="87" xfId="20961" applyNumberFormat="1" applyFont="1" applyFill="1" applyBorder="1" applyAlignment="1" applyProtection="1">
      <alignment horizontal="right" vertical="center"/>
    </xf>
    <xf numFmtId="0" fontId="9" fillId="70" borderId="87" xfId="21412" applyFont="1" applyFill="1" applyBorder="1" applyAlignment="1" applyProtection="1">
      <alignment horizontal="center" vertical="center"/>
      <protection locked="0"/>
    </xf>
    <xf numFmtId="0" fontId="24" fillId="0" borderId="0" xfId="0" applyFont="1" applyAlignment="1">
      <alignment wrapText="1"/>
    </xf>
    <xf numFmtId="0" fontId="24" fillId="0" borderId="0" xfId="0" applyFont="1" applyFill="1"/>
    <xf numFmtId="0" fontId="110" fillId="0" borderId="0" xfId="0" applyFont="1"/>
    <xf numFmtId="0" fontId="24" fillId="0" borderId="59" xfId="0" applyFont="1" applyBorder="1" applyAlignment="1">
      <alignment horizontal="center"/>
    </xf>
    <xf numFmtId="0" fontId="24" fillId="0" borderId="60" xfId="0" applyFont="1" applyBorder="1" applyAlignment="1">
      <alignment horizontal="center"/>
    </xf>
    <xf numFmtId="0" fontId="24" fillId="0" borderId="19" xfId="0" applyFont="1" applyBorder="1" applyAlignment="1">
      <alignment horizontal="center"/>
    </xf>
    <xf numFmtId="0" fontId="24" fillId="0" borderId="20" xfId="0" applyFont="1" applyBorder="1" applyAlignment="1">
      <alignment horizontal="center"/>
    </xf>
    <xf numFmtId="0" fontId="110" fillId="0" borderId="0" xfId="0" applyFont="1" applyAlignment="1">
      <alignment horizontal="center"/>
    </xf>
    <xf numFmtId="0" fontId="23" fillId="0" borderId="0" xfId="0" applyFont="1" applyFill="1" applyAlignment="1">
      <alignment horizontal="center"/>
    </xf>
    <xf numFmtId="0" fontId="18" fillId="3" borderId="100" xfId="0" applyFont="1" applyFill="1" applyBorder="1" applyAlignment="1">
      <alignment horizontal="left"/>
    </xf>
    <xf numFmtId="0" fontId="18" fillId="3" borderId="101" xfId="0" applyFont="1" applyFill="1" applyBorder="1" applyAlignment="1">
      <alignment horizontal="left"/>
    </xf>
    <xf numFmtId="0" fontId="24" fillId="0" borderId="87" xfId="0" applyFont="1" applyFill="1" applyBorder="1" applyAlignment="1">
      <alignment horizontal="center" vertical="center" wrapText="1"/>
    </xf>
    <xf numFmtId="0" fontId="24" fillId="0" borderId="102" xfId="0" applyFont="1" applyFill="1" applyBorder="1" applyAlignment="1">
      <alignment horizontal="center" vertical="center" wrapText="1"/>
    </xf>
    <xf numFmtId="0" fontId="23" fillId="3" borderId="103" xfId="0" applyFont="1" applyFill="1" applyBorder="1" applyAlignment="1">
      <alignment vertical="center"/>
    </xf>
    <xf numFmtId="0" fontId="24" fillId="3" borderId="85" xfId="0" applyFont="1" applyFill="1" applyBorder="1" applyAlignment="1">
      <alignment vertical="center"/>
    </xf>
    <xf numFmtId="0" fontId="24" fillId="3" borderId="23" xfId="0" applyFont="1" applyFill="1" applyBorder="1" applyAlignment="1">
      <alignment vertical="center"/>
    </xf>
    <xf numFmtId="0" fontId="24" fillId="0" borderId="77" xfId="0" applyFont="1" applyFill="1" applyBorder="1" applyAlignment="1">
      <alignment horizontal="center" vertical="center"/>
    </xf>
    <xf numFmtId="0" fontId="24" fillId="0" borderId="7" xfId="0" applyFont="1" applyFill="1" applyBorder="1" applyAlignment="1">
      <alignment vertical="center"/>
    </xf>
    <xf numFmtId="169" fontId="9" fillId="37" borderId="0" xfId="20" applyFont="1" applyBorder="1"/>
    <xf numFmtId="164" fontId="24" fillId="0" borderId="58" xfId="7" applyNumberFormat="1" applyFont="1" applyFill="1" applyBorder="1" applyAlignment="1">
      <alignment vertical="center"/>
    </xf>
    <xf numFmtId="164" fontId="24" fillId="0" borderId="72" xfId="7" applyNumberFormat="1" applyFont="1" applyFill="1" applyBorder="1" applyAlignment="1">
      <alignment vertical="center"/>
    </xf>
    <xf numFmtId="0" fontId="24" fillId="0" borderId="104" xfId="0" applyFont="1" applyFill="1" applyBorder="1" applyAlignment="1">
      <alignment horizontal="center" vertical="center"/>
    </xf>
    <xf numFmtId="0" fontId="24" fillId="0" borderId="87" xfId="0" applyFont="1" applyFill="1" applyBorder="1" applyAlignment="1">
      <alignment vertical="center"/>
    </xf>
    <xf numFmtId="164" fontId="24" fillId="0" borderId="87" xfId="7" applyNumberFormat="1" applyFont="1" applyFill="1" applyBorder="1" applyAlignment="1">
      <alignment vertical="center"/>
    </xf>
    <xf numFmtId="164" fontId="24" fillId="0" borderId="88" xfId="7" applyNumberFormat="1" applyFont="1" applyFill="1" applyBorder="1" applyAlignment="1">
      <alignment vertical="center"/>
    </xf>
    <xf numFmtId="164" fontId="24" fillId="0" borderId="102" xfId="7" applyNumberFormat="1" applyFont="1" applyFill="1" applyBorder="1" applyAlignment="1">
      <alignment vertical="center"/>
    </xf>
    <xf numFmtId="0" fontId="23" fillId="0" borderId="87" xfId="0" applyFont="1" applyFill="1" applyBorder="1" applyAlignment="1">
      <alignment vertical="center"/>
    </xf>
    <xf numFmtId="164" fontId="24" fillId="3" borderId="85" xfId="7" applyNumberFormat="1" applyFont="1" applyFill="1" applyBorder="1" applyAlignment="1">
      <alignment vertical="center"/>
    </xf>
    <xf numFmtId="164" fontId="24" fillId="3" borderId="23" xfId="7" applyNumberFormat="1" applyFont="1" applyFill="1" applyBorder="1" applyAlignment="1">
      <alignment vertical="center"/>
    </xf>
    <xf numFmtId="0" fontId="24" fillId="0" borderId="24" xfId="0" applyFont="1" applyFill="1" applyBorder="1" applyAlignment="1">
      <alignment horizontal="center" vertical="center"/>
    </xf>
    <xf numFmtId="0" fontId="23" fillId="0" borderId="25" xfId="0" applyFont="1" applyFill="1" applyBorder="1" applyAlignment="1">
      <alignment vertical="center"/>
    </xf>
    <xf numFmtId="164" fontId="24" fillId="0" borderId="25" xfId="7" applyNumberFormat="1" applyFont="1" applyFill="1" applyBorder="1" applyAlignment="1">
      <alignment vertical="center"/>
    </xf>
    <xf numFmtId="164" fontId="24" fillId="0" borderId="27" xfId="7" applyNumberFormat="1" applyFont="1" applyFill="1" applyBorder="1" applyAlignment="1">
      <alignment vertical="center"/>
    </xf>
    <xf numFmtId="164" fontId="24" fillId="0" borderId="26" xfId="7" applyNumberFormat="1" applyFont="1" applyFill="1" applyBorder="1" applyAlignment="1">
      <alignment vertical="center"/>
    </xf>
    <xf numFmtId="0" fontId="24" fillId="3" borderId="71" xfId="0" applyFont="1" applyFill="1" applyBorder="1" applyAlignment="1">
      <alignment horizontal="center" vertical="center"/>
    </xf>
    <xf numFmtId="0" fontId="24" fillId="3" borderId="0" xfId="0" applyFont="1" applyFill="1" applyBorder="1" applyAlignment="1">
      <alignment vertical="center"/>
    </xf>
    <xf numFmtId="0" fontId="24" fillId="0" borderId="18" xfId="0" applyFont="1" applyFill="1" applyBorder="1" applyAlignment="1">
      <alignment horizontal="center" vertical="center"/>
    </xf>
    <xf numFmtId="0" fontId="24" fillId="0" borderId="19" xfId="0" applyFont="1" applyFill="1" applyBorder="1" applyAlignment="1">
      <alignment vertical="center"/>
    </xf>
    <xf numFmtId="169" fontId="9" fillId="37" borderId="60" xfId="20" applyFont="1" applyBorder="1"/>
    <xf numFmtId="164" fontId="24" fillId="0" borderId="29" xfId="7" applyNumberFormat="1" applyFont="1" applyFill="1" applyBorder="1" applyAlignment="1">
      <alignment vertical="center"/>
    </xf>
    <xf numFmtId="164" fontId="24" fillId="0" borderId="20" xfId="7" applyNumberFormat="1" applyFont="1" applyFill="1" applyBorder="1" applyAlignment="1">
      <alignment vertical="center"/>
    </xf>
    <xf numFmtId="0" fontId="24" fillId="0" borderId="95" xfId="0" applyFont="1" applyFill="1" applyBorder="1" applyAlignment="1">
      <alignment horizontal="center" vertical="center"/>
    </xf>
    <xf numFmtId="0" fontId="24" fillId="0" borderId="82" xfId="0" applyFont="1" applyFill="1" applyBorder="1" applyAlignment="1">
      <alignment vertical="center"/>
    </xf>
    <xf numFmtId="169" fontId="9" fillId="37" borderId="27" xfId="20" applyFont="1" applyBorder="1"/>
    <xf numFmtId="169" fontId="9" fillId="37" borderId="99" xfId="20" applyFont="1" applyBorder="1"/>
    <xf numFmtId="169" fontId="9" fillId="37" borderId="89" xfId="20" applyFont="1" applyBorder="1"/>
    <xf numFmtId="164" fontId="24" fillId="0" borderId="83" xfId="7" applyNumberFormat="1" applyFont="1" applyFill="1" applyBorder="1" applyAlignment="1">
      <alignment vertical="center"/>
    </xf>
    <xf numFmtId="164" fontId="24" fillId="0" borderId="96" xfId="7" applyNumberFormat="1" applyFont="1" applyFill="1" applyBorder="1" applyAlignment="1">
      <alignment vertical="center"/>
    </xf>
    <xf numFmtId="0" fontId="24" fillId="0" borderId="97" xfId="0" applyFont="1" applyFill="1" applyBorder="1" applyAlignment="1">
      <alignment horizontal="center" vertical="center"/>
    </xf>
    <xf numFmtId="0" fontId="24" fillId="0" borderId="84" xfId="0" applyFont="1" applyFill="1" applyBorder="1" applyAlignment="1">
      <alignment vertical="center"/>
    </xf>
    <xf numFmtId="169" fontId="9" fillId="37" borderId="33" xfId="20" applyFont="1" applyBorder="1"/>
    <xf numFmtId="10" fontId="24" fillId="0" borderId="81" xfId="20961" applyNumberFormat="1" applyFont="1" applyFill="1" applyBorder="1" applyAlignment="1">
      <alignment vertical="center"/>
    </xf>
    <xf numFmtId="10" fontId="24" fillId="0" borderId="98" xfId="20961" applyNumberFormat="1" applyFont="1" applyFill="1" applyBorder="1" applyAlignment="1">
      <alignment vertical="center"/>
    </xf>
    <xf numFmtId="0" fontId="23" fillId="77" borderId="88" xfId="21412" applyFont="1" applyFill="1" applyBorder="1" applyAlignment="1" applyProtection="1">
      <alignment vertical="center"/>
      <protection locked="0"/>
    </xf>
    <xf numFmtId="0" fontId="24" fillId="3" borderId="3" xfId="13" applyFont="1" applyFill="1" applyBorder="1" applyAlignment="1" applyProtection="1">
      <alignment vertical="center" wrapText="1"/>
      <protection locked="0"/>
    </xf>
    <xf numFmtId="0" fontId="24" fillId="0" borderId="8" xfId="0" applyFont="1" applyBorder="1" applyAlignment="1">
      <alignment wrapText="1"/>
    </xf>
    <xf numFmtId="0" fontId="24" fillId="0" borderId="10" xfId="0" applyNumberFormat="1" applyFont="1" applyFill="1" applyBorder="1" applyAlignment="1">
      <alignment horizontal="left" vertical="center" wrapText="1"/>
    </xf>
    <xf numFmtId="0" fontId="23" fillId="0" borderId="3" xfId="0" applyFont="1" applyFill="1" applyBorder="1" applyAlignment="1">
      <alignment horizontal="left"/>
    </xf>
    <xf numFmtId="0" fontId="23" fillId="0" borderId="8" xfId="0" applyFont="1" applyFill="1" applyBorder="1" applyAlignment="1" applyProtection="1"/>
    <xf numFmtId="0" fontId="23" fillId="0" borderId="87" xfId="0" applyFont="1" applyFill="1" applyBorder="1" applyAlignment="1">
      <alignment horizontal="center" vertical="center" wrapText="1"/>
    </xf>
    <xf numFmtId="0" fontId="63" fillId="0" borderId="19" xfId="0" applyNumberFormat="1" applyFont="1" applyFill="1" applyBorder="1" applyAlignment="1">
      <alignment horizontal="left" vertical="center" wrapText="1" indent="1"/>
    </xf>
    <xf numFmtId="0" fontId="63" fillId="0" borderId="20" xfId="0" applyNumberFormat="1" applyFont="1" applyFill="1" applyBorder="1" applyAlignment="1">
      <alignment horizontal="left" vertical="center" wrapText="1" indent="1"/>
    </xf>
    <xf numFmtId="0" fontId="105" fillId="0" borderId="74" xfId="0" applyFont="1" applyBorder="1" applyAlignment="1">
      <alignment horizontal="left" vertical="center" wrapText="1"/>
    </xf>
    <xf numFmtId="0" fontId="105" fillId="0" borderId="73"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19" xfId="0" applyFont="1" applyFill="1" applyBorder="1" applyAlignment="1" applyProtection="1">
      <alignment horizontal="center"/>
    </xf>
    <xf numFmtId="0" fontId="10" fillId="0" borderId="20" xfId="0" applyFont="1" applyFill="1" applyBorder="1" applyAlignment="1" applyProtection="1">
      <alignment horizontal="center"/>
    </xf>
    <xf numFmtId="0" fontId="9" fillId="0" borderId="3" xfId="0" applyFont="1" applyBorder="1" applyAlignment="1">
      <alignment wrapText="1"/>
    </xf>
    <xf numFmtId="0" fontId="24" fillId="0" borderId="22" xfId="0" applyFont="1" applyBorder="1" applyAlignment="1"/>
    <xf numFmtId="0" fontId="10" fillId="0" borderId="8" xfId="0" applyFont="1" applyBorder="1" applyAlignment="1">
      <alignment horizontal="center" vertical="center" wrapText="1"/>
    </xf>
    <xf numFmtId="0" fontId="10" fillId="0" borderId="23" xfId="0" applyFont="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xf>
    <xf numFmtId="0" fontId="4" fillId="0" borderId="23" xfId="0" applyFont="1" applyFill="1" applyBorder="1" applyAlignment="1">
      <alignment horizontal="center"/>
    </xf>
    <xf numFmtId="0" fontId="6" fillId="36" borderId="106"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2" fillId="3" borderId="75" xfId="13" applyFont="1" applyFill="1" applyBorder="1" applyAlignment="1" applyProtection="1">
      <alignment horizontal="center" vertical="center" wrapText="1"/>
      <protection locked="0"/>
    </xf>
    <xf numFmtId="0" fontId="102"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4" fillId="3" borderId="18" xfId="1" applyNumberFormat="1" applyFont="1" applyFill="1" applyBorder="1" applyAlignment="1" applyProtection="1">
      <alignment horizontal="center"/>
      <protection locked="0"/>
    </xf>
    <xf numFmtId="164" fontId="14" fillId="3" borderId="19" xfId="1" applyNumberFormat="1" applyFont="1" applyFill="1" applyBorder="1" applyAlignment="1" applyProtection="1">
      <alignment horizontal="center"/>
      <protection locked="0"/>
    </xf>
    <xf numFmtId="164" fontId="14" fillId="3" borderId="20"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4" fillId="0" borderId="78" xfId="1" applyNumberFormat="1" applyFont="1" applyFill="1" applyBorder="1" applyAlignment="1" applyProtection="1">
      <alignment horizontal="center" vertical="center" wrapText="1"/>
      <protection locked="0"/>
    </xf>
    <xf numFmtId="164" fontId="14" fillId="0" borderId="79"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24" fillId="0" borderId="67" xfId="0" applyFont="1" applyFill="1" applyBorder="1" applyAlignment="1">
      <alignment horizontal="center" vertical="center" wrapText="1"/>
    </xf>
    <xf numFmtId="0" fontId="24" fillId="0" borderId="60" xfId="0" applyFont="1" applyFill="1" applyBorder="1" applyAlignment="1">
      <alignment horizontal="center" vertical="center" wrapText="1"/>
    </xf>
    <xf numFmtId="0" fontId="24" fillId="0" borderId="94" xfId="0" applyFont="1" applyFill="1" applyBorder="1" applyAlignment="1">
      <alignment horizontal="center" vertical="center" wrapText="1"/>
    </xf>
    <xf numFmtId="0" fontId="18" fillId="0" borderId="59" xfId="0" applyFont="1" applyFill="1" applyBorder="1" applyAlignment="1">
      <alignment horizontal="left" vertical="center"/>
    </xf>
    <xf numFmtId="0" fontId="18" fillId="0" borderId="60" xfId="0" applyFont="1" applyFill="1" applyBorder="1" applyAlignment="1">
      <alignment horizontal="left" vertical="center"/>
    </xf>
    <xf numFmtId="0" fontId="4" fillId="0" borderId="18" xfId="0" applyFont="1" applyBorder="1" applyAlignment="1">
      <alignment vertical="center" wrapText="1"/>
    </xf>
    <xf numFmtId="0" fontId="6" fillId="0" borderId="19" xfId="0" applyFont="1" applyBorder="1" applyAlignment="1">
      <alignment vertical="center" wrapText="1"/>
    </xf>
    <xf numFmtId="0" fontId="2" fillId="0" borderId="20" xfId="0" applyNumberFormat="1" applyFont="1" applyFill="1" applyBorder="1" applyAlignment="1">
      <alignment horizontal="left" vertical="center" wrapText="1" indent="1"/>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4">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1"/>
  <sheetViews>
    <sheetView tabSelected="1" zoomScale="85" zoomScaleNormal="85" workbookViewId="0">
      <pane xSplit="1" ySplit="7" topLeftCell="B8" activePane="bottomRight" state="frozen"/>
      <selection activeCell="B21" sqref="B21:B22"/>
      <selection pane="topRight" activeCell="B21" sqref="B21:B22"/>
      <selection pane="bottomLeft" activeCell="B21" sqref="B21:B22"/>
      <selection pane="bottomRight" activeCell="B35" sqref="B35"/>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80" t="s">
        <v>255</v>
      </c>
      <c r="C1" s="90"/>
    </row>
    <row r="2" spans="1:3" s="177" customFormat="1" ht="15.75">
      <c r="A2" s="221">
        <v>1</v>
      </c>
      <c r="B2" s="178" t="s">
        <v>256</v>
      </c>
      <c r="C2" s="175" t="s">
        <v>499</v>
      </c>
    </row>
    <row r="3" spans="1:3" s="177" customFormat="1" ht="15.75">
      <c r="A3" s="221">
        <v>2</v>
      </c>
      <c r="B3" s="179" t="s">
        <v>257</v>
      </c>
      <c r="C3" s="175" t="s">
        <v>500</v>
      </c>
    </row>
    <row r="4" spans="1:3" s="177" customFormat="1" ht="15.75">
      <c r="A4" s="221">
        <v>3</v>
      </c>
      <c r="B4" s="179" t="s">
        <v>258</v>
      </c>
      <c r="C4" s="175" t="s">
        <v>501</v>
      </c>
    </row>
    <row r="5" spans="1:3" s="177" customFormat="1" ht="15.75">
      <c r="A5" s="222">
        <v>4</v>
      </c>
      <c r="B5" s="182" t="s">
        <v>259</v>
      </c>
      <c r="C5" s="175" t="s">
        <v>502</v>
      </c>
    </row>
    <row r="6" spans="1:3" s="181" customFormat="1" ht="65.25" customHeight="1">
      <c r="A6" s="541" t="s">
        <v>374</v>
      </c>
      <c r="B6" s="542"/>
      <c r="C6" s="542"/>
    </row>
    <row r="7" spans="1:3">
      <c r="A7" s="347" t="s">
        <v>328</v>
      </c>
      <c r="B7" s="348" t="s">
        <v>260</v>
      </c>
    </row>
    <row r="8" spans="1:3">
      <c r="A8" s="349">
        <v>1</v>
      </c>
      <c r="B8" s="345" t="s">
        <v>224</v>
      </c>
    </row>
    <row r="9" spans="1:3">
      <c r="A9" s="349">
        <v>2</v>
      </c>
      <c r="B9" s="345" t="s">
        <v>261</v>
      </c>
    </row>
    <row r="10" spans="1:3">
      <c r="A10" s="349">
        <v>3</v>
      </c>
      <c r="B10" s="345" t="s">
        <v>262</v>
      </c>
    </row>
    <row r="11" spans="1:3">
      <c r="A11" s="349">
        <v>4</v>
      </c>
      <c r="B11" s="345" t="s">
        <v>263</v>
      </c>
      <c r="C11" s="176"/>
    </row>
    <row r="12" spans="1:3">
      <c r="A12" s="349">
        <v>5</v>
      </c>
      <c r="B12" s="345" t="s">
        <v>188</v>
      </c>
    </row>
    <row r="13" spans="1:3">
      <c r="A13" s="349">
        <v>6</v>
      </c>
      <c r="B13" s="350" t="s">
        <v>150</v>
      </c>
    </row>
    <row r="14" spans="1:3">
      <c r="A14" s="349">
        <v>7</v>
      </c>
      <c r="B14" s="345" t="s">
        <v>264</v>
      </c>
    </row>
    <row r="15" spans="1:3">
      <c r="A15" s="349">
        <v>8</v>
      </c>
      <c r="B15" s="345" t="s">
        <v>267</v>
      </c>
    </row>
    <row r="16" spans="1:3">
      <c r="A16" s="349">
        <v>9</v>
      </c>
      <c r="B16" s="345" t="s">
        <v>89</v>
      </c>
    </row>
    <row r="17" spans="1:2">
      <c r="A17" s="351" t="s">
        <v>421</v>
      </c>
      <c r="B17" s="345" t="s">
        <v>401</v>
      </c>
    </row>
    <row r="18" spans="1:2">
      <c r="A18" s="349">
        <v>10</v>
      </c>
      <c r="B18" s="345" t="s">
        <v>270</v>
      </c>
    </row>
    <row r="19" spans="1:2">
      <c r="A19" s="349">
        <v>11</v>
      </c>
      <c r="B19" s="350" t="s">
        <v>251</v>
      </c>
    </row>
    <row r="20" spans="1:2">
      <c r="A20" s="349">
        <v>12</v>
      </c>
      <c r="B20" s="350" t="s">
        <v>248</v>
      </c>
    </row>
    <row r="21" spans="1:2">
      <c r="A21" s="349">
        <v>13</v>
      </c>
      <c r="B21" s="352" t="s">
        <v>364</v>
      </c>
    </row>
    <row r="22" spans="1:2">
      <c r="A22" s="349">
        <v>14</v>
      </c>
      <c r="B22" s="353" t="s">
        <v>395</v>
      </c>
    </row>
    <row r="23" spans="1:2">
      <c r="A23" s="354">
        <v>15</v>
      </c>
      <c r="B23" s="350" t="s">
        <v>78</v>
      </c>
    </row>
    <row r="24" spans="1:2">
      <c r="A24" s="354">
        <v>15.1</v>
      </c>
      <c r="B24" s="345" t="s">
        <v>430</v>
      </c>
    </row>
    <row r="31" spans="1:2" ht="15.75">
      <c r="B31" s="66"/>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85" zoomScaleNormal="85" workbookViewId="0">
      <pane xSplit="1" ySplit="5" topLeftCell="B6" activePane="bottomRight" state="frozen"/>
      <selection activeCell="B21" sqref="B21:B22"/>
      <selection pane="topRight" activeCell="B21" sqref="B21:B22"/>
      <selection pane="bottomLeft" activeCell="B21" sqref="B21:B22"/>
      <selection pane="bottomRight" activeCell="B21" sqref="B21:B22"/>
    </sheetView>
  </sheetViews>
  <sheetFormatPr defaultRowHeight="15"/>
  <cols>
    <col min="1" max="1" width="9.5703125" style="5" bestFit="1" customWidth="1"/>
    <col min="2" max="2" width="132.42578125" style="2" customWidth="1"/>
    <col min="3" max="3" width="18.42578125" style="2" customWidth="1"/>
  </cols>
  <sheetData>
    <row r="1" spans="1:6" ht="15.75">
      <c r="A1" s="18" t="s">
        <v>189</v>
      </c>
      <c r="B1" s="17" t="str">
        <f>Info!C2</f>
        <v>ფინკა ბანკი საქართველო სს</v>
      </c>
      <c r="D1" s="2"/>
      <c r="E1" s="2"/>
      <c r="F1" s="2"/>
    </row>
    <row r="2" spans="1:6" s="22" customFormat="1" ht="15.75" customHeight="1">
      <c r="A2" s="22" t="s">
        <v>190</v>
      </c>
      <c r="B2" s="440">
        <f>'1. key ratios'!B2</f>
        <v>44286</v>
      </c>
    </row>
    <row r="3" spans="1:6" s="22" customFormat="1" ht="15.75" customHeight="1"/>
    <row r="4" spans="1:6" ht="15.75" thickBot="1">
      <c r="A4" s="5" t="s">
        <v>337</v>
      </c>
      <c r="B4" s="60" t="s">
        <v>89</v>
      </c>
    </row>
    <row r="5" spans="1:6">
      <c r="A5" s="131" t="s">
        <v>27</v>
      </c>
      <c r="B5" s="132"/>
      <c r="C5" s="133" t="s">
        <v>28</v>
      </c>
    </row>
    <row r="6" spans="1:6">
      <c r="A6" s="134">
        <v>1</v>
      </c>
      <c r="B6" s="79" t="s">
        <v>29</v>
      </c>
      <c r="C6" s="254">
        <f>SUM(C7:C11)</f>
        <v>42329239.210000001</v>
      </c>
    </row>
    <row r="7" spans="1:6">
      <c r="A7" s="134">
        <v>2</v>
      </c>
      <c r="B7" s="76" t="s">
        <v>30</v>
      </c>
      <c r="C7" s="255">
        <v>25643199.989999998</v>
      </c>
    </row>
    <row r="8" spans="1:6">
      <c r="A8" s="134">
        <v>3</v>
      </c>
      <c r="B8" s="70" t="s">
        <v>31</v>
      </c>
      <c r="C8" s="255">
        <v>0</v>
      </c>
    </row>
    <row r="9" spans="1:6">
      <c r="A9" s="134">
        <v>4</v>
      </c>
      <c r="B9" s="70" t="s">
        <v>32</v>
      </c>
      <c r="C9" s="255">
        <v>0</v>
      </c>
    </row>
    <row r="10" spans="1:6">
      <c r="A10" s="134">
        <v>5</v>
      </c>
      <c r="B10" s="70" t="s">
        <v>33</v>
      </c>
      <c r="C10" s="255">
        <v>0</v>
      </c>
    </row>
    <row r="11" spans="1:6">
      <c r="A11" s="134">
        <v>6</v>
      </c>
      <c r="B11" s="77" t="s">
        <v>34</v>
      </c>
      <c r="C11" s="255">
        <v>16686039.220000001</v>
      </c>
    </row>
    <row r="12" spans="1:6" s="4" customFormat="1">
      <c r="A12" s="134">
        <v>7</v>
      </c>
      <c r="B12" s="79" t="s">
        <v>35</v>
      </c>
      <c r="C12" s="256">
        <f>SUM(C13:C27)</f>
        <v>1427639.12</v>
      </c>
    </row>
    <row r="13" spans="1:6" s="4" customFormat="1">
      <c r="A13" s="134">
        <v>8</v>
      </c>
      <c r="B13" s="78" t="s">
        <v>36</v>
      </c>
      <c r="C13" s="257">
        <v>0</v>
      </c>
    </row>
    <row r="14" spans="1:6" s="4" customFormat="1" ht="25.5">
      <c r="A14" s="134">
        <v>9</v>
      </c>
      <c r="B14" s="71" t="s">
        <v>37</v>
      </c>
      <c r="C14" s="257">
        <v>0</v>
      </c>
    </row>
    <row r="15" spans="1:6" s="4" customFormat="1">
      <c r="A15" s="134">
        <v>10</v>
      </c>
      <c r="B15" s="72" t="s">
        <v>38</v>
      </c>
      <c r="C15" s="257">
        <v>1220289.8600000001</v>
      </c>
    </row>
    <row r="16" spans="1:6" s="4" customFormat="1">
      <c r="A16" s="134">
        <v>11</v>
      </c>
      <c r="B16" s="73" t="s">
        <v>39</v>
      </c>
      <c r="C16" s="257">
        <v>0</v>
      </c>
    </row>
    <row r="17" spans="1:3" s="4" customFormat="1">
      <c r="A17" s="134">
        <v>12</v>
      </c>
      <c r="B17" s="72" t="s">
        <v>40</v>
      </c>
      <c r="C17" s="257">
        <v>0</v>
      </c>
    </row>
    <row r="18" spans="1:3" s="4" customFormat="1">
      <c r="A18" s="134">
        <v>13</v>
      </c>
      <c r="B18" s="72" t="s">
        <v>41</v>
      </c>
      <c r="C18" s="257">
        <v>0</v>
      </c>
    </row>
    <row r="19" spans="1:3" s="4" customFormat="1">
      <c r="A19" s="134">
        <v>14</v>
      </c>
      <c r="B19" s="72" t="s">
        <v>42</v>
      </c>
      <c r="C19" s="257">
        <v>0</v>
      </c>
    </row>
    <row r="20" spans="1:3" s="4" customFormat="1" ht="25.5">
      <c r="A20" s="134">
        <v>15</v>
      </c>
      <c r="B20" s="72" t="s">
        <v>43</v>
      </c>
      <c r="C20" s="257">
        <v>207349.26</v>
      </c>
    </row>
    <row r="21" spans="1:3" s="4" customFormat="1" ht="25.5">
      <c r="A21" s="134">
        <v>16</v>
      </c>
      <c r="B21" s="71" t="s">
        <v>44</v>
      </c>
      <c r="C21" s="257">
        <v>0</v>
      </c>
    </row>
    <row r="22" spans="1:3" s="4" customFormat="1">
      <c r="A22" s="134">
        <v>17</v>
      </c>
      <c r="B22" s="135" t="s">
        <v>45</v>
      </c>
      <c r="C22" s="257">
        <v>0</v>
      </c>
    </row>
    <row r="23" spans="1:3" s="4" customFormat="1" ht="25.5">
      <c r="A23" s="134">
        <v>18</v>
      </c>
      <c r="B23" s="71" t="s">
        <v>46</v>
      </c>
      <c r="C23" s="257">
        <v>0</v>
      </c>
    </row>
    <row r="24" spans="1:3" s="4" customFormat="1" ht="25.5">
      <c r="A24" s="134">
        <v>19</v>
      </c>
      <c r="B24" s="71" t="s">
        <v>47</v>
      </c>
      <c r="C24" s="257">
        <v>0</v>
      </c>
    </row>
    <row r="25" spans="1:3" s="4" customFormat="1" ht="25.5">
      <c r="A25" s="134">
        <v>20</v>
      </c>
      <c r="B25" s="74" t="s">
        <v>48</v>
      </c>
      <c r="C25" s="257">
        <v>0</v>
      </c>
    </row>
    <row r="26" spans="1:3" s="4" customFormat="1">
      <c r="A26" s="134">
        <v>21</v>
      </c>
      <c r="B26" s="74" t="s">
        <v>49</v>
      </c>
      <c r="C26" s="257">
        <v>0</v>
      </c>
    </row>
    <row r="27" spans="1:3" s="4" customFormat="1" ht="25.5">
      <c r="A27" s="134">
        <v>22</v>
      </c>
      <c r="B27" s="74" t="s">
        <v>50</v>
      </c>
      <c r="C27" s="257">
        <v>0</v>
      </c>
    </row>
    <row r="28" spans="1:3" s="4" customFormat="1">
      <c r="A28" s="134">
        <v>23</v>
      </c>
      <c r="B28" s="80" t="s">
        <v>24</v>
      </c>
      <c r="C28" s="256">
        <f>C6-C12</f>
        <v>40901600.090000004</v>
      </c>
    </row>
    <row r="29" spans="1:3" s="4" customFormat="1">
      <c r="A29" s="136"/>
      <c r="B29" s="75"/>
      <c r="C29" s="257"/>
    </row>
    <row r="30" spans="1:3" s="4" customFormat="1">
      <c r="A30" s="136">
        <v>24</v>
      </c>
      <c r="B30" s="80" t="s">
        <v>51</v>
      </c>
      <c r="C30" s="256">
        <f>C31+C34</f>
        <v>0</v>
      </c>
    </row>
    <row r="31" spans="1:3" s="4" customFormat="1">
      <c r="A31" s="136">
        <v>25</v>
      </c>
      <c r="B31" s="533" t="s">
        <v>52</v>
      </c>
      <c r="C31" s="258">
        <f>C32+C33</f>
        <v>0</v>
      </c>
    </row>
    <row r="32" spans="1:3" s="4" customFormat="1">
      <c r="A32" s="136">
        <v>26</v>
      </c>
      <c r="B32" s="173" t="s">
        <v>53</v>
      </c>
      <c r="C32" s="257">
        <v>0</v>
      </c>
    </row>
    <row r="33" spans="1:3" s="4" customFormat="1">
      <c r="A33" s="136">
        <v>27</v>
      </c>
      <c r="B33" s="173" t="s">
        <v>54</v>
      </c>
      <c r="C33" s="257">
        <v>0</v>
      </c>
    </row>
    <row r="34" spans="1:3" s="4" customFormat="1">
      <c r="A34" s="136">
        <v>28</v>
      </c>
      <c r="B34" s="70" t="s">
        <v>55</v>
      </c>
      <c r="C34" s="257">
        <v>0</v>
      </c>
    </row>
    <row r="35" spans="1:3" s="4" customFormat="1">
      <c r="A35" s="136">
        <v>29</v>
      </c>
      <c r="B35" s="80" t="s">
        <v>56</v>
      </c>
      <c r="C35" s="256">
        <f>SUM(C36:C40)</f>
        <v>0</v>
      </c>
    </row>
    <row r="36" spans="1:3" s="4" customFormat="1">
      <c r="A36" s="136">
        <v>30</v>
      </c>
      <c r="B36" s="71" t="s">
        <v>57</v>
      </c>
      <c r="C36" s="257">
        <v>0</v>
      </c>
    </row>
    <row r="37" spans="1:3" s="4" customFormat="1">
      <c r="A37" s="136">
        <v>31</v>
      </c>
      <c r="B37" s="72" t="s">
        <v>58</v>
      </c>
      <c r="C37" s="257">
        <v>0</v>
      </c>
    </row>
    <row r="38" spans="1:3" s="4" customFormat="1" ht="25.5">
      <c r="A38" s="136">
        <v>32</v>
      </c>
      <c r="B38" s="71" t="s">
        <v>59</v>
      </c>
      <c r="C38" s="257">
        <v>0</v>
      </c>
    </row>
    <row r="39" spans="1:3" s="4" customFormat="1" ht="25.5">
      <c r="A39" s="136">
        <v>33</v>
      </c>
      <c r="B39" s="71" t="s">
        <v>47</v>
      </c>
      <c r="C39" s="257">
        <v>0</v>
      </c>
    </row>
    <row r="40" spans="1:3" s="4" customFormat="1" ht="25.5">
      <c r="A40" s="136">
        <v>34</v>
      </c>
      <c r="B40" s="74" t="s">
        <v>60</v>
      </c>
      <c r="C40" s="257">
        <v>0</v>
      </c>
    </row>
    <row r="41" spans="1:3" s="4" customFormat="1">
      <c r="A41" s="136">
        <v>35</v>
      </c>
      <c r="B41" s="80" t="s">
        <v>25</v>
      </c>
      <c r="C41" s="256">
        <f>C30-C35</f>
        <v>0</v>
      </c>
    </row>
    <row r="42" spans="1:3" s="4" customFormat="1">
      <c r="A42" s="136"/>
      <c r="B42" s="75"/>
      <c r="C42" s="257"/>
    </row>
    <row r="43" spans="1:3" s="4" customFormat="1">
      <c r="A43" s="136">
        <v>36</v>
      </c>
      <c r="B43" s="81" t="s">
        <v>61</v>
      </c>
      <c r="C43" s="256">
        <f>SUM(C44:C46)</f>
        <v>14923807.64969125</v>
      </c>
    </row>
    <row r="44" spans="1:3" s="4" customFormat="1">
      <c r="A44" s="136">
        <v>37</v>
      </c>
      <c r="B44" s="70" t="s">
        <v>62</v>
      </c>
      <c r="C44" s="257">
        <v>11958359</v>
      </c>
    </row>
    <row r="45" spans="1:3" s="4" customFormat="1">
      <c r="A45" s="136">
        <v>38</v>
      </c>
      <c r="B45" s="70" t="s">
        <v>63</v>
      </c>
      <c r="C45" s="257">
        <v>0</v>
      </c>
    </row>
    <row r="46" spans="1:3" s="4" customFormat="1">
      <c r="A46" s="136">
        <v>39</v>
      </c>
      <c r="B46" s="70" t="s">
        <v>64</v>
      </c>
      <c r="C46" s="257">
        <v>2965448.6496912502</v>
      </c>
    </row>
    <row r="47" spans="1:3" s="4" customFormat="1">
      <c r="A47" s="136">
        <v>40</v>
      </c>
      <c r="B47" s="81" t="s">
        <v>65</v>
      </c>
      <c r="C47" s="256">
        <f>SUM(C48:C51)</f>
        <v>0</v>
      </c>
    </row>
    <row r="48" spans="1:3" s="4" customFormat="1">
      <c r="A48" s="136">
        <v>41</v>
      </c>
      <c r="B48" s="71" t="s">
        <v>66</v>
      </c>
      <c r="C48" s="257">
        <v>0</v>
      </c>
    </row>
    <row r="49" spans="1:3" s="4" customFormat="1">
      <c r="A49" s="136">
        <v>42</v>
      </c>
      <c r="B49" s="72" t="s">
        <v>67</v>
      </c>
      <c r="C49" s="257">
        <v>0</v>
      </c>
    </row>
    <row r="50" spans="1:3" s="4" customFormat="1" ht="25.5">
      <c r="A50" s="136">
        <v>43</v>
      </c>
      <c r="B50" s="71" t="s">
        <v>68</v>
      </c>
      <c r="C50" s="257">
        <v>0</v>
      </c>
    </row>
    <row r="51" spans="1:3" s="4" customFormat="1" ht="25.5">
      <c r="A51" s="136">
        <v>44</v>
      </c>
      <c r="B51" s="71" t="s">
        <v>47</v>
      </c>
      <c r="C51" s="257">
        <v>0</v>
      </c>
    </row>
    <row r="52" spans="1:3" s="4" customFormat="1" ht="15.75" thickBot="1">
      <c r="A52" s="137">
        <v>45</v>
      </c>
      <c r="B52" s="138" t="s">
        <v>26</v>
      </c>
      <c r="C52" s="259">
        <f>C43-C47</f>
        <v>14923807.64969125</v>
      </c>
    </row>
    <row r="55" spans="1:3">
      <c r="B55" s="2" t="s">
        <v>226</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F31"/>
  <sheetViews>
    <sheetView zoomScale="85" zoomScaleNormal="85" workbookViewId="0">
      <selection activeCell="B21" sqref="B21:B22"/>
    </sheetView>
  </sheetViews>
  <sheetFormatPr defaultColWidth="9.140625" defaultRowHeight="12.75"/>
  <cols>
    <col min="1" max="1" width="10.85546875" style="303" bestFit="1" customWidth="1"/>
    <col min="2" max="2" width="59" style="303" customWidth="1"/>
    <col min="3" max="3" width="16.7109375" style="303" bestFit="1" customWidth="1"/>
    <col min="4" max="4" width="13.5703125" style="303" bestFit="1" customWidth="1"/>
    <col min="5" max="16384" width="9.140625" style="303"/>
  </cols>
  <sheetData>
    <row r="1" spans="1:6" ht="15">
      <c r="A1" s="18" t="s">
        <v>189</v>
      </c>
      <c r="B1" s="17" t="str">
        <f>Info!C2</f>
        <v>ფინკა ბანკი საქართველო სს</v>
      </c>
    </row>
    <row r="2" spans="1:6" s="22" customFormat="1" ht="15.75" customHeight="1">
      <c r="A2" s="22" t="s">
        <v>190</v>
      </c>
      <c r="B2" s="440">
        <f>'1. key ratios'!B2</f>
        <v>44286</v>
      </c>
    </row>
    <row r="3" spans="1:6" s="22" customFormat="1" ht="15.75" customHeight="1"/>
    <row r="4" spans="1:6" ht="13.5" thickBot="1">
      <c r="A4" s="304" t="s">
        <v>400</v>
      </c>
      <c r="B4" s="332" t="s">
        <v>401</v>
      </c>
    </row>
    <row r="5" spans="1:6" s="333" customFormat="1">
      <c r="A5" s="560" t="s">
        <v>402</v>
      </c>
      <c r="B5" s="561"/>
      <c r="C5" s="322" t="s">
        <v>403</v>
      </c>
      <c r="D5" s="323" t="s">
        <v>404</v>
      </c>
    </row>
    <row r="6" spans="1:6" s="334" customFormat="1">
      <c r="A6" s="324">
        <v>1</v>
      </c>
      <c r="B6" s="325" t="s">
        <v>405</v>
      </c>
      <c r="C6" s="325"/>
      <c r="D6" s="326"/>
    </row>
    <row r="7" spans="1:6" s="334" customFormat="1">
      <c r="A7" s="327" t="s">
        <v>406</v>
      </c>
      <c r="B7" s="328" t="s">
        <v>407</v>
      </c>
      <c r="C7" s="356">
        <v>4.4999999999999998E-2</v>
      </c>
      <c r="D7" s="447">
        <f>C7*'5. RWA'!$C$13</f>
        <v>13443760.915444687</v>
      </c>
      <c r="F7" s="452"/>
    </row>
    <row r="8" spans="1:6" s="334" customFormat="1">
      <c r="A8" s="327" t="s">
        <v>408</v>
      </c>
      <c r="B8" s="328" t="s">
        <v>409</v>
      </c>
      <c r="C8" s="357">
        <v>0.06</v>
      </c>
      <c r="D8" s="447">
        <f>C8*'5. RWA'!$C$13</f>
        <v>17925014.553926248</v>
      </c>
      <c r="F8" s="452"/>
    </row>
    <row r="9" spans="1:6" s="334" customFormat="1">
      <c r="A9" s="327" t="s">
        <v>410</v>
      </c>
      <c r="B9" s="328" t="s">
        <v>411</v>
      </c>
      <c r="C9" s="357">
        <v>0.08</v>
      </c>
      <c r="D9" s="447">
        <f>C9*'5. RWA'!$C$13</f>
        <v>23900019.405235</v>
      </c>
      <c r="F9" s="452"/>
    </row>
    <row r="10" spans="1:6" s="334" customFormat="1">
      <c r="A10" s="324" t="s">
        <v>412</v>
      </c>
      <c r="B10" s="325" t="s">
        <v>413</v>
      </c>
      <c r="C10" s="358"/>
      <c r="D10" s="448"/>
      <c r="F10" s="452"/>
    </row>
    <row r="11" spans="1:6" s="335" customFormat="1">
      <c r="A11" s="329" t="s">
        <v>414</v>
      </c>
      <c r="B11" s="330" t="s">
        <v>476</v>
      </c>
      <c r="C11" s="359">
        <v>0</v>
      </c>
      <c r="D11" s="449">
        <f>C11*'5. RWA'!$C$13</f>
        <v>0</v>
      </c>
      <c r="F11" s="452"/>
    </row>
    <row r="12" spans="1:6" s="335" customFormat="1">
      <c r="A12" s="329" t="s">
        <v>415</v>
      </c>
      <c r="B12" s="330" t="s">
        <v>416</v>
      </c>
      <c r="C12" s="359">
        <v>0</v>
      </c>
      <c r="D12" s="449">
        <f>C12*'5. RWA'!$C$13</f>
        <v>0</v>
      </c>
      <c r="F12" s="452"/>
    </row>
    <row r="13" spans="1:6" s="335" customFormat="1">
      <c r="A13" s="329" t="s">
        <v>417</v>
      </c>
      <c r="B13" s="330" t="s">
        <v>418</v>
      </c>
      <c r="C13" s="359"/>
      <c r="D13" s="449">
        <f>C13*'5. RWA'!$C$13</f>
        <v>0</v>
      </c>
      <c r="F13" s="452"/>
    </row>
    <row r="14" spans="1:6" s="334" customFormat="1">
      <c r="A14" s="324" t="s">
        <v>419</v>
      </c>
      <c r="B14" s="325" t="s">
        <v>474</v>
      </c>
      <c r="C14" s="360"/>
      <c r="D14" s="448"/>
      <c r="F14" s="452"/>
    </row>
    <row r="15" spans="1:6" s="334" customFormat="1">
      <c r="A15" s="346" t="s">
        <v>422</v>
      </c>
      <c r="B15" s="330" t="s">
        <v>475</v>
      </c>
      <c r="C15" s="359">
        <v>1.5460384801562969E-2</v>
      </c>
      <c r="D15" s="449">
        <f>C15*'5. RWA'!$C$13</f>
        <v>4618793.7096219407</v>
      </c>
      <c r="F15" s="452"/>
    </row>
    <row r="16" spans="1:6" s="334" customFormat="1">
      <c r="A16" s="346" t="s">
        <v>423</v>
      </c>
      <c r="B16" s="330" t="s">
        <v>425</v>
      </c>
      <c r="C16" s="359">
        <v>2.0614801073521836E-2</v>
      </c>
      <c r="D16" s="449">
        <f>C16*'5. RWA'!$C$13</f>
        <v>6158676.8211528901</v>
      </c>
      <c r="F16" s="452"/>
    </row>
    <row r="17" spans="1:6" s="334" customFormat="1">
      <c r="A17" s="346" t="s">
        <v>424</v>
      </c>
      <c r="B17" s="330" t="s">
        <v>472</v>
      </c>
      <c r="C17" s="359">
        <v>5.1286401431362448E-2</v>
      </c>
      <c r="D17" s="449">
        <f>C17*'5. RWA'!$C$13</f>
        <v>15321824.867927931</v>
      </c>
      <c r="F17" s="452"/>
    </row>
    <row r="18" spans="1:6" s="333" customFormat="1">
      <c r="A18" s="562" t="s">
        <v>473</v>
      </c>
      <c r="B18" s="563"/>
      <c r="C18" s="361" t="s">
        <v>403</v>
      </c>
      <c r="D18" s="450" t="s">
        <v>404</v>
      </c>
      <c r="F18" s="452"/>
    </row>
    <row r="19" spans="1:6" s="334" customFormat="1">
      <c r="A19" s="331">
        <v>4</v>
      </c>
      <c r="B19" s="330" t="s">
        <v>24</v>
      </c>
      <c r="C19" s="359">
        <f>C7+C11+C12+C13+C15</f>
        <v>6.0460384801562968E-2</v>
      </c>
      <c r="D19" s="447">
        <f>C19*'5. RWA'!$C$13</f>
        <v>18062554.625066627</v>
      </c>
      <c r="F19" s="452"/>
    </row>
    <row r="20" spans="1:6" s="334" customFormat="1">
      <c r="A20" s="331">
        <v>5</v>
      </c>
      <c r="B20" s="330" t="s">
        <v>90</v>
      </c>
      <c r="C20" s="359">
        <f>C8+C11+C12+C13+C16</f>
        <v>8.0614801073521841E-2</v>
      </c>
      <c r="D20" s="447">
        <f>C20*'5. RWA'!$C$13</f>
        <v>24083691.37507914</v>
      </c>
      <c r="F20" s="452"/>
    </row>
    <row r="21" spans="1:6" s="334" customFormat="1" ht="13.5" thickBot="1">
      <c r="A21" s="336" t="s">
        <v>420</v>
      </c>
      <c r="B21" s="337" t="s">
        <v>89</v>
      </c>
      <c r="C21" s="362">
        <f>C9+C11+C12+C13+C17</f>
        <v>0.13128640143136244</v>
      </c>
      <c r="D21" s="451">
        <f>C21*'5. RWA'!$C$13</f>
        <v>39221844.273162931</v>
      </c>
      <c r="F21" s="452"/>
    </row>
    <row r="22" spans="1:6">
      <c r="F22" s="304"/>
    </row>
    <row r="23" spans="1:6" ht="63.75">
      <c r="B23" s="24" t="s">
        <v>477</v>
      </c>
    </row>
    <row r="31" spans="1:6" ht="15">
      <c r="B31" s="66"/>
    </row>
  </sheetData>
  <mergeCells count="2">
    <mergeCell ref="A5:B5"/>
    <mergeCell ref="A18:B18"/>
  </mergeCells>
  <conditionalFormatting sqref="C21">
    <cfRule type="cellIs" dxfId="3"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85" zoomScaleNormal="85" workbookViewId="0">
      <pane xSplit="1" ySplit="5" topLeftCell="B12" activePane="bottomRight" state="frozen"/>
      <selection activeCell="B21" sqref="B21:B22"/>
      <selection pane="topRight" activeCell="B21" sqref="B21:B22"/>
      <selection pane="bottomLeft" activeCell="B21" sqref="B21:B22"/>
      <selection pane="bottomRight" activeCell="B21" sqref="B21:B22"/>
    </sheetView>
  </sheetViews>
  <sheetFormatPr defaultRowHeight="15.75"/>
  <cols>
    <col min="1" max="1" width="10.7109375" style="66" customWidth="1"/>
    <col min="2" max="2" width="91.85546875" style="66" customWidth="1"/>
    <col min="3" max="3" width="53.140625" style="66" customWidth="1"/>
    <col min="4" max="4" width="32.28515625" style="66" customWidth="1"/>
    <col min="5" max="5" width="9.42578125" customWidth="1"/>
  </cols>
  <sheetData>
    <row r="1" spans="1:6">
      <c r="A1" s="18" t="s">
        <v>189</v>
      </c>
      <c r="B1" s="20" t="str">
        <f>Info!C2</f>
        <v>ფინკა ბანკი საქართველო სს</v>
      </c>
      <c r="E1" s="2"/>
      <c r="F1" s="2"/>
    </row>
    <row r="2" spans="1:6" s="22" customFormat="1" ht="15.75" customHeight="1">
      <c r="A2" s="22" t="s">
        <v>190</v>
      </c>
      <c r="B2" s="440">
        <f>'1. key ratios'!B2</f>
        <v>44286</v>
      </c>
    </row>
    <row r="3" spans="1:6" s="22" customFormat="1" ht="15.75" customHeight="1">
      <c r="A3" s="26"/>
    </row>
    <row r="4" spans="1:6" s="22" customFormat="1" ht="15.75" customHeight="1" thickBot="1">
      <c r="A4" s="22" t="s">
        <v>338</v>
      </c>
      <c r="B4" s="197" t="s">
        <v>270</v>
      </c>
      <c r="D4" s="199" t="s">
        <v>94</v>
      </c>
    </row>
    <row r="5" spans="1:6" ht="38.25">
      <c r="A5" s="150" t="s">
        <v>27</v>
      </c>
      <c r="B5" s="151" t="s">
        <v>232</v>
      </c>
      <c r="C5" s="152" t="s">
        <v>238</v>
      </c>
      <c r="D5" s="198" t="s">
        <v>271</v>
      </c>
    </row>
    <row r="6" spans="1:6">
      <c r="A6" s="139">
        <v>1</v>
      </c>
      <c r="B6" s="82" t="s">
        <v>155</v>
      </c>
      <c r="C6" s="260">
        <v>12613866.890000001</v>
      </c>
      <c r="D6" s="140"/>
      <c r="E6" s="8"/>
    </row>
    <row r="7" spans="1:6">
      <c r="A7" s="139">
        <v>2</v>
      </c>
      <c r="B7" s="83" t="s">
        <v>156</v>
      </c>
      <c r="C7" s="261">
        <v>10068347.699999999</v>
      </c>
      <c r="D7" s="141"/>
      <c r="E7" s="8"/>
    </row>
    <row r="8" spans="1:6">
      <c r="A8" s="139">
        <v>3</v>
      </c>
      <c r="B8" s="83" t="s">
        <v>157</v>
      </c>
      <c r="C8" s="261">
        <v>11592600.550000001</v>
      </c>
      <c r="D8" s="141"/>
      <c r="E8" s="8"/>
    </row>
    <row r="9" spans="1:6">
      <c r="A9" s="139">
        <v>4</v>
      </c>
      <c r="B9" s="83" t="s">
        <v>186</v>
      </c>
      <c r="C9" s="261">
        <v>0</v>
      </c>
      <c r="D9" s="141"/>
      <c r="E9" s="8"/>
    </row>
    <row r="10" spans="1:6">
      <c r="A10" s="139">
        <v>5</v>
      </c>
      <c r="B10" s="83" t="s">
        <v>158</v>
      </c>
      <c r="C10" s="261">
        <v>29067256.620000001</v>
      </c>
      <c r="D10" s="141"/>
      <c r="E10" s="8"/>
    </row>
    <row r="11" spans="1:6">
      <c r="A11" s="139">
        <v>6.1</v>
      </c>
      <c r="B11" s="83" t="s">
        <v>159</v>
      </c>
      <c r="C11" s="262">
        <v>209175747.03999731</v>
      </c>
      <c r="D11" s="142"/>
      <c r="E11" s="9"/>
    </row>
    <row r="12" spans="1:6">
      <c r="A12" s="139">
        <v>6.2</v>
      </c>
      <c r="B12" s="84" t="s">
        <v>160</v>
      </c>
      <c r="C12" s="262">
        <v>-13313969.910000032</v>
      </c>
      <c r="D12" s="142"/>
      <c r="E12" s="9"/>
    </row>
    <row r="13" spans="1:6">
      <c r="A13" s="139" t="s">
        <v>372</v>
      </c>
      <c r="B13" s="85" t="s">
        <v>373</v>
      </c>
      <c r="C13" s="262">
        <v>-2965448.6496912502</v>
      </c>
      <c r="D13" s="142"/>
      <c r="E13" s="9"/>
    </row>
    <row r="14" spans="1:6">
      <c r="A14" s="139" t="s">
        <v>493</v>
      </c>
      <c r="B14" s="85" t="s">
        <v>485</v>
      </c>
      <c r="C14" s="262">
        <v>0</v>
      </c>
      <c r="D14" s="142"/>
      <c r="E14" s="9"/>
    </row>
    <row r="15" spans="1:6">
      <c r="A15" s="139">
        <v>6</v>
      </c>
      <c r="B15" s="83" t="s">
        <v>161</v>
      </c>
      <c r="C15" s="268">
        <f>C11+C12</f>
        <v>195861777.12999728</v>
      </c>
      <c r="D15" s="142"/>
      <c r="E15" s="8"/>
    </row>
    <row r="16" spans="1:6">
      <c r="A16" s="139">
        <v>7</v>
      </c>
      <c r="B16" s="83" t="s">
        <v>162</v>
      </c>
      <c r="C16" s="261">
        <v>6859542.6700000009</v>
      </c>
      <c r="D16" s="141"/>
      <c r="E16" s="8"/>
    </row>
    <row r="17" spans="1:5">
      <c r="A17" s="139">
        <v>8</v>
      </c>
      <c r="B17" s="83" t="s">
        <v>163</v>
      </c>
      <c r="C17" s="261">
        <v>261897.5</v>
      </c>
      <c r="D17" s="141"/>
      <c r="E17" s="8"/>
    </row>
    <row r="18" spans="1:5">
      <c r="A18" s="139">
        <v>9</v>
      </c>
      <c r="B18" s="83" t="s">
        <v>164</v>
      </c>
      <c r="C18" s="261">
        <v>0</v>
      </c>
      <c r="D18" s="141"/>
      <c r="E18" s="8"/>
    </row>
    <row r="19" spans="1:5">
      <c r="A19" s="139">
        <v>9.1</v>
      </c>
      <c r="B19" s="85" t="s">
        <v>247</v>
      </c>
      <c r="C19" s="262">
        <v>0</v>
      </c>
      <c r="D19" s="141"/>
      <c r="E19" s="8"/>
    </row>
    <row r="20" spans="1:5">
      <c r="A20" s="139">
        <v>9.1999999999999993</v>
      </c>
      <c r="B20" s="85" t="s">
        <v>237</v>
      </c>
      <c r="C20" s="262">
        <v>0</v>
      </c>
      <c r="D20" s="141"/>
      <c r="E20" s="8"/>
    </row>
    <row r="21" spans="1:5">
      <c r="A21" s="139">
        <v>9.3000000000000007</v>
      </c>
      <c r="B21" s="85" t="s">
        <v>236</v>
      </c>
      <c r="C21" s="262">
        <v>0</v>
      </c>
      <c r="D21" s="141"/>
      <c r="E21" s="8"/>
    </row>
    <row r="22" spans="1:5">
      <c r="A22" s="139">
        <v>10</v>
      </c>
      <c r="B22" s="83" t="s">
        <v>165</v>
      </c>
      <c r="C22" s="261">
        <v>8897508.4099999964</v>
      </c>
      <c r="D22" s="141"/>
      <c r="E22" s="8"/>
    </row>
    <row r="23" spans="1:5">
      <c r="A23" s="139">
        <v>10.1</v>
      </c>
      <c r="B23" s="85" t="s">
        <v>235</v>
      </c>
      <c r="C23" s="261">
        <v>-1220289.8600000001</v>
      </c>
      <c r="D23" s="223" t="s">
        <v>345</v>
      </c>
      <c r="E23" s="8"/>
    </row>
    <row r="24" spans="1:5">
      <c r="A24" s="139">
        <v>11</v>
      </c>
      <c r="B24" s="86" t="s">
        <v>166</v>
      </c>
      <c r="C24" s="263">
        <v>3635470.14</v>
      </c>
      <c r="D24" s="143"/>
      <c r="E24" s="8"/>
    </row>
    <row r="25" spans="1:5">
      <c r="A25" s="139">
        <v>12</v>
      </c>
      <c r="B25" s="88" t="s">
        <v>167</v>
      </c>
      <c r="C25" s="264">
        <f>SUM(C6:C10,C15:C18,C22,C24)</f>
        <v>278858267.60999727</v>
      </c>
      <c r="D25" s="144"/>
      <c r="E25" s="7"/>
    </row>
    <row r="26" spans="1:5">
      <c r="A26" s="139">
        <v>13</v>
      </c>
      <c r="B26" s="83" t="s">
        <v>168</v>
      </c>
      <c r="C26" s="265">
        <v>2000000</v>
      </c>
      <c r="D26" s="145"/>
      <c r="E26" s="8"/>
    </row>
    <row r="27" spans="1:5">
      <c r="A27" s="139">
        <v>14</v>
      </c>
      <c r="B27" s="83" t="s">
        <v>169</v>
      </c>
      <c r="C27" s="261">
        <v>10746136.090000028</v>
      </c>
      <c r="D27" s="141"/>
      <c r="E27" s="8"/>
    </row>
    <row r="28" spans="1:5">
      <c r="A28" s="139">
        <v>15</v>
      </c>
      <c r="B28" s="83" t="s">
        <v>170</v>
      </c>
      <c r="C28" s="261">
        <v>22277620.789999872</v>
      </c>
      <c r="D28" s="141"/>
      <c r="E28" s="8"/>
    </row>
    <row r="29" spans="1:5">
      <c r="A29" s="139">
        <v>16</v>
      </c>
      <c r="B29" s="83" t="s">
        <v>171</v>
      </c>
      <c r="C29" s="261">
        <v>133284615.2200001</v>
      </c>
      <c r="D29" s="141"/>
      <c r="E29" s="8"/>
    </row>
    <row r="30" spans="1:5">
      <c r="A30" s="139">
        <v>17</v>
      </c>
      <c r="B30" s="83" t="s">
        <v>172</v>
      </c>
      <c r="C30" s="261">
        <v>0</v>
      </c>
      <c r="D30" s="141"/>
      <c r="E30" s="8"/>
    </row>
    <row r="31" spans="1:5">
      <c r="A31" s="139">
        <v>18</v>
      </c>
      <c r="B31" s="83" t="s">
        <v>173</v>
      </c>
      <c r="C31" s="261">
        <v>37955330</v>
      </c>
      <c r="D31" s="141"/>
      <c r="E31" s="8"/>
    </row>
    <row r="32" spans="1:5">
      <c r="A32" s="139">
        <v>19</v>
      </c>
      <c r="B32" s="83" t="s">
        <v>174</v>
      </c>
      <c r="C32" s="261">
        <v>4345057.24</v>
      </c>
      <c r="D32" s="141"/>
      <c r="E32" s="8"/>
    </row>
    <row r="33" spans="1:5">
      <c r="A33" s="139">
        <v>20</v>
      </c>
      <c r="B33" s="83" t="s">
        <v>96</v>
      </c>
      <c r="C33" s="261">
        <v>8861267.7400000021</v>
      </c>
      <c r="D33" s="141"/>
      <c r="E33" s="8"/>
    </row>
    <row r="34" spans="1:5">
      <c r="A34" s="139">
        <v>20.100000000000001</v>
      </c>
      <c r="B34" s="87" t="s">
        <v>371</v>
      </c>
      <c r="C34" s="263">
        <v>0</v>
      </c>
      <c r="D34" s="143"/>
      <c r="E34" s="8"/>
    </row>
    <row r="35" spans="1:5">
      <c r="A35" s="139">
        <v>21</v>
      </c>
      <c r="B35" s="86" t="s">
        <v>175</v>
      </c>
      <c r="C35" s="263">
        <v>17059000</v>
      </c>
      <c r="D35" s="143"/>
      <c r="E35" s="8"/>
    </row>
    <row r="36" spans="1:5">
      <c r="A36" s="139">
        <v>21.1</v>
      </c>
      <c r="B36" s="87" t="s">
        <v>234</v>
      </c>
      <c r="C36" s="266">
        <v>11958359</v>
      </c>
      <c r="D36" s="146"/>
      <c r="E36" s="8"/>
    </row>
    <row r="37" spans="1:5">
      <c r="A37" s="139">
        <v>22</v>
      </c>
      <c r="B37" s="88" t="s">
        <v>176</v>
      </c>
      <c r="C37" s="264">
        <f>SUM(C26:C35)</f>
        <v>236529027.08000001</v>
      </c>
      <c r="D37" s="144"/>
      <c r="E37" s="7"/>
    </row>
    <row r="38" spans="1:5">
      <c r="A38" s="139">
        <v>23</v>
      </c>
      <c r="B38" s="86" t="s">
        <v>177</v>
      </c>
      <c r="C38" s="261">
        <v>25643199.989999998</v>
      </c>
      <c r="D38" s="141"/>
      <c r="E38" s="8"/>
    </row>
    <row r="39" spans="1:5">
      <c r="A39" s="139">
        <v>24</v>
      </c>
      <c r="B39" s="86" t="s">
        <v>178</v>
      </c>
      <c r="C39" s="261">
        <v>0</v>
      </c>
      <c r="D39" s="141"/>
      <c r="E39" s="8"/>
    </row>
    <row r="40" spans="1:5">
      <c r="A40" s="139">
        <v>25</v>
      </c>
      <c r="B40" s="86" t="s">
        <v>233</v>
      </c>
      <c r="C40" s="261">
        <v>0</v>
      </c>
      <c r="D40" s="141"/>
      <c r="E40" s="8"/>
    </row>
    <row r="41" spans="1:5">
      <c r="A41" s="139">
        <v>26</v>
      </c>
      <c r="B41" s="86" t="s">
        <v>180</v>
      </c>
      <c r="C41" s="261">
        <v>0</v>
      </c>
      <c r="D41" s="141"/>
      <c r="E41" s="8"/>
    </row>
    <row r="42" spans="1:5">
      <c r="A42" s="139">
        <v>27</v>
      </c>
      <c r="B42" s="86" t="s">
        <v>181</v>
      </c>
      <c r="C42" s="261">
        <v>0</v>
      </c>
      <c r="D42" s="141"/>
      <c r="E42" s="8"/>
    </row>
    <row r="43" spans="1:5">
      <c r="A43" s="139">
        <v>28</v>
      </c>
      <c r="B43" s="86" t="s">
        <v>182</v>
      </c>
      <c r="C43" s="261">
        <v>16686039.461100001</v>
      </c>
      <c r="D43" s="141"/>
      <c r="E43" s="8"/>
    </row>
    <row r="44" spans="1:5">
      <c r="A44" s="139">
        <v>29</v>
      </c>
      <c r="B44" s="86" t="s">
        <v>36</v>
      </c>
      <c r="C44" s="261">
        <v>0</v>
      </c>
      <c r="D44" s="141"/>
      <c r="E44" s="8"/>
    </row>
    <row r="45" spans="1:5" ht="16.5" thickBot="1">
      <c r="A45" s="147">
        <v>30</v>
      </c>
      <c r="B45" s="148" t="s">
        <v>183</v>
      </c>
      <c r="C45" s="267">
        <f>SUM(C38:C44)</f>
        <v>42329239.451099999</v>
      </c>
      <c r="D45" s="149"/>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31"/>
  <sheetViews>
    <sheetView zoomScale="85" zoomScaleNormal="85" workbookViewId="0">
      <pane xSplit="2" ySplit="7" topLeftCell="C8" activePane="bottomRight" state="frozen"/>
      <selection activeCell="B21" sqref="B21:B22"/>
      <selection pane="topRight" activeCell="B21" sqref="B21:B22"/>
      <selection pane="bottomLeft" activeCell="B21" sqref="B21:B22"/>
      <selection pane="bottomRight" activeCell="N15" sqref="N15"/>
    </sheetView>
  </sheetViews>
  <sheetFormatPr defaultColWidth="9.140625" defaultRowHeight="12.75"/>
  <cols>
    <col min="1" max="1" width="10.5703125" style="2" bestFit="1" customWidth="1"/>
    <col min="2" max="2" width="95" style="2" customWidth="1"/>
    <col min="3" max="3" width="11.28515625" style="2" bestFit="1" customWidth="1"/>
    <col min="4" max="4" width="13.28515625" style="2" bestFit="1" customWidth="1"/>
    <col min="5" max="5" width="9.42578125" style="2" bestFit="1" customWidth="1"/>
    <col min="6" max="6" width="13.28515625" style="2" bestFit="1" customWidth="1"/>
    <col min="7" max="7" width="9.42578125" style="2" bestFit="1" customWidth="1"/>
    <col min="8" max="8" width="13.42578125" style="2" bestFit="1" customWidth="1"/>
    <col min="9" max="9" width="11.28515625" style="2" bestFit="1" customWidth="1"/>
    <col min="10" max="10" width="13.42578125" style="2" bestFit="1" customWidth="1"/>
    <col min="11" max="11" width="12.28515625" style="2" bestFit="1" customWidth="1"/>
    <col min="12" max="12" width="13.42578125" style="2" bestFit="1" customWidth="1"/>
    <col min="13" max="13" width="11.28515625" style="2" bestFit="1" customWidth="1"/>
    <col min="14" max="14" width="13.42578125" style="2" bestFit="1" customWidth="1"/>
    <col min="15" max="15" width="11.28515625" style="2" bestFit="1" customWidth="1"/>
    <col min="16" max="16" width="13.42578125" style="2" bestFit="1" customWidth="1"/>
    <col min="17" max="17" width="9.5703125" style="2" bestFit="1" customWidth="1"/>
    <col min="18" max="18" width="13.42578125" style="2" bestFit="1" customWidth="1"/>
    <col min="19" max="19" width="31.7109375" style="2" bestFit="1" customWidth="1"/>
    <col min="20" max="16384" width="9.140625" style="13"/>
  </cols>
  <sheetData>
    <row r="1" spans="1:19">
      <c r="A1" s="2" t="s">
        <v>189</v>
      </c>
      <c r="B1" s="303" t="str">
        <f>Info!C2</f>
        <v>ფინკა ბანკი საქართველო სს</v>
      </c>
    </row>
    <row r="2" spans="1:19">
      <c r="A2" s="2" t="s">
        <v>190</v>
      </c>
      <c r="B2" s="440">
        <f>'1. key ratios'!B2</f>
        <v>44286</v>
      </c>
    </row>
    <row r="4" spans="1:19" ht="26.25" thickBot="1">
      <c r="A4" s="65" t="s">
        <v>339</v>
      </c>
      <c r="B4" s="293" t="s">
        <v>361</v>
      </c>
    </row>
    <row r="5" spans="1:19">
      <c r="A5" s="128"/>
      <c r="B5" s="130"/>
      <c r="C5" s="114" t="s">
        <v>0</v>
      </c>
      <c r="D5" s="114" t="s">
        <v>1</v>
      </c>
      <c r="E5" s="114" t="s">
        <v>2</v>
      </c>
      <c r="F5" s="114" t="s">
        <v>3</v>
      </c>
      <c r="G5" s="114" t="s">
        <v>4</v>
      </c>
      <c r="H5" s="114" t="s">
        <v>6</v>
      </c>
      <c r="I5" s="114" t="s">
        <v>239</v>
      </c>
      <c r="J5" s="114" t="s">
        <v>240</v>
      </c>
      <c r="K5" s="114" t="s">
        <v>241</v>
      </c>
      <c r="L5" s="114" t="s">
        <v>242</v>
      </c>
      <c r="M5" s="114" t="s">
        <v>243</v>
      </c>
      <c r="N5" s="114" t="s">
        <v>244</v>
      </c>
      <c r="O5" s="114" t="s">
        <v>348</v>
      </c>
      <c r="P5" s="114" t="s">
        <v>349</v>
      </c>
      <c r="Q5" s="114" t="s">
        <v>350</v>
      </c>
      <c r="R5" s="285" t="s">
        <v>351</v>
      </c>
      <c r="S5" s="115" t="s">
        <v>352</v>
      </c>
    </row>
    <row r="6" spans="1:19" ht="46.5" customHeight="1">
      <c r="A6" s="154"/>
      <c r="B6" s="568" t="s">
        <v>353</v>
      </c>
      <c r="C6" s="566">
        <v>0</v>
      </c>
      <c r="D6" s="567"/>
      <c r="E6" s="566">
        <v>0.2</v>
      </c>
      <c r="F6" s="567"/>
      <c r="G6" s="566">
        <v>0.35</v>
      </c>
      <c r="H6" s="567"/>
      <c r="I6" s="566">
        <v>0.5</v>
      </c>
      <c r="J6" s="567"/>
      <c r="K6" s="566">
        <v>0.75</v>
      </c>
      <c r="L6" s="567"/>
      <c r="M6" s="566">
        <v>1</v>
      </c>
      <c r="N6" s="567"/>
      <c r="O6" s="566">
        <v>1.5</v>
      </c>
      <c r="P6" s="567"/>
      <c r="Q6" s="566">
        <v>2.5</v>
      </c>
      <c r="R6" s="567"/>
      <c r="S6" s="564" t="s">
        <v>252</v>
      </c>
    </row>
    <row r="7" spans="1:19">
      <c r="A7" s="154"/>
      <c r="B7" s="569"/>
      <c r="C7" s="292" t="s">
        <v>346</v>
      </c>
      <c r="D7" s="292" t="s">
        <v>347</v>
      </c>
      <c r="E7" s="292" t="s">
        <v>346</v>
      </c>
      <c r="F7" s="292" t="s">
        <v>347</v>
      </c>
      <c r="G7" s="292" t="s">
        <v>346</v>
      </c>
      <c r="H7" s="292" t="s">
        <v>347</v>
      </c>
      <c r="I7" s="292" t="s">
        <v>346</v>
      </c>
      <c r="J7" s="292" t="s">
        <v>347</v>
      </c>
      <c r="K7" s="292" t="s">
        <v>346</v>
      </c>
      <c r="L7" s="292" t="s">
        <v>347</v>
      </c>
      <c r="M7" s="292" t="s">
        <v>346</v>
      </c>
      <c r="N7" s="292" t="s">
        <v>347</v>
      </c>
      <c r="O7" s="292" t="s">
        <v>346</v>
      </c>
      <c r="P7" s="292" t="s">
        <v>347</v>
      </c>
      <c r="Q7" s="292" t="s">
        <v>346</v>
      </c>
      <c r="R7" s="292" t="s">
        <v>347</v>
      </c>
      <c r="S7" s="565"/>
    </row>
    <row r="8" spans="1:19" s="158" customFormat="1">
      <c r="A8" s="118">
        <v>1</v>
      </c>
      <c r="B8" s="172" t="s">
        <v>217</v>
      </c>
      <c r="C8" s="269">
        <v>31158307.34</v>
      </c>
      <c r="D8" s="269">
        <v>0</v>
      </c>
      <c r="E8" s="269">
        <v>0</v>
      </c>
      <c r="F8" s="286"/>
      <c r="G8" s="269">
        <v>0</v>
      </c>
      <c r="H8" s="269"/>
      <c r="I8" s="269">
        <v>0</v>
      </c>
      <c r="J8" s="269"/>
      <c r="K8" s="269">
        <v>0</v>
      </c>
      <c r="L8" s="269"/>
      <c r="M8" s="269">
        <v>8085221.9613999985</v>
      </c>
      <c r="N8" s="269"/>
      <c r="O8" s="269">
        <v>0</v>
      </c>
      <c r="P8" s="269"/>
      <c r="Q8" s="269">
        <v>0</v>
      </c>
      <c r="R8" s="286"/>
      <c r="S8" s="427">
        <f>$C$6*SUM(C8:D8)+$E$6*SUM(E8:F8)+$G$6*SUM(G8:H8)+$I$6*SUM(I8:J8)+$K$6*SUM(K8:L8)+$M$6*SUM(M8:N8)+$O$6*SUM(O8:P8)+$Q$6*SUM(Q8:R8)</f>
        <v>8085221.9613999985</v>
      </c>
    </row>
    <row r="9" spans="1:19" s="158" customFormat="1">
      <c r="A9" s="118">
        <v>2</v>
      </c>
      <c r="B9" s="172" t="s">
        <v>218</v>
      </c>
      <c r="C9" s="269">
        <v>0</v>
      </c>
      <c r="D9" s="269">
        <v>0</v>
      </c>
      <c r="E9" s="269">
        <v>0</v>
      </c>
      <c r="F9" s="269"/>
      <c r="G9" s="269">
        <v>0</v>
      </c>
      <c r="H9" s="269"/>
      <c r="I9" s="269">
        <v>0</v>
      </c>
      <c r="J9" s="269"/>
      <c r="K9" s="269">
        <v>0</v>
      </c>
      <c r="L9" s="269"/>
      <c r="M9" s="269">
        <v>0</v>
      </c>
      <c r="N9" s="269"/>
      <c r="O9" s="269">
        <v>0</v>
      </c>
      <c r="P9" s="269"/>
      <c r="Q9" s="269">
        <v>0</v>
      </c>
      <c r="R9" s="286"/>
      <c r="S9" s="427">
        <f t="shared" ref="S9:S21" si="0">$C$6*SUM(C9:D9)+$E$6*SUM(E9:F9)+$G$6*SUM(G9:H9)+$I$6*SUM(I9:J9)+$K$6*SUM(K9:L9)+$M$6*SUM(M9:N9)+$O$6*SUM(O9:P9)+$Q$6*SUM(Q9:R9)</f>
        <v>0</v>
      </c>
    </row>
    <row r="10" spans="1:19" s="158" customFormat="1">
      <c r="A10" s="118">
        <v>3</v>
      </c>
      <c r="B10" s="172" t="s">
        <v>219</v>
      </c>
      <c r="C10" s="269">
        <v>0</v>
      </c>
      <c r="D10" s="269">
        <v>0</v>
      </c>
      <c r="E10" s="269">
        <v>0</v>
      </c>
      <c r="F10" s="269"/>
      <c r="G10" s="269">
        <v>0</v>
      </c>
      <c r="H10" s="269"/>
      <c r="I10" s="269">
        <v>0</v>
      </c>
      <c r="J10" s="269"/>
      <c r="K10" s="269">
        <v>0</v>
      </c>
      <c r="L10" s="269"/>
      <c r="M10" s="269">
        <v>0</v>
      </c>
      <c r="N10" s="269"/>
      <c r="O10" s="269">
        <v>0</v>
      </c>
      <c r="P10" s="269"/>
      <c r="Q10" s="269">
        <v>0</v>
      </c>
      <c r="R10" s="286"/>
      <c r="S10" s="427">
        <f t="shared" si="0"/>
        <v>0</v>
      </c>
    </row>
    <row r="11" spans="1:19" s="158" customFormat="1">
      <c r="A11" s="118">
        <v>4</v>
      </c>
      <c r="B11" s="172" t="s">
        <v>220</v>
      </c>
      <c r="C11" s="269">
        <v>0</v>
      </c>
      <c r="D11" s="269">
        <v>0</v>
      </c>
      <c r="E11" s="269">
        <v>0</v>
      </c>
      <c r="F11" s="269"/>
      <c r="G11" s="269">
        <v>0</v>
      </c>
      <c r="H11" s="269"/>
      <c r="I11" s="269">
        <v>0</v>
      </c>
      <c r="J11" s="269"/>
      <c r="K11" s="269">
        <v>0</v>
      </c>
      <c r="L11" s="269"/>
      <c r="M11" s="269">
        <v>0</v>
      </c>
      <c r="N11" s="269"/>
      <c r="O11" s="269">
        <v>0</v>
      </c>
      <c r="P11" s="269"/>
      <c r="Q11" s="269">
        <v>0</v>
      </c>
      <c r="R11" s="286"/>
      <c r="S11" s="427">
        <f t="shared" si="0"/>
        <v>0</v>
      </c>
    </row>
    <row r="12" spans="1:19" s="158" customFormat="1">
      <c r="A12" s="118">
        <v>5</v>
      </c>
      <c r="B12" s="172" t="s">
        <v>221</v>
      </c>
      <c r="C12" s="269">
        <v>0</v>
      </c>
      <c r="D12" s="269">
        <v>0</v>
      </c>
      <c r="E12" s="269">
        <v>0</v>
      </c>
      <c r="F12" s="269"/>
      <c r="G12" s="269">
        <v>0</v>
      </c>
      <c r="H12" s="269"/>
      <c r="I12" s="269">
        <v>0</v>
      </c>
      <c r="J12" s="269"/>
      <c r="K12" s="269">
        <v>0</v>
      </c>
      <c r="L12" s="269"/>
      <c r="M12" s="269">
        <v>0</v>
      </c>
      <c r="N12" s="269"/>
      <c r="O12" s="269">
        <v>0</v>
      </c>
      <c r="P12" s="269"/>
      <c r="Q12" s="269">
        <v>0</v>
      </c>
      <c r="R12" s="286"/>
      <c r="S12" s="427">
        <f t="shared" si="0"/>
        <v>0</v>
      </c>
    </row>
    <row r="13" spans="1:19" s="158" customFormat="1">
      <c r="A13" s="118">
        <v>6</v>
      </c>
      <c r="B13" s="172" t="s">
        <v>222</v>
      </c>
      <c r="C13" s="269">
        <v>0</v>
      </c>
      <c r="D13" s="269">
        <v>0</v>
      </c>
      <c r="E13" s="269">
        <v>0</v>
      </c>
      <c r="F13" s="269"/>
      <c r="G13" s="269">
        <v>0</v>
      </c>
      <c r="H13" s="269"/>
      <c r="I13" s="269">
        <v>11592600.550799999</v>
      </c>
      <c r="J13" s="269"/>
      <c r="K13" s="269">
        <v>0</v>
      </c>
      <c r="L13" s="269"/>
      <c r="M13" s="269">
        <v>0</v>
      </c>
      <c r="N13" s="269"/>
      <c r="O13" s="269">
        <v>0</v>
      </c>
      <c r="P13" s="269"/>
      <c r="Q13" s="269">
        <v>0</v>
      </c>
      <c r="R13" s="286"/>
      <c r="S13" s="427">
        <f t="shared" si="0"/>
        <v>5796300.2753999997</v>
      </c>
    </row>
    <row r="14" spans="1:19" s="158" customFormat="1">
      <c r="A14" s="118">
        <v>7</v>
      </c>
      <c r="B14" s="172" t="s">
        <v>74</v>
      </c>
      <c r="C14" s="269">
        <v>0</v>
      </c>
      <c r="D14" s="269">
        <v>0</v>
      </c>
      <c r="E14" s="269">
        <v>0</v>
      </c>
      <c r="F14" s="269"/>
      <c r="G14" s="269">
        <v>0</v>
      </c>
      <c r="H14" s="269"/>
      <c r="I14" s="269">
        <v>0</v>
      </c>
      <c r="J14" s="269"/>
      <c r="K14" s="269">
        <v>0</v>
      </c>
      <c r="L14" s="269"/>
      <c r="M14" s="269">
        <v>0</v>
      </c>
      <c r="N14" s="269"/>
      <c r="O14" s="269">
        <v>0</v>
      </c>
      <c r="P14" s="269"/>
      <c r="Q14" s="269">
        <v>0</v>
      </c>
      <c r="R14" s="286"/>
      <c r="S14" s="427">
        <f t="shared" si="0"/>
        <v>0</v>
      </c>
    </row>
    <row r="15" spans="1:19" s="158" customFormat="1">
      <c r="A15" s="118">
        <v>8</v>
      </c>
      <c r="B15" s="172" t="s">
        <v>75</v>
      </c>
      <c r="C15" s="269">
        <v>0</v>
      </c>
      <c r="D15" s="269">
        <v>0</v>
      </c>
      <c r="E15" s="269">
        <v>0</v>
      </c>
      <c r="F15" s="269" t="s">
        <v>5</v>
      </c>
      <c r="G15" s="269">
        <v>0</v>
      </c>
      <c r="H15" s="269"/>
      <c r="I15" s="269">
        <v>0</v>
      </c>
      <c r="J15" s="269"/>
      <c r="K15" s="269">
        <v>133182462.1242</v>
      </c>
      <c r="L15" s="269"/>
      <c r="M15" s="269">
        <v>1745841.09</v>
      </c>
      <c r="N15" s="269">
        <v>2440733.21985</v>
      </c>
      <c r="O15" s="269">
        <v>69988023.915600002</v>
      </c>
      <c r="P15" s="269"/>
      <c r="Q15" s="269">
        <v>0</v>
      </c>
      <c r="R15" s="286"/>
      <c r="S15" s="427">
        <f t="shared" si="0"/>
        <v>209055456.7764</v>
      </c>
    </row>
    <row r="16" spans="1:19" s="158" customFormat="1">
      <c r="A16" s="118">
        <v>9</v>
      </c>
      <c r="B16" s="172" t="s">
        <v>76</v>
      </c>
      <c r="C16" s="269">
        <v>0</v>
      </c>
      <c r="D16" s="269">
        <v>0</v>
      </c>
      <c r="E16" s="269">
        <v>0</v>
      </c>
      <c r="F16" s="269"/>
      <c r="G16" s="269">
        <v>0</v>
      </c>
      <c r="H16" s="269"/>
      <c r="I16" s="269">
        <v>0</v>
      </c>
      <c r="J16" s="269"/>
      <c r="K16" s="269">
        <v>0</v>
      </c>
      <c r="L16" s="269"/>
      <c r="M16" s="269">
        <v>0</v>
      </c>
      <c r="N16" s="269"/>
      <c r="O16" s="269">
        <v>0</v>
      </c>
      <c r="P16" s="269"/>
      <c r="Q16" s="269">
        <v>0</v>
      </c>
      <c r="R16" s="286"/>
      <c r="S16" s="427">
        <f t="shared" si="0"/>
        <v>0</v>
      </c>
    </row>
    <row r="17" spans="1:19" s="158" customFormat="1">
      <c r="A17" s="118">
        <v>10</v>
      </c>
      <c r="B17" s="172" t="s">
        <v>70</v>
      </c>
      <c r="C17" s="269">
        <v>0</v>
      </c>
      <c r="D17" s="269">
        <v>0</v>
      </c>
      <c r="E17" s="269">
        <v>0</v>
      </c>
      <c r="F17" s="269"/>
      <c r="G17" s="269">
        <v>0</v>
      </c>
      <c r="H17" s="269"/>
      <c r="I17" s="269">
        <v>0</v>
      </c>
      <c r="J17" s="269"/>
      <c r="K17" s="269">
        <v>0</v>
      </c>
      <c r="L17" s="269"/>
      <c r="M17" s="269">
        <v>973826.61620000005</v>
      </c>
      <c r="N17" s="269"/>
      <c r="O17" s="269">
        <v>301395.96000000002</v>
      </c>
      <c r="P17" s="269"/>
      <c r="Q17" s="269">
        <v>0</v>
      </c>
      <c r="R17" s="286"/>
      <c r="S17" s="427">
        <f t="shared" si="0"/>
        <v>1425920.5562</v>
      </c>
    </row>
    <row r="18" spans="1:19" s="158" customFormat="1">
      <c r="A18" s="118">
        <v>11</v>
      </c>
      <c r="B18" s="172" t="s">
        <v>71</v>
      </c>
      <c r="C18" s="269">
        <v>0</v>
      </c>
      <c r="D18" s="269">
        <v>0</v>
      </c>
      <c r="E18" s="269">
        <v>0</v>
      </c>
      <c r="F18" s="269"/>
      <c r="G18" s="269">
        <v>0</v>
      </c>
      <c r="H18" s="269"/>
      <c r="I18" s="269">
        <v>0</v>
      </c>
      <c r="J18" s="269"/>
      <c r="K18" s="269">
        <v>0</v>
      </c>
      <c r="L18" s="269"/>
      <c r="M18" s="269">
        <v>0</v>
      </c>
      <c r="N18" s="269"/>
      <c r="O18" s="269">
        <v>0</v>
      </c>
      <c r="P18" s="269"/>
      <c r="Q18" s="269">
        <v>0</v>
      </c>
      <c r="R18" s="286"/>
      <c r="S18" s="427">
        <f t="shared" si="0"/>
        <v>0</v>
      </c>
    </row>
    <row r="19" spans="1:19" s="158" customFormat="1">
      <c r="A19" s="118">
        <v>12</v>
      </c>
      <c r="B19" s="172" t="s">
        <v>72</v>
      </c>
      <c r="C19" s="269">
        <v>0</v>
      </c>
      <c r="D19" s="269">
        <v>0</v>
      </c>
      <c r="E19" s="269">
        <v>0</v>
      </c>
      <c r="F19" s="269"/>
      <c r="G19" s="269">
        <v>0</v>
      </c>
      <c r="H19" s="269"/>
      <c r="I19" s="269">
        <v>0</v>
      </c>
      <c r="J19" s="269"/>
      <c r="K19" s="269">
        <v>0</v>
      </c>
      <c r="L19" s="269"/>
      <c r="M19" s="269">
        <v>0</v>
      </c>
      <c r="N19" s="269"/>
      <c r="O19" s="269">
        <v>0</v>
      </c>
      <c r="P19" s="269"/>
      <c r="Q19" s="269">
        <v>0</v>
      </c>
      <c r="R19" s="286"/>
      <c r="S19" s="427">
        <f t="shared" si="0"/>
        <v>0</v>
      </c>
    </row>
    <row r="20" spans="1:19" s="158" customFormat="1">
      <c r="A20" s="118">
        <v>13</v>
      </c>
      <c r="B20" s="172" t="s">
        <v>73</v>
      </c>
      <c r="C20" s="269">
        <v>0</v>
      </c>
      <c r="D20" s="269">
        <v>0</v>
      </c>
      <c r="E20" s="269">
        <v>0</v>
      </c>
      <c r="F20" s="269"/>
      <c r="G20" s="269">
        <v>0</v>
      </c>
      <c r="H20" s="269"/>
      <c r="I20" s="269">
        <v>0</v>
      </c>
      <c r="J20" s="269"/>
      <c r="K20" s="269">
        <v>0</v>
      </c>
      <c r="L20" s="269"/>
      <c r="M20" s="269">
        <v>0</v>
      </c>
      <c r="N20" s="269"/>
      <c r="O20" s="269">
        <v>0</v>
      </c>
      <c r="P20" s="269"/>
      <c r="Q20" s="269">
        <v>0</v>
      </c>
      <c r="R20" s="286"/>
      <c r="S20" s="427">
        <f t="shared" si="0"/>
        <v>0</v>
      </c>
    </row>
    <row r="21" spans="1:19" s="158" customFormat="1">
      <c r="A21" s="118">
        <v>14</v>
      </c>
      <c r="B21" s="172" t="s">
        <v>250</v>
      </c>
      <c r="C21" s="269">
        <v>12613866.888800001</v>
      </c>
      <c r="D21" s="269">
        <v>0</v>
      </c>
      <c r="E21" s="269">
        <v>0</v>
      </c>
      <c r="F21" s="269"/>
      <c r="G21" s="269">
        <v>0</v>
      </c>
      <c r="H21" s="269"/>
      <c r="I21" s="269">
        <v>0</v>
      </c>
      <c r="J21" s="269"/>
      <c r="K21" s="269">
        <v>0</v>
      </c>
      <c r="L21" s="269"/>
      <c r="M21" s="269">
        <v>10664249.2809</v>
      </c>
      <c r="N21" s="269"/>
      <c r="O21" s="269">
        <v>0</v>
      </c>
      <c r="P21" s="269"/>
      <c r="Q21" s="269">
        <v>702987.65</v>
      </c>
      <c r="R21" s="286"/>
      <c r="S21" s="427">
        <f t="shared" si="0"/>
        <v>12421718.4059</v>
      </c>
    </row>
    <row r="22" spans="1:19" ht="13.5" thickBot="1">
      <c r="A22" s="100"/>
      <c r="B22" s="160" t="s">
        <v>69</v>
      </c>
      <c r="C22" s="270">
        <f>SUM(C8:C21)</f>
        <v>43772174.228799999</v>
      </c>
      <c r="D22" s="270">
        <f t="shared" ref="D22:S22" si="1">SUM(D8:D21)</f>
        <v>0</v>
      </c>
      <c r="E22" s="270">
        <f t="shared" si="1"/>
        <v>0</v>
      </c>
      <c r="F22" s="270">
        <f t="shared" si="1"/>
        <v>0</v>
      </c>
      <c r="G22" s="270">
        <f t="shared" si="1"/>
        <v>0</v>
      </c>
      <c r="H22" s="270">
        <f t="shared" si="1"/>
        <v>0</v>
      </c>
      <c r="I22" s="270">
        <f t="shared" si="1"/>
        <v>11592600.550799999</v>
      </c>
      <c r="J22" s="270">
        <f t="shared" si="1"/>
        <v>0</v>
      </c>
      <c r="K22" s="270">
        <f t="shared" si="1"/>
        <v>133182462.1242</v>
      </c>
      <c r="L22" s="270">
        <f t="shared" si="1"/>
        <v>0</v>
      </c>
      <c r="M22" s="270">
        <f t="shared" si="1"/>
        <v>21469138.9485</v>
      </c>
      <c r="N22" s="270">
        <f t="shared" si="1"/>
        <v>2440733.21985</v>
      </c>
      <c r="O22" s="270">
        <f t="shared" si="1"/>
        <v>70289419.875599995</v>
      </c>
      <c r="P22" s="270">
        <f t="shared" si="1"/>
        <v>0</v>
      </c>
      <c r="Q22" s="270">
        <f t="shared" si="1"/>
        <v>702987.65</v>
      </c>
      <c r="R22" s="270">
        <f t="shared" si="1"/>
        <v>0</v>
      </c>
      <c r="S22" s="428">
        <f t="shared" si="1"/>
        <v>236784617.97529998</v>
      </c>
    </row>
    <row r="31" spans="1:19" ht="15">
      <c r="B31" s="6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31"/>
  <sheetViews>
    <sheetView zoomScale="85" zoomScaleNormal="85" workbookViewId="0">
      <pane xSplit="2" ySplit="6" topLeftCell="I7" activePane="bottomRight" state="frozen"/>
      <selection activeCell="B21" sqref="B21:B22"/>
      <selection pane="topRight" activeCell="B21" sqref="B21:B22"/>
      <selection pane="bottomLeft" activeCell="B21" sqref="B21:B22"/>
      <selection pane="bottomRight" activeCell="B21" sqref="B21:B22"/>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c r="A1" s="2" t="s">
        <v>189</v>
      </c>
      <c r="B1" s="303" t="str">
        <f>Info!C2</f>
        <v>ფინკა ბანკი საქართველო სს</v>
      </c>
    </row>
    <row r="2" spans="1:22">
      <c r="A2" s="2" t="s">
        <v>190</v>
      </c>
      <c r="B2" s="440">
        <f>'1. key ratios'!B2</f>
        <v>44286</v>
      </c>
    </row>
    <row r="4" spans="1:22" ht="27.75" thickBot="1">
      <c r="A4" s="2" t="s">
        <v>340</v>
      </c>
      <c r="B4" s="294" t="s">
        <v>362</v>
      </c>
      <c r="V4" s="199" t="s">
        <v>94</v>
      </c>
    </row>
    <row r="5" spans="1:22">
      <c r="A5" s="98"/>
      <c r="B5" s="99"/>
      <c r="C5" s="570" t="s">
        <v>199</v>
      </c>
      <c r="D5" s="571"/>
      <c r="E5" s="571"/>
      <c r="F5" s="571"/>
      <c r="G5" s="571"/>
      <c r="H5" s="571"/>
      <c r="I5" s="571"/>
      <c r="J5" s="571"/>
      <c r="K5" s="571"/>
      <c r="L5" s="572"/>
      <c r="M5" s="570" t="s">
        <v>200</v>
      </c>
      <c r="N5" s="571"/>
      <c r="O5" s="571"/>
      <c r="P5" s="571"/>
      <c r="Q5" s="571"/>
      <c r="R5" s="571"/>
      <c r="S5" s="572"/>
      <c r="T5" s="575" t="s">
        <v>360</v>
      </c>
      <c r="U5" s="575" t="s">
        <v>359</v>
      </c>
      <c r="V5" s="573" t="s">
        <v>201</v>
      </c>
    </row>
    <row r="6" spans="1:22" s="65" customFormat="1" ht="127.5">
      <c r="A6" s="116"/>
      <c r="B6" s="174"/>
      <c r="C6" s="96" t="s">
        <v>202</v>
      </c>
      <c r="D6" s="95" t="s">
        <v>203</v>
      </c>
      <c r="E6" s="92" t="s">
        <v>204</v>
      </c>
      <c r="F6" s="295" t="s">
        <v>354</v>
      </c>
      <c r="G6" s="95" t="s">
        <v>205</v>
      </c>
      <c r="H6" s="95" t="s">
        <v>206</v>
      </c>
      <c r="I6" s="95" t="s">
        <v>207</v>
      </c>
      <c r="J6" s="95" t="s">
        <v>249</v>
      </c>
      <c r="K6" s="95" t="s">
        <v>208</v>
      </c>
      <c r="L6" s="97" t="s">
        <v>209</v>
      </c>
      <c r="M6" s="96" t="s">
        <v>210</v>
      </c>
      <c r="N6" s="95" t="s">
        <v>211</v>
      </c>
      <c r="O6" s="95" t="s">
        <v>212</v>
      </c>
      <c r="P6" s="95" t="s">
        <v>213</v>
      </c>
      <c r="Q6" s="95" t="s">
        <v>214</v>
      </c>
      <c r="R6" s="95" t="s">
        <v>215</v>
      </c>
      <c r="S6" s="97" t="s">
        <v>216</v>
      </c>
      <c r="T6" s="576"/>
      <c r="U6" s="576"/>
      <c r="V6" s="574"/>
    </row>
    <row r="7" spans="1:22" s="158" customFormat="1">
      <c r="A7" s="159">
        <v>1</v>
      </c>
      <c r="B7" s="157" t="s">
        <v>217</v>
      </c>
      <c r="C7" s="271"/>
      <c r="D7" s="269"/>
      <c r="E7" s="269"/>
      <c r="F7" s="269"/>
      <c r="G7" s="269"/>
      <c r="H7" s="269"/>
      <c r="I7" s="269"/>
      <c r="J7" s="269"/>
      <c r="K7" s="269"/>
      <c r="L7" s="272"/>
      <c r="M7" s="271"/>
      <c r="N7" s="269"/>
      <c r="O7" s="269"/>
      <c r="P7" s="269"/>
      <c r="Q7" s="269"/>
      <c r="R7" s="269"/>
      <c r="S7" s="272"/>
      <c r="T7" s="289"/>
      <c r="U7" s="288"/>
      <c r="V7" s="273">
        <f>SUM(C7:S7)</f>
        <v>0</v>
      </c>
    </row>
    <row r="8" spans="1:22" s="158" customFormat="1">
      <c r="A8" s="159">
        <v>2</v>
      </c>
      <c r="B8" s="157" t="s">
        <v>218</v>
      </c>
      <c r="C8" s="271"/>
      <c r="D8" s="269"/>
      <c r="E8" s="269"/>
      <c r="F8" s="269"/>
      <c r="G8" s="269"/>
      <c r="H8" s="269"/>
      <c r="I8" s="269"/>
      <c r="J8" s="269"/>
      <c r="K8" s="269"/>
      <c r="L8" s="272"/>
      <c r="M8" s="271"/>
      <c r="N8" s="269"/>
      <c r="O8" s="269"/>
      <c r="P8" s="269"/>
      <c r="Q8" s="269"/>
      <c r="R8" s="269"/>
      <c r="S8" s="272"/>
      <c r="T8" s="288"/>
      <c r="U8" s="288"/>
      <c r="V8" s="273">
        <f t="shared" ref="V8:V20" si="0">SUM(C8:S8)</f>
        <v>0</v>
      </c>
    </row>
    <row r="9" spans="1:22" s="158" customFormat="1">
      <c r="A9" s="159">
        <v>3</v>
      </c>
      <c r="B9" s="157" t="s">
        <v>219</v>
      </c>
      <c r="C9" s="271"/>
      <c r="D9" s="269"/>
      <c r="E9" s="269"/>
      <c r="F9" s="269"/>
      <c r="G9" s="269"/>
      <c r="H9" s="269"/>
      <c r="I9" s="269"/>
      <c r="J9" s="269"/>
      <c r="K9" s="269"/>
      <c r="L9" s="272"/>
      <c r="M9" s="271"/>
      <c r="N9" s="269"/>
      <c r="O9" s="269"/>
      <c r="P9" s="269"/>
      <c r="Q9" s="269"/>
      <c r="R9" s="269"/>
      <c r="S9" s="272"/>
      <c r="T9" s="288"/>
      <c r="U9" s="288"/>
      <c r="V9" s="273">
        <f>SUM(C9:S9)</f>
        <v>0</v>
      </c>
    </row>
    <row r="10" spans="1:22" s="158" customFormat="1">
      <c r="A10" s="159">
        <v>4</v>
      </c>
      <c r="B10" s="157" t="s">
        <v>220</v>
      </c>
      <c r="C10" s="271"/>
      <c r="D10" s="269"/>
      <c r="E10" s="269"/>
      <c r="F10" s="269"/>
      <c r="G10" s="269"/>
      <c r="H10" s="269"/>
      <c r="I10" s="269"/>
      <c r="J10" s="269"/>
      <c r="K10" s="269"/>
      <c r="L10" s="272"/>
      <c r="M10" s="271"/>
      <c r="N10" s="269"/>
      <c r="O10" s="269"/>
      <c r="P10" s="269"/>
      <c r="Q10" s="269"/>
      <c r="R10" s="269"/>
      <c r="S10" s="272"/>
      <c r="T10" s="288"/>
      <c r="U10" s="288"/>
      <c r="V10" s="273">
        <f t="shared" si="0"/>
        <v>0</v>
      </c>
    </row>
    <row r="11" spans="1:22" s="158" customFormat="1">
      <c r="A11" s="159">
        <v>5</v>
      </c>
      <c r="B11" s="157" t="s">
        <v>221</v>
      </c>
      <c r="C11" s="271"/>
      <c r="D11" s="269"/>
      <c r="E11" s="269"/>
      <c r="F11" s="269"/>
      <c r="G11" s="269"/>
      <c r="H11" s="269"/>
      <c r="I11" s="269"/>
      <c r="J11" s="269"/>
      <c r="K11" s="269"/>
      <c r="L11" s="272"/>
      <c r="M11" s="271"/>
      <c r="N11" s="269"/>
      <c r="O11" s="269"/>
      <c r="P11" s="269"/>
      <c r="Q11" s="269"/>
      <c r="R11" s="269"/>
      <c r="S11" s="272"/>
      <c r="T11" s="288"/>
      <c r="U11" s="288"/>
      <c r="V11" s="273">
        <f t="shared" si="0"/>
        <v>0</v>
      </c>
    </row>
    <row r="12" spans="1:22" s="158" customFormat="1">
      <c r="A12" s="159">
        <v>6</v>
      </c>
      <c r="B12" s="157" t="s">
        <v>222</v>
      </c>
      <c r="C12" s="271"/>
      <c r="D12" s="269"/>
      <c r="E12" s="269"/>
      <c r="F12" s="269"/>
      <c r="G12" s="269"/>
      <c r="H12" s="269"/>
      <c r="I12" s="269"/>
      <c r="J12" s="269"/>
      <c r="K12" s="269"/>
      <c r="L12" s="272"/>
      <c r="M12" s="271"/>
      <c r="N12" s="269"/>
      <c r="O12" s="269"/>
      <c r="P12" s="269"/>
      <c r="Q12" s="269"/>
      <c r="R12" s="269"/>
      <c r="S12" s="272"/>
      <c r="T12" s="288"/>
      <c r="U12" s="288"/>
      <c r="V12" s="273">
        <f t="shared" si="0"/>
        <v>0</v>
      </c>
    </row>
    <row r="13" spans="1:22" s="158" customFormat="1">
      <c r="A13" s="159">
        <v>7</v>
      </c>
      <c r="B13" s="157" t="s">
        <v>74</v>
      </c>
      <c r="C13" s="271"/>
      <c r="D13" s="269"/>
      <c r="E13" s="269"/>
      <c r="F13" s="269"/>
      <c r="G13" s="269"/>
      <c r="H13" s="269"/>
      <c r="I13" s="269"/>
      <c r="J13" s="269"/>
      <c r="K13" s="269"/>
      <c r="L13" s="272"/>
      <c r="M13" s="271"/>
      <c r="N13" s="269"/>
      <c r="O13" s="269"/>
      <c r="P13" s="269"/>
      <c r="Q13" s="269"/>
      <c r="R13" s="269"/>
      <c r="S13" s="272"/>
      <c r="T13" s="288"/>
      <c r="U13" s="288"/>
      <c r="V13" s="273">
        <f t="shared" si="0"/>
        <v>0</v>
      </c>
    </row>
    <row r="14" spans="1:22" s="158" customFormat="1">
      <c r="A14" s="159">
        <v>8</v>
      </c>
      <c r="B14" s="157" t="s">
        <v>75</v>
      </c>
      <c r="C14" s="271"/>
      <c r="D14" s="269"/>
      <c r="E14" s="269"/>
      <c r="F14" s="269"/>
      <c r="G14" s="269"/>
      <c r="H14" s="269"/>
      <c r="I14" s="269"/>
      <c r="J14" s="269"/>
      <c r="K14" s="269"/>
      <c r="L14" s="272"/>
      <c r="M14" s="271"/>
      <c r="N14" s="269"/>
      <c r="O14" s="269"/>
      <c r="P14" s="269"/>
      <c r="Q14" s="269"/>
      <c r="R14" s="269"/>
      <c r="S14" s="272"/>
      <c r="T14" s="288"/>
      <c r="U14" s="288"/>
      <c r="V14" s="273">
        <f t="shared" si="0"/>
        <v>0</v>
      </c>
    </row>
    <row r="15" spans="1:22" s="158" customFormat="1">
      <c r="A15" s="159">
        <v>9</v>
      </c>
      <c r="B15" s="157" t="s">
        <v>76</v>
      </c>
      <c r="C15" s="271"/>
      <c r="D15" s="269"/>
      <c r="E15" s="269"/>
      <c r="F15" s="269"/>
      <c r="G15" s="269"/>
      <c r="H15" s="269"/>
      <c r="I15" s="269"/>
      <c r="J15" s="269"/>
      <c r="K15" s="269"/>
      <c r="L15" s="272"/>
      <c r="M15" s="271"/>
      <c r="N15" s="269"/>
      <c r="O15" s="269"/>
      <c r="P15" s="269"/>
      <c r="Q15" s="269"/>
      <c r="R15" s="269"/>
      <c r="S15" s="272"/>
      <c r="T15" s="288"/>
      <c r="U15" s="288"/>
      <c r="V15" s="273">
        <f t="shared" si="0"/>
        <v>0</v>
      </c>
    </row>
    <row r="16" spans="1:22" s="158" customFormat="1">
      <c r="A16" s="159">
        <v>10</v>
      </c>
      <c r="B16" s="157" t="s">
        <v>70</v>
      </c>
      <c r="C16" s="271"/>
      <c r="D16" s="269"/>
      <c r="E16" s="269"/>
      <c r="F16" s="269"/>
      <c r="G16" s="269"/>
      <c r="H16" s="269"/>
      <c r="I16" s="269"/>
      <c r="J16" s="269"/>
      <c r="K16" s="269"/>
      <c r="L16" s="272"/>
      <c r="M16" s="271"/>
      <c r="N16" s="269"/>
      <c r="O16" s="269"/>
      <c r="P16" s="269"/>
      <c r="Q16" s="269"/>
      <c r="R16" s="269"/>
      <c r="S16" s="272"/>
      <c r="T16" s="288"/>
      <c r="U16" s="288"/>
      <c r="V16" s="273">
        <f t="shared" si="0"/>
        <v>0</v>
      </c>
    </row>
    <row r="17" spans="1:22" s="158" customFormat="1">
      <c r="A17" s="159">
        <v>11</v>
      </c>
      <c r="B17" s="157" t="s">
        <v>71</v>
      </c>
      <c r="C17" s="271"/>
      <c r="D17" s="269"/>
      <c r="E17" s="269"/>
      <c r="F17" s="269"/>
      <c r="G17" s="269"/>
      <c r="H17" s="269"/>
      <c r="I17" s="269"/>
      <c r="J17" s="269"/>
      <c r="K17" s="269"/>
      <c r="L17" s="272"/>
      <c r="M17" s="271"/>
      <c r="N17" s="269"/>
      <c r="O17" s="269"/>
      <c r="P17" s="269"/>
      <c r="Q17" s="269"/>
      <c r="R17" s="269"/>
      <c r="S17" s="272"/>
      <c r="T17" s="288"/>
      <c r="U17" s="288"/>
      <c r="V17" s="273">
        <f t="shared" si="0"/>
        <v>0</v>
      </c>
    </row>
    <row r="18" spans="1:22" s="158" customFormat="1">
      <c r="A18" s="159">
        <v>12</v>
      </c>
      <c r="B18" s="157" t="s">
        <v>72</v>
      </c>
      <c r="C18" s="271"/>
      <c r="D18" s="269"/>
      <c r="E18" s="269"/>
      <c r="F18" s="269"/>
      <c r="G18" s="269"/>
      <c r="H18" s="269"/>
      <c r="I18" s="269"/>
      <c r="J18" s="269"/>
      <c r="K18" s="269"/>
      <c r="L18" s="272"/>
      <c r="M18" s="271"/>
      <c r="N18" s="269"/>
      <c r="O18" s="269"/>
      <c r="P18" s="269"/>
      <c r="Q18" s="269"/>
      <c r="R18" s="269"/>
      <c r="S18" s="272"/>
      <c r="T18" s="288"/>
      <c r="U18" s="288"/>
      <c r="V18" s="273">
        <f t="shared" si="0"/>
        <v>0</v>
      </c>
    </row>
    <row r="19" spans="1:22" s="158" customFormat="1">
      <c r="A19" s="159">
        <v>13</v>
      </c>
      <c r="B19" s="157" t="s">
        <v>73</v>
      </c>
      <c r="C19" s="271"/>
      <c r="D19" s="269"/>
      <c r="E19" s="269"/>
      <c r="F19" s="269"/>
      <c r="G19" s="269"/>
      <c r="H19" s="269"/>
      <c r="I19" s="269"/>
      <c r="J19" s="269"/>
      <c r="K19" s="269"/>
      <c r="L19" s="272"/>
      <c r="M19" s="271"/>
      <c r="N19" s="269"/>
      <c r="O19" s="269"/>
      <c r="P19" s="269"/>
      <c r="Q19" s="269"/>
      <c r="R19" s="269"/>
      <c r="S19" s="272"/>
      <c r="T19" s="288"/>
      <c r="U19" s="288"/>
      <c r="V19" s="273">
        <f t="shared" si="0"/>
        <v>0</v>
      </c>
    </row>
    <row r="20" spans="1:22" s="158" customFormat="1">
      <c r="A20" s="159">
        <v>14</v>
      </c>
      <c r="B20" s="157" t="s">
        <v>250</v>
      </c>
      <c r="C20" s="271"/>
      <c r="D20" s="269"/>
      <c r="E20" s="269"/>
      <c r="F20" s="269"/>
      <c r="G20" s="269"/>
      <c r="H20" s="269"/>
      <c r="I20" s="269"/>
      <c r="J20" s="269"/>
      <c r="K20" s="269"/>
      <c r="L20" s="272"/>
      <c r="M20" s="271"/>
      <c r="N20" s="269"/>
      <c r="O20" s="269"/>
      <c r="P20" s="269"/>
      <c r="Q20" s="269"/>
      <c r="R20" s="269"/>
      <c r="S20" s="272"/>
      <c r="T20" s="288"/>
      <c r="U20" s="288"/>
      <c r="V20" s="273">
        <f t="shared" si="0"/>
        <v>0</v>
      </c>
    </row>
    <row r="21" spans="1:22" ht="13.5" thickBot="1">
      <c r="A21" s="100"/>
      <c r="B21" s="101" t="s">
        <v>69</v>
      </c>
      <c r="C21" s="274">
        <f>SUM(C7:C20)</f>
        <v>0</v>
      </c>
      <c r="D21" s="270">
        <f t="shared" ref="D21:V21" si="1">SUM(D7:D20)</f>
        <v>0</v>
      </c>
      <c r="E21" s="270">
        <f t="shared" si="1"/>
        <v>0</v>
      </c>
      <c r="F21" s="270">
        <f t="shared" si="1"/>
        <v>0</v>
      </c>
      <c r="G21" s="270">
        <f t="shared" si="1"/>
        <v>0</v>
      </c>
      <c r="H21" s="270">
        <f t="shared" si="1"/>
        <v>0</v>
      </c>
      <c r="I21" s="270">
        <f t="shared" si="1"/>
        <v>0</v>
      </c>
      <c r="J21" s="270">
        <f t="shared" si="1"/>
        <v>0</v>
      </c>
      <c r="K21" s="270">
        <f t="shared" si="1"/>
        <v>0</v>
      </c>
      <c r="L21" s="275">
        <f t="shared" si="1"/>
        <v>0</v>
      </c>
      <c r="M21" s="274">
        <f t="shared" si="1"/>
        <v>0</v>
      </c>
      <c r="N21" s="270">
        <f t="shared" si="1"/>
        <v>0</v>
      </c>
      <c r="O21" s="270">
        <f t="shared" si="1"/>
        <v>0</v>
      </c>
      <c r="P21" s="270">
        <f t="shared" si="1"/>
        <v>0</v>
      </c>
      <c r="Q21" s="270">
        <f t="shared" si="1"/>
        <v>0</v>
      </c>
      <c r="R21" s="270">
        <f t="shared" si="1"/>
        <v>0</v>
      </c>
      <c r="S21" s="275">
        <f t="shared" si="1"/>
        <v>0</v>
      </c>
      <c r="T21" s="275">
        <f>SUM(T7:T20)</f>
        <v>0</v>
      </c>
      <c r="U21" s="275">
        <f t="shared" si="1"/>
        <v>0</v>
      </c>
      <c r="V21" s="276">
        <f t="shared" si="1"/>
        <v>0</v>
      </c>
    </row>
    <row r="24" spans="1:22">
      <c r="A24" s="19"/>
      <c r="B24" s="19"/>
      <c r="C24" s="69"/>
      <c r="D24" s="69"/>
      <c r="E24" s="69"/>
    </row>
    <row r="25" spans="1:22">
      <c r="A25" s="93"/>
      <c r="B25" s="93"/>
      <c r="C25" s="19"/>
      <c r="D25" s="69"/>
      <c r="E25" s="69"/>
    </row>
    <row r="26" spans="1:22">
      <c r="A26" s="93"/>
      <c r="B26" s="94"/>
      <c r="C26" s="19"/>
      <c r="D26" s="69"/>
      <c r="E26" s="69"/>
    </row>
    <row r="27" spans="1:22">
      <c r="A27" s="93"/>
      <c r="B27" s="93"/>
      <c r="C27" s="19"/>
      <c r="D27" s="69"/>
      <c r="E27" s="69"/>
    </row>
    <row r="28" spans="1:22">
      <c r="A28" s="93"/>
      <c r="B28" s="94"/>
      <c r="C28" s="19"/>
      <c r="D28" s="69"/>
      <c r="E28" s="69"/>
    </row>
    <row r="31" spans="1:22" ht="15">
      <c r="B31" s="66"/>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31"/>
  <sheetViews>
    <sheetView zoomScale="85" zoomScaleNormal="85" workbookViewId="0">
      <pane xSplit="1" ySplit="7" topLeftCell="B8" activePane="bottomRight" state="frozen"/>
      <selection activeCell="B21" sqref="B21:B22"/>
      <selection pane="topRight" activeCell="B21" sqref="B21:B22"/>
      <selection pane="bottomLeft" activeCell="B21" sqref="B21:B22"/>
      <selection pane="bottomRight" activeCell="F38" sqref="F38"/>
    </sheetView>
  </sheetViews>
  <sheetFormatPr defaultColWidth="9.140625" defaultRowHeight="12.75"/>
  <cols>
    <col min="1" max="1" width="10.5703125" style="2" bestFit="1" customWidth="1"/>
    <col min="2" max="2" width="102.7109375" style="2" bestFit="1"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c r="A1" s="2" t="s">
        <v>189</v>
      </c>
      <c r="B1" s="303" t="str">
        <f>Info!C2</f>
        <v>ფინკა ბანკი საქართველო სს</v>
      </c>
    </row>
    <row r="2" spans="1:9">
      <c r="A2" s="2" t="s">
        <v>190</v>
      </c>
      <c r="B2" s="440">
        <f>'1. key ratios'!B2</f>
        <v>44286</v>
      </c>
    </row>
    <row r="4" spans="1:9" ht="13.5" thickBot="1">
      <c r="A4" s="2" t="s">
        <v>341</v>
      </c>
      <c r="B4" s="291" t="s">
        <v>363</v>
      </c>
    </row>
    <row r="5" spans="1:9">
      <c r="A5" s="98"/>
      <c r="B5" s="155"/>
      <c r="C5" s="161" t="s">
        <v>0</v>
      </c>
      <c r="D5" s="161" t="s">
        <v>1</v>
      </c>
      <c r="E5" s="161" t="s">
        <v>2</v>
      </c>
      <c r="F5" s="161" t="s">
        <v>3</v>
      </c>
      <c r="G5" s="287" t="s">
        <v>4</v>
      </c>
      <c r="H5" s="162" t="s">
        <v>6</v>
      </c>
      <c r="I5" s="25"/>
    </row>
    <row r="6" spans="1:9" ht="15" customHeight="1">
      <c r="A6" s="154"/>
      <c r="B6" s="23"/>
      <c r="C6" s="577" t="s">
        <v>355</v>
      </c>
      <c r="D6" s="581" t="s">
        <v>365</v>
      </c>
      <c r="E6" s="582"/>
      <c r="F6" s="577" t="s">
        <v>366</v>
      </c>
      <c r="G6" s="577" t="s">
        <v>367</v>
      </c>
      <c r="H6" s="579" t="s">
        <v>357</v>
      </c>
      <c r="I6" s="25"/>
    </row>
    <row r="7" spans="1:9" ht="78" customHeight="1">
      <c r="A7" s="154"/>
      <c r="B7" s="23"/>
      <c r="C7" s="578"/>
      <c r="D7" s="290" t="s">
        <v>358</v>
      </c>
      <c r="E7" s="290" t="s">
        <v>356</v>
      </c>
      <c r="F7" s="578"/>
      <c r="G7" s="578"/>
      <c r="H7" s="580"/>
      <c r="I7" s="25"/>
    </row>
    <row r="8" spans="1:9">
      <c r="A8" s="89">
        <v>1</v>
      </c>
      <c r="B8" s="71" t="s">
        <v>217</v>
      </c>
      <c r="C8" s="443">
        <v>39243529.301399998</v>
      </c>
      <c r="D8" s="444"/>
      <c r="E8" s="443"/>
      <c r="F8" s="443">
        <v>8085221.9613999985</v>
      </c>
      <c r="G8" s="445">
        <v>8085221.9613999985</v>
      </c>
      <c r="H8" s="296">
        <f>G8/(C8+E8)</f>
        <v>0.20602688150964957</v>
      </c>
    </row>
    <row r="9" spans="1:9" ht="15" customHeight="1">
      <c r="A9" s="89">
        <v>2</v>
      </c>
      <c r="B9" s="71" t="s">
        <v>218</v>
      </c>
      <c r="C9" s="443"/>
      <c r="D9" s="444"/>
      <c r="E9" s="443"/>
      <c r="F9" s="443"/>
      <c r="G9" s="445"/>
      <c r="H9" s="296"/>
    </row>
    <row r="10" spans="1:9">
      <c r="A10" s="89">
        <v>3</v>
      </c>
      <c r="B10" s="71" t="s">
        <v>219</v>
      </c>
      <c r="C10" s="443"/>
      <c r="D10" s="444"/>
      <c r="E10" s="443"/>
      <c r="F10" s="443"/>
      <c r="G10" s="445"/>
      <c r="H10" s="296"/>
    </row>
    <row r="11" spans="1:9">
      <c r="A11" s="89">
        <v>4</v>
      </c>
      <c r="B11" s="71" t="s">
        <v>220</v>
      </c>
      <c r="C11" s="443"/>
      <c r="D11" s="444"/>
      <c r="E11" s="443"/>
      <c r="F11" s="443"/>
      <c r="G11" s="445"/>
      <c r="H11" s="296"/>
    </row>
    <row r="12" spans="1:9">
      <c r="A12" s="89">
        <v>5</v>
      </c>
      <c r="B12" s="71" t="s">
        <v>221</v>
      </c>
      <c r="C12" s="443"/>
      <c r="D12" s="444"/>
      <c r="E12" s="443"/>
      <c r="F12" s="443"/>
      <c r="G12" s="445"/>
      <c r="H12" s="296"/>
    </row>
    <row r="13" spans="1:9">
      <c r="A13" s="89">
        <v>6</v>
      </c>
      <c r="B13" s="71" t="s">
        <v>222</v>
      </c>
      <c r="C13" s="443">
        <v>11592600.550799999</v>
      </c>
      <c r="D13" s="444"/>
      <c r="E13" s="443"/>
      <c r="F13" s="443">
        <v>5796300.2753999997</v>
      </c>
      <c r="G13" s="445">
        <v>5796300.2753999997</v>
      </c>
      <c r="H13" s="296">
        <f>G13/(C13+E13)</f>
        <v>0.5</v>
      </c>
    </row>
    <row r="14" spans="1:9">
      <c r="A14" s="89">
        <v>7</v>
      </c>
      <c r="B14" s="71" t="s">
        <v>74</v>
      </c>
      <c r="C14" s="443">
        <v>0</v>
      </c>
      <c r="D14" s="444"/>
      <c r="E14" s="443"/>
      <c r="F14" s="444">
        <v>0</v>
      </c>
      <c r="G14" s="446">
        <v>0</v>
      </c>
      <c r="H14" s="296"/>
    </row>
    <row r="15" spans="1:9">
      <c r="A15" s="89">
        <v>8</v>
      </c>
      <c r="B15" s="71" t="s">
        <v>75</v>
      </c>
      <c r="C15" s="443">
        <v>204916327.12979999</v>
      </c>
      <c r="D15" s="444">
        <v>4888509.8817000007</v>
      </c>
      <c r="E15" s="443">
        <v>2440733.21985</v>
      </c>
      <c r="F15" s="444">
        <v>209055456.7764</v>
      </c>
      <c r="G15" s="446">
        <v>209055456.7764</v>
      </c>
      <c r="H15" s="296">
        <f>G15/(C15+E15)</f>
        <v>1.0081906853033415</v>
      </c>
    </row>
    <row r="16" spans="1:9">
      <c r="A16" s="89">
        <v>9</v>
      </c>
      <c r="B16" s="71" t="s">
        <v>76</v>
      </c>
      <c r="C16" s="443">
        <v>0</v>
      </c>
      <c r="D16" s="444"/>
      <c r="E16" s="443"/>
      <c r="F16" s="444">
        <v>0</v>
      </c>
      <c r="G16" s="446">
        <v>0</v>
      </c>
      <c r="H16" s="296"/>
    </row>
    <row r="17" spans="1:8">
      <c r="A17" s="89">
        <v>10</v>
      </c>
      <c r="B17" s="71" t="s">
        <v>70</v>
      </c>
      <c r="C17" s="443">
        <v>1275222.5762</v>
      </c>
      <c r="D17" s="444"/>
      <c r="E17" s="443"/>
      <c r="F17" s="444">
        <v>1425920.5562</v>
      </c>
      <c r="G17" s="446">
        <v>1425920.5562</v>
      </c>
      <c r="H17" s="296">
        <f>G17/(C17+E17)</f>
        <v>1.1181738645570882</v>
      </c>
    </row>
    <row r="18" spans="1:8">
      <c r="A18" s="89">
        <v>11</v>
      </c>
      <c r="B18" s="71" t="s">
        <v>71</v>
      </c>
      <c r="C18" s="443">
        <v>0</v>
      </c>
      <c r="D18" s="444"/>
      <c r="E18" s="443"/>
      <c r="F18" s="444">
        <v>0</v>
      </c>
      <c r="G18" s="446">
        <v>0</v>
      </c>
      <c r="H18" s="296"/>
    </row>
    <row r="19" spans="1:8">
      <c r="A19" s="89">
        <v>12</v>
      </c>
      <c r="B19" s="71" t="s">
        <v>72</v>
      </c>
      <c r="C19" s="443">
        <v>0</v>
      </c>
      <c r="D19" s="444"/>
      <c r="E19" s="443"/>
      <c r="F19" s="444">
        <v>0</v>
      </c>
      <c r="G19" s="446">
        <v>0</v>
      </c>
      <c r="H19" s="296"/>
    </row>
    <row r="20" spans="1:8">
      <c r="A20" s="89">
        <v>13</v>
      </c>
      <c r="B20" s="71" t="s">
        <v>73</v>
      </c>
      <c r="C20" s="443">
        <v>0</v>
      </c>
      <c r="D20" s="444"/>
      <c r="E20" s="443"/>
      <c r="F20" s="444">
        <v>0</v>
      </c>
      <c r="G20" s="446">
        <v>0</v>
      </c>
      <c r="H20" s="296"/>
    </row>
    <row r="21" spans="1:8">
      <c r="A21" s="89">
        <v>14</v>
      </c>
      <c r="B21" s="71" t="s">
        <v>250</v>
      </c>
      <c r="C21" s="443">
        <v>23981103.819699999</v>
      </c>
      <c r="D21" s="444"/>
      <c r="E21" s="443"/>
      <c r="F21" s="444">
        <v>12421718.4059</v>
      </c>
      <c r="G21" s="446">
        <v>12421718.4059</v>
      </c>
      <c r="H21" s="296">
        <f>G21/(C21+E21)</f>
        <v>0.51797942660570129</v>
      </c>
    </row>
    <row r="22" spans="1:8" ht="13.5" thickBot="1">
      <c r="A22" s="156"/>
      <c r="B22" s="163" t="s">
        <v>69</v>
      </c>
      <c r="C22" s="270">
        <f>SUM(C8:C21)</f>
        <v>281008783.3779</v>
      </c>
      <c r="D22" s="270">
        <f>SUM(D8:D21)</f>
        <v>4888509.8817000007</v>
      </c>
      <c r="E22" s="270">
        <f>SUM(E8:E21)</f>
        <v>2440733.21985</v>
      </c>
      <c r="F22" s="270">
        <f>SUM(F8:F21)</f>
        <v>236784617.97529998</v>
      </c>
      <c r="G22" s="270">
        <f>SUM(G8:G21)</f>
        <v>236784617.97529998</v>
      </c>
      <c r="H22" s="297">
        <f>G22/(C22+E22)</f>
        <v>0.83536786662200135</v>
      </c>
    </row>
    <row r="28" spans="1:8" ht="10.5" customHeight="1"/>
    <row r="31" spans="1:8" ht="15">
      <c r="B31" s="66"/>
    </row>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85" zoomScaleNormal="85" workbookViewId="0">
      <pane xSplit="2" ySplit="6" topLeftCell="C7" activePane="bottomRight" state="frozen"/>
      <selection activeCell="B21" sqref="B21:B22"/>
      <selection pane="topRight" activeCell="B21" sqref="B21:B22"/>
      <selection pane="bottomLeft" activeCell="B21" sqref="B21:B22"/>
      <selection pane="bottomRight" activeCell="E28" sqref="E28"/>
    </sheetView>
  </sheetViews>
  <sheetFormatPr defaultColWidth="9.140625" defaultRowHeight="15"/>
  <cols>
    <col min="1" max="1" width="10.5703125" style="66" bestFit="1" customWidth="1"/>
    <col min="2" max="2" width="101.7109375" style="66" bestFit="1" customWidth="1"/>
    <col min="3" max="11" width="12.7109375" style="66" customWidth="1"/>
    <col min="12" max="16384" width="9.140625" style="66"/>
  </cols>
  <sheetData>
    <row r="1" spans="1:11">
      <c r="A1" s="66" t="s">
        <v>189</v>
      </c>
      <c r="B1" s="66" t="str">
        <f>Info!C2</f>
        <v>ფინკა ბანკი საქართველო სს</v>
      </c>
    </row>
    <row r="2" spans="1:11">
      <c r="A2" s="66" t="s">
        <v>190</v>
      </c>
      <c r="B2" s="442">
        <f>'1. key ratios'!B2</f>
        <v>44286</v>
      </c>
      <c r="C2" s="480"/>
      <c r="D2" s="480"/>
    </row>
    <row r="3" spans="1:11">
      <c r="B3" s="480"/>
      <c r="C3" s="480"/>
      <c r="D3" s="480"/>
    </row>
    <row r="4" spans="1:11" ht="15.75" thickBot="1">
      <c r="A4" s="66" t="s">
        <v>396</v>
      </c>
      <c r="B4" s="487" t="s">
        <v>395</v>
      </c>
      <c r="C4" s="480"/>
      <c r="D4" s="480"/>
    </row>
    <row r="5" spans="1:11" ht="30" customHeight="1">
      <c r="A5" s="586"/>
      <c r="B5" s="587"/>
      <c r="C5" s="584" t="s">
        <v>427</v>
      </c>
      <c r="D5" s="584"/>
      <c r="E5" s="584"/>
      <c r="F5" s="584" t="s">
        <v>428</v>
      </c>
      <c r="G5" s="584"/>
      <c r="H5" s="584"/>
      <c r="I5" s="584" t="s">
        <v>429</v>
      </c>
      <c r="J5" s="584"/>
      <c r="K5" s="585"/>
    </row>
    <row r="6" spans="1:11">
      <c r="A6" s="488"/>
      <c r="B6" s="489"/>
      <c r="C6" s="490" t="s">
        <v>28</v>
      </c>
      <c r="D6" s="490" t="s">
        <v>97</v>
      </c>
      <c r="E6" s="490" t="s">
        <v>69</v>
      </c>
      <c r="F6" s="490" t="s">
        <v>28</v>
      </c>
      <c r="G6" s="490" t="s">
        <v>97</v>
      </c>
      <c r="H6" s="490" t="s">
        <v>69</v>
      </c>
      <c r="I6" s="490" t="s">
        <v>28</v>
      </c>
      <c r="J6" s="490" t="s">
        <v>97</v>
      </c>
      <c r="K6" s="491" t="s">
        <v>69</v>
      </c>
    </row>
    <row r="7" spans="1:11">
      <c r="A7" s="492" t="s">
        <v>375</v>
      </c>
      <c r="B7" s="493"/>
      <c r="C7" s="493"/>
      <c r="D7" s="493"/>
      <c r="E7" s="493"/>
      <c r="F7" s="493"/>
      <c r="G7" s="493"/>
      <c r="H7" s="493"/>
      <c r="I7" s="493"/>
      <c r="J7" s="493"/>
      <c r="K7" s="494"/>
    </row>
    <row r="8" spans="1:11">
      <c r="A8" s="495">
        <v>1</v>
      </c>
      <c r="B8" s="496" t="s">
        <v>375</v>
      </c>
      <c r="C8" s="497"/>
      <c r="D8" s="497"/>
      <c r="E8" s="497"/>
      <c r="F8" s="498">
        <v>17502838.117391199</v>
      </c>
      <c r="G8" s="498">
        <v>32046686.889015596</v>
      </c>
      <c r="H8" s="498">
        <v>49549525.006406799</v>
      </c>
      <c r="I8" s="498">
        <v>17979749.966400001</v>
      </c>
      <c r="J8" s="498">
        <v>25737018.300799999</v>
      </c>
      <c r="K8" s="499">
        <v>43716768.267200001</v>
      </c>
    </row>
    <row r="9" spans="1:11">
      <c r="A9" s="492" t="s">
        <v>376</v>
      </c>
      <c r="B9" s="493"/>
      <c r="C9" s="493"/>
      <c r="D9" s="493"/>
      <c r="E9" s="493"/>
      <c r="F9" s="493"/>
      <c r="G9" s="493"/>
      <c r="H9" s="493"/>
      <c r="I9" s="493"/>
      <c r="J9" s="493"/>
      <c r="K9" s="494"/>
    </row>
    <row r="10" spans="1:11">
      <c r="A10" s="500">
        <v>2</v>
      </c>
      <c r="B10" s="501" t="s">
        <v>377</v>
      </c>
      <c r="C10" s="502">
        <v>80662857.299661398</v>
      </c>
      <c r="D10" s="503">
        <v>27363490.409804903</v>
      </c>
      <c r="E10" s="503">
        <v>108026347.70946629</v>
      </c>
      <c r="F10" s="503">
        <v>5178956.9967509964</v>
      </c>
      <c r="G10" s="503">
        <v>4102514.9348672992</v>
      </c>
      <c r="H10" s="503">
        <v>9281471.9316182937</v>
      </c>
      <c r="I10" s="503">
        <v>5780111.8838</v>
      </c>
      <c r="J10" s="503">
        <v>3952528.4912255001</v>
      </c>
      <c r="K10" s="504">
        <v>9732640.3750254996</v>
      </c>
    </row>
    <row r="11" spans="1:11">
      <c r="A11" s="500">
        <v>3</v>
      </c>
      <c r="B11" s="501" t="s">
        <v>378</v>
      </c>
      <c r="C11" s="502">
        <v>66590399.222997606</v>
      </c>
      <c r="D11" s="503">
        <v>21971395.632786699</v>
      </c>
      <c r="E11" s="503">
        <v>88561794.855784312</v>
      </c>
      <c r="F11" s="503">
        <v>10670748.34906524</v>
      </c>
      <c r="G11" s="503">
        <v>1512771.3815948749</v>
      </c>
      <c r="H11" s="503">
        <v>12183519.730660113</v>
      </c>
      <c r="I11" s="503">
        <v>14976161.269499999</v>
      </c>
      <c r="J11" s="503">
        <v>759974.16832499998</v>
      </c>
      <c r="K11" s="504">
        <v>15736135.437824998</v>
      </c>
    </row>
    <row r="12" spans="1:11">
      <c r="A12" s="500">
        <v>4</v>
      </c>
      <c r="B12" s="501" t="s">
        <v>379</v>
      </c>
      <c r="C12" s="502">
        <v>25061999.999999903</v>
      </c>
      <c r="D12" s="503">
        <v>0</v>
      </c>
      <c r="E12" s="503">
        <v>25061999.999999903</v>
      </c>
      <c r="F12" s="503">
        <v>0</v>
      </c>
      <c r="G12" s="503">
        <v>0</v>
      </c>
      <c r="H12" s="503">
        <v>0</v>
      </c>
      <c r="I12" s="503">
        <v>0</v>
      </c>
      <c r="J12" s="503">
        <v>0</v>
      </c>
      <c r="K12" s="504">
        <v>0</v>
      </c>
    </row>
    <row r="13" spans="1:11">
      <c r="A13" s="500">
        <v>5</v>
      </c>
      <c r="B13" s="501" t="s">
        <v>380</v>
      </c>
      <c r="C13" s="502">
        <v>4353350.2242220994</v>
      </c>
      <c r="D13" s="503">
        <v>5302.8472932000004</v>
      </c>
      <c r="E13" s="503">
        <v>4358653.0715152994</v>
      </c>
      <c r="F13" s="503">
        <v>871124.77703886002</v>
      </c>
      <c r="G13" s="503">
        <v>1240.990225025</v>
      </c>
      <c r="H13" s="503">
        <v>872365.76726388501</v>
      </c>
      <c r="I13" s="503">
        <v>976822.30449999997</v>
      </c>
      <c r="J13" s="503">
        <v>1176.153225</v>
      </c>
      <c r="K13" s="504">
        <v>977998.45772499999</v>
      </c>
    </row>
    <row r="14" spans="1:11">
      <c r="A14" s="500">
        <v>6</v>
      </c>
      <c r="B14" s="501" t="s">
        <v>394</v>
      </c>
      <c r="C14" s="502">
        <v>0</v>
      </c>
      <c r="D14" s="503">
        <v>0</v>
      </c>
      <c r="E14" s="503">
        <v>0</v>
      </c>
      <c r="F14" s="503"/>
      <c r="G14" s="503"/>
      <c r="H14" s="503"/>
      <c r="I14" s="503"/>
      <c r="J14" s="503"/>
      <c r="K14" s="504"/>
    </row>
    <row r="15" spans="1:11">
      <c r="A15" s="500">
        <v>7</v>
      </c>
      <c r="B15" s="501" t="s">
        <v>381</v>
      </c>
      <c r="C15" s="502">
        <v>8517719.9639188945</v>
      </c>
      <c r="D15" s="503">
        <v>4954585.7086071</v>
      </c>
      <c r="E15" s="503">
        <v>13472305.672525972</v>
      </c>
      <c r="F15" s="503">
        <v>751176.60077770241</v>
      </c>
      <c r="G15" s="503">
        <v>817202.74133550003</v>
      </c>
      <c r="H15" s="503">
        <v>1568379.3421132006</v>
      </c>
      <c r="I15" s="503">
        <v>529477.69000000134</v>
      </c>
      <c r="J15" s="503">
        <v>304268.66189999972</v>
      </c>
      <c r="K15" s="504">
        <v>833746.35190000385</v>
      </c>
    </row>
    <row r="16" spans="1:11">
      <c r="A16" s="500">
        <v>8</v>
      </c>
      <c r="B16" s="505" t="s">
        <v>382</v>
      </c>
      <c r="C16" s="502">
        <v>185186326.7107999</v>
      </c>
      <c r="D16" s="503">
        <v>54294774.5984919</v>
      </c>
      <c r="E16" s="503">
        <v>239481101.30929178</v>
      </c>
      <c r="F16" s="503">
        <v>17472006.723632798</v>
      </c>
      <c r="G16" s="503">
        <v>6433730.0480226995</v>
      </c>
      <c r="H16" s="503">
        <v>23905736.771655492</v>
      </c>
      <c r="I16" s="503">
        <v>22262573.147799999</v>
      </c>
      <c r="J16" s="503">
        <v>5017947.4746754998</v>
      </c>
      <c r="K16" s="504">
        <v>27280520.622475501</v>
      </c>
    </row>
    <row r="17" spans="1:11">
      <c r="A17" s="492" t="s">
        <v>383</v>
      </c>
      <c r="B17" s="493"/>
      <c r="C17" s="506"/>
      <c r="D17" s="506"/>
      <c r="E17" s="506"/>
      <c r="F17" s="506"/>
      <c r="G17" s="506"/>
      <c r="H17" s="506"/>
      <c r="I17" s="506"/>
      <c r="J17" s="506"/>
      <c r="K17" s="507"/>
    </row>
    <row r="18" spans="1:11">
      <c r="A18" s="500">
        <v>9</v>
      </c>
      <c r="B18" s="501" t="s">
        <v>384</v>
      </c>
      <c r="C18" s="502">
        <v>0</v>
      </c>
      <c r="D18" s="503">
        <v>0</v>
      </c>
      <c r="E18" s="503">
        <v>0</v>
      </c>
      <c r="F18" s="503">
        <v>0</v>
      </c>
      <c r="G18" s="503">
        <v>0</v>
      </c>
      <c r="H18" s="503">
        <v>0</v>
      </c>
      <c r="I18" s="503">
        <v>0</v>
      </c>
      <c r="J18" s="503">
        <v>0</v>
      </c>
      <c r="K18" s="504">
        <v>0</v>
      </c>
    </row>
    <row r="19" spans="1:11">
      <c r="A19" s="500">
        <v>10</v>
      </c>
      <c r="B19" s="501" t="s">
        <v>385</v>
      </c>
      <c r="C19" s="502">
        <v>165779433.56068462</v>
      </c>
      <c r="D19" s="503">
        <v>20870339.420232803</v>
      </c>
      <c r="E19" s="503">
        <v>186649772.98091745</v>
      </c>
      <c r="F19" s="503">
        <v>3674883.3382831002</v>
      </c>
      <c r="G19" s="503">
        <v>60611.826043699992</v>
      </c>
      <c r="H19" s="503">
        <v>3735495.1643268</v>
      </c>
      <c r="I19" s="503">
        <v>3758432.2957000001</v>
      </c>
      <c r="J19" s="503">
        <v>58921.449499999995</v>
      </c>
      <c r="K19" s="504">
        <v>3817353.7451999998</v>
      </c>
    </row>
    <row r="20" spans="1:11">
      <c r="A20" s="500">
        <v>11</v>
      </c>
      <c r="B20" s="501" t="s">
        <v>386</v>
      </c>
      <c r="C20" s="502">
        <v>2210670.6369998003</v>
      </c>
      <c r="D20" s="503">
        <v>1626330.7136929997</v>
      </c>
      <c r="E20" s="503">
        <v>3837001.3506927998</v>
      </c>
      <c r="F20" s="503">
        <v>799001.39355549996</v>
      </c>
      <c r="G20" s="503">
        <v>4158.9888888000005</v>
      </c>
      <c r="H20" s="503">
        <v>803160.38244429987</v>
      </c>
      <c r="I20" s="503">
        <v>557743.38</v>
      </c>
      <c r="J20" s="503">
        <v>192743</v>
      </c>
      <c r="K20" s="504">
        <v>750486.38</v>
      </c>
    </row>
    <row r="21" spans="1:11" ht="15.75" thickBot="1">
      <c r="A21" s="508">
        <v>12</v>
      </c>
      <c r="B21" s="509" t="s">
        <v>387</v>
      </c>
      <c r="C21" s="510">
        <v>167990104.19768441</v>
      </c>
      <c r="D21" s="511">
        <v>22496670.133925803</v>
      </c>
      <c r="E21" s="510">
        <v>190486774.33161026</v>
      </c>
      <c r="F21" s="511">
        <v>4473884.7318385998</v>
      </c>
      <c r="G21" s="511">
        <v>64770.81493249999</v>
      </c>
      <c r="H21" s="511">
        <v>4538655.5467710998</v>
      </c>
      <c r="I21" s="511">
        <v>4316175.6757000005</v>
      </c>
      <c r="J21" s="511">
        <v>251664.44949999999</v>
      </c>
      <c r="K21" s="512">
        <v>4567840.1251999997</v>
      </c>
    </row>
    <row r="22" spans="1:11" ht="51.75" customHeight="1" thickBot="1">
      <c r="A22" s="513"/>
      <c r="B22" s="514"/>
      <c r="C22" s="514"/>
      <c r="D22" s="514"/>
      <c r="E22" s="514"/>
      <c r="F22" s="583" t="s">
        <v>388</v>
      </c>
      <c r="G22" s="584"/>
      <c r="H22" s="584"/>
      <c r="I22" s="583" t="s">
        <v>389</v>
      </c>
      <c r="J22" s="584"/>
      <c r="K22" s="585"/>
    </row>
    <row r="23" spans="1:11">
      <c r="A23" s="515">
        <v>13</v>
      </c>
      <c r="B23" s="516" t="s">
        <v>375</v>
      </c>
      <c r="C23" s="517"/>
      <c r="D23" s="517"/>
      <c r="E23" s="517"/>
      <c r="F23" s="518">
        <v>17502838.117391199</v>
      </c>
      <c r="G23" s="518">
        <v>32046686.889015596</v>
      </c>
      <c r="H23" s="518">
        <v>49549525.006406799</v>
      </c>
      <c r="I23" s="518">
        <v>17979749.966400001</v>
      </c>
      <c r="J23" s="518">
        <v>25737018.300799999</v>
      </c>
      <c r="K23" s="519">
        <v>43716768.267200001</v>
      </c>
    </row>
    <row r="24" spans="1:11" ht="15.75" thickBot="1">
      <c r="A24" s="520">
        <v>14</v>
      </c>
      <c r="B24" s="521" t="s">
        <v>390</v>
      </c>
      <c r="C24" s="522"/>
      <c r="D24" s="523"/>
      <c r="E24" s="524"/>
      <c r="F24" s="525">
        <v>12998121.991794199</v>
      </c>
      <c r="G24" s="525">
        <v>6368959.2330901995</v>
      </c>
      <c r="H24" s="525">
        <v>19367081.224884391</v>
      </c>
      <c r="I24" s="525">
        <v>17946397.472099997</v>
      </c>
      <c r="J24" s="525">
        <v>4766283.0251754997</v>
      </c>
      <c r="K24" s="526">
        <v>22712680.497275501</v>
      </c>
    </row>
    <row r="25" spans="1:11" ht="15.75" thickBot="1">
      <c r="A25" s="527">
        <v>15</v>
      </c>
      <c r="B25" s="528" t="s">
        <v>391</v>
      </c>
      <c r="C25" s="529"/>
      <c r="D25" s="529"/>
      <c r="E25" s="529"/>
      <c r="F25" s="530">
        <v>1.3465666908220171</v>
      </c>
      <c r="G25" s="530">
        <v>5.031699170331577</v>
      </c>
      <c r="H25" s="530">
        <v>2.5584405017489971</v>
      </c>
      <c r="I25" s="530">
        <v>1.0018584506640875</v>
      </c>
      <c r="J25" s="530">
        <v>5.3998090681684463</v>
      </c>
      <c r="K25" s="531">
        <v>1.9247736202886332</v>
      </c>
    </row>
    <row r="28" spans="1:11" ht="45">
      <c r="B28" s="479" t="s">
        <v>426</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zoomScale="85" zoomScaleNormal="85" workbookViewId="0">
      <pane xSplit="1" ySplit="5" topLeftCell="B6" activePane="bottomRight" state="frozen"/>
      <selection activeCell="B21" sqref="B21:B22"/>
      <selection pane="topRight" activeCell="B21" sqref="B21:B22"/>
      <selection pane="bottomLeft" activeCell="B21" sqref="B21:B22"/>
      <selection pane="bottomRight" activeCell="G35" sqref="G35"/>
    </sheetView>
  </sheetViews>
  <sheetFormatPr defaultColWidth="9.140625" defaultRowHeight="15"/>
  <cols>
    <col min="1" max="1" width="10.5703125" style="66" bestFit="1" customWidth="1"/>
    <col min="2" max="2" width="70" style="66" customWidth="1"/>
    <col min="3" max="3" width="13.42578125" style="66" bestFit="1" customWidth="1"/>
    <col min="4" max="4" width="12.85546875" style="66" customWidth="1"/>
    <col min="5" max="5" width="18.28515625" style="66" bestFit="1" customWidth="1"/>
    <col min="6" max="13" width="10.7109375" style="66" customWidth="1"/>
    <col min="14" max="14" width="31" style="66" bestFit="1" customWidth="1"/>
    <col min="15" max="16384" width="9.140625" style="481"/>
  </cols>
  <sheetData>
    <row r="1" spans="1:14">
      <c r="A1" s="480" t="s">
        <v>189</v>
      </c>
      <c r="B1" s="66" t="str">
        <f>Info!C2</f>
        <v>ფინკა ბანკი საქართველო სს</v>
      </c>
    </row>
    <row r="2" spans="1:14" ht="14.25" customHeight="1">
      <c r="A2" s="66" t="s">
        <v>190</v>
      </c>
      <c r="B2" s="442">
        <f>'1. key ratios'!B2</f>
        <v>44286</v>
      </c>
    </row>
    <row r="3" spans="1:14" ht="14.25" customHeight="1"/>
    <row r="4" spans="1:14" ht="15.75" thickBot="1">
      <c r="A4" s="66" t="s">
        <v>342</v>
      </c>
      <c r="B4" s="91" t="s">
        <v>78</v>
      </c>
    </row>
    <row r="5" spans="1:14" s="486" customFormat="1">
      <c r="A5" s="482"/>
      <c r="B5" s="483"/>
      <c r="C5" s="484" t="s">
        <v>0</v>
      </c>
      <c r="D5" s="484" t="s">
        <v>1</v>
      </c>
      <c r="E5" s="484" t="s">
        <v>2</v>
      </c>
      <c r="F5" s="484" t="s">
        <v>3</v>
      </c>
      <c r="G5" s="484" t="s">
        <v>4</v>
      </c>
      <c r="H5" s="484" t="s">
        <v>6</v>
      </c>
      <c r="I5" s="484" t="s">
        <v>239</v>
      </c>
      <c r="J5" s="484" t="s">
        <v>240</v>
      </c>
      <c r="K5" s="484" t="s">
        <v>241</v>
      </c>
      <c r="L5" s="484" t="s">
        <v>242</v>
      </c>
      <c r="M5" s="484" t="s">
        <v>243</v>
      </c>
      <c r="N5" s="485" t="s">
        <v>244</v>
      </c>
    </row>
    <row r="6" spans="1:14" ht="54" customHeight="1">
      <c r="A6" s="164"/>
      <c r="B6" s="103"/>
      <c r="C6" s="104" t="s">
        <v>88</v>
      </c>
      <c r="D6" s="105" t="s">
        <v>77</v>
      </c>
      <c r="E6" s="106" t="s">
        <v>87</v>
      </c>
      <c r="F6" s="107">
        <v>0</v>
      </c>
      <c r="G6" s="107">
        <v>0.2</v>
      </c>
      <c r="H6" s="107">
        <v>0.35</v>
      </c>
      <c r="I6" s="107">
        <v>0.5</v>
      </c>
      <c r="J6" s="107">
        <v>0.75</v>
      </c>
      <c r="K6" s="107">
        <v>1</v>
      </c>
      <c r="L6" s="107">
        <v>1.5</v>
      </c>
      <c r="M6" s="107">
        <v>2.5</v>
      </c>
      <c r="N6" s="165" t="s">
        <v>78</v>
      </c>
    </row>
    <row r="7" spans="1:14">
      <c r="A7" s="166">
        <v>1</v>
      </c>
      <c r="B7" s="108" t="s">
        <v>79</v>
      </c>
      <c r="C7" s="277">
        <f>SUM(C8:C13)</f>
        <v>22563700</v>
      </c>
      <c r="D7" s="103"/>
      <c r="E7" s="280">
        <f t="shared" ref="E7:M7" si="0">SUM(E8:E13)</f>
        <v>451274</v>
      </c>
      <c r="F7" s="277">
        <f>SUM(F8:F13)</f>
        <v>0</v>
      </c>
      <c r="G7" s="277">
        <f t="shared" si="0"/>
        <v>0</v>
      </c>
      <c r="H7" s="277">
        <f t="shared" si="0"/>
        <v>0</v>
      </c>
      <c r="I7" s="277">
        <f t="shared" si="0"/>
        <v>0</v>
      </c>
      <c r="J7" s="277">
        <f t="shared" si="0"/>
        <v>0</v>
      </c>
      <c r="K7" s="277">
        <f t="shared" si="0"/>
        <v>451274</v>
      </c>
      <c r="L7" s="277">
        <f t="shared" si="0"/>
        <v>0</v>
      </c>
      <c r="M7" s="277">
        <f t="shared" si="0"/>
        <v>0</v>
      </c>
      <c r="N7" s="167">
        <f>SUM(N8:N13)</f>
        <v>451274</v>
      </c>
    </row>
    <row r="8" spans="1:14">
      <c r="A8" s="166">
        <v>1.1000000000000001</v>
      </c>
      <c r="B8" s="109" t="s">
        <v>80</v>
      </c>
      <c r="C8" s="278">
        <v>22563700</v>
      </c>
      <c r="D8" s="110">
        <v>0.02</v>
      </c>
      <c r="E8" s="280">
        <f>C8*D8</f>
        <v>451274</v>
      </c>
      <c r="F8" s="278"/>
      <c r="G8" s="278"/>
      <c r="H8" s="278"/>
      <c r="I8" s="278"/>
      <c r="J8" s="278"/>
      <c r="K8" s="278">
        <v>451274</v>
      </c>
      <c r="L8" s="278"/>
      <c r="M8" s="278"/>
      <c r="N8" s="167">
        <f>SUMPRODUCT($F$6:$M$6,F8:M8)</f>
        <v>451274</v>
      </c>
    </row>
    <row r="9" spans="1:14">
      <c r="A9" s="166">
        <v>1.2</v>
      </c>
      <c r="B9" s="109" t="s">
        <v>81</v>
      </c>
      <c r="C9" s="278">
        <v>0</v>
      </c>
      <c r="D9" s="110">
        <v>0.05</v>
      </c>
      <c r="E9" s="280">
        <f>C9*D9</f>
        <v>0</v>
      </c>
      <c r="F9" s="278"/>
      <c r="G9" s="278"/>
      <c r="H9" s="278"/>
      <c r="I9" s="278"/>
      <c r="J9" s="278"/>
      <c r="K9" s="278"/>
      <c r="L9" s="278"/>
      <c r="M9" s="278"/>
      <c r="N9" s="167">
        <f t="shared" ref="N9:N12" si="1">SUMPRODUCT($F$6:$M$6,F9:M9)</f>
        <v>0</v>
      </c>
    </row>
    <row r="10" spans="1:14">
      <c r="A10" s="166">
        <v>1.3</v>
      </c>
      <c r="B10" s="109" t="s">
        <v>82</v>
      </c>
      <c r="C10" s="278">
        <v>0</v>
      </c>
      <c r="D10" s="110">
        <v>0.08</v>
      </c>
      <c r="E10" s="280">
        <f>C10*D10</f>
        <v>0</v>
      </c>
      <c r="F10" s="278"/>
      <c r="G10" s="278"/>
      <c r="H10" s="278"/>
      <c r="I10" s="278"/>
      <c r="J10" s="278"/>
      <c r="K10" s="278"/>
      <c r="L10" s="278"/>
      <c r="M10" s="278"/>
      <c r="N10" s="167">
        <f>SUMPRODUCT($F$6:$M$6,F10:M10)</f>
        <v>0</v>
      </c>
    </row>
    <row r="11" spans="1:14">
      <c r="A11" s="166">
        <v>1.4</v>
      </c>
      <c r="B11" s="109" t="s">
        <v>83</v>
      </c>
      <c r="C11" s="278">
        <v>0</v>
      </c>
      <c r="D11" s="110">
        <v>0.11</v>
      </c>
      <c r="E11" s="280">
        <f>C11*D11</f>
        <v>0</v>
      </c>
      <c r="F11" s="278"/>
      <c r="G11" s="278"/>
      <c r="H11" s="278"/>
      <c r="I11" s="278"/>
      <c r="J11" s="278"/>
      <c r="K11" s="278"/>
      <c r="L11" s="278"/>
      <c r="M11" s="278"/>
      <c r="N11" s="167">
        <f t="shared" si="1"/>
        <v>0</v>
      </c>
    </row>
    <row r="12" spans="1:14">
      <c r="A12" s="166">
        <v>1.5</v>
      </c>
      <c r="B12" s="109" t="s">
        <v>84</v>
      </c>
      <c r="C12" s="278">
        <v>0</v>
      </c>
      <c r="D12" s="110">
        <v>0.14000000000000001</v>
      </c>
      <c r="E12" s="280">
        <f>C12*D12</f>
        <v>0</v>
      </c>
      <c r="F12" s="278"/>
      <c r="G12" s="278"/>
      <c r="H12" s="278"/>
      <c r="I12" s="278"/>
      <c r="J12" s="278"/>
      <c r="K12" s="278"/>
      <c r="L12" s="278"/>
      <c r="M12" s="278"/>
      <c r="N12" s="167">
        <f t="shared" si="1"/>
        <v>0</v>
      </c>
    </row>
    <row r="13" spans="1:14">
      <c r="A13" s="166">
        <v>1.6</v>
      </c>
      <c r="B13" s="111" t="s">
        <v>85</v>
      </c>
      <c r="C13" s="278">
        <v>0</v>
      </c>
      <c r="D13" s="112"/>
      <c r="E13" s="278"/>
      <c r="F13" s="278"/>
      <c r="G13" s="278"/>
      <c r="H13" s="278"/>
      <c r="I13" s="278"/>
      <c r="J13" s="278"/>
      <c r="K13" s="278"/>
      <c r="L13" s="278"/>
      <c r="M13" s="278"/>
      <c r="N13" s="167">
        <f>SUMPRODUCT($F$6:$M$6,F13:M13)</f>
        <v>0</v>
      </c>
    </row>
    <row r="14" spans="1:14">
      <c r="A14" s="166">
        <v>2</v>
      </c>
      <c r="B14" s="113" t="s">
        <v>86</v>
      </c>
      <c r="C14" s="277">
        <f>SUM(C15:C20)</f>
        <v>0</v>
      </c>
      <c r="D14" s="103"/>
      <c r="E14" s="280">
        <f t="shared" ref="E14:M14" si="2">SUM(E15:E20)</f>
        <v>0</v>
      </c>
      <c r="F14" s="278">
        <f t="shared" si="2"/>
        <v>0</v>
      </c>
      <c r="G14" s="278">
        <f t="shared" si="2"/>
        <v>0</v>
      </c>
      <c r="H14" s="278">
        <f t="shared" si="2"/>
        <v>0</v>
      </c>
      <c r="I14" s="278">
        <f t="shared" si="2"/>
        <v>0</v>
      </c>
      <c r="J14" s="278">
        <f t="shared" si="2"/>
        <v>0</v>
      </c>
      <c r="K14" s="278">
        <f t="shared" si="2"/>
        <v>0</v>
      </c>
      <c r="L14" s="278">
        <f t="shared" si="2"/>
        <v>0</v>
      </c>
      <c r="M14" s="278">
        <f t="shared" si="2"/>
        <v>0</v>
      </c>
      <c r="N14" s="167">
        <f>SUM(N15:N20)</f>
        <v>0</v>
      </c>
    </row>
    <row r="15" spans="1:14">
      <c r="A15" s="166">
        <v>2.1</v>
      </c>
      <c r="B15" s="111" t="s">
        <v>80</v>
      </c>
      <c r="C15" s="278"/>
      <c r="D15" s="110">
        <v>5.0000000000000001E-3</v>
      </c>
      <c r="E15" s="280">
        <f>C15*D15</f>
        <v>0</v>
      </c>
      <c r="F15" s="278"/>
      <c r="G15" s="278"/>
      <c r="H15" s="278"/>
      <c r="I15" s="278"/>
      <c r="J15" s="278"/>
      <c r="K15" s="278"/>
      <c r="L15" s="278"/>
      <c r="M15" s="278"/>
      <c r="N15" s="167">
        <f>SUMPRODUCT($F$6:$M$6,F15:M15)</f>
        <v>0</v>
      </c>
    </row>
    <row r="16" spans="1:14">
      <c r="A16" s="166">
        <v>2.2000000000000002</v>
      </c>
      <c r="B16" s="111" t="s">
        <v>81</v>
      </c>
      <c r="C16" s="278"/>
      <c r="D16" s="110">
        <v>0.01</v>
      </c>
      <c r="E16" s="280">
        <f>C16*D16</f>
        <v>0</v>
      </c>
      <c r="F16" s="278"/>
      <c r="G16" s="278"/>
      <c r="H16" s="278"/>
      <c r="I16" s="278"/>
      <c r="J16" s="278"/>
      <c r="K16" s="278"/>
      <c r="L16" s="278"/>
      <c r="M16" s="278"/>
      <c r="N16" s="167">
        <f t="shared" ref="N16:N20" si="3">SUMPRODUCT($F$6:$M$6,F16:M16)</f>
        <v>0</v>
      </c>
    </row>
    <row r="17" spans="1:14">
      <c r="A17" s="166">
        <v>2.2999999999999998</v>
      </c>
      <c r="B17" s="111" t="s">
        <v>82</v>
      </c>
      <c r="C17" s="278"/>
      <c r="D17" s="110">
        <v>0.02</v>
      </c>
      <c r="E17" s="280">
        <f>C17*D17</f>
        <v>0</v>
      </c>
      <c r="F17" s="278"/>
      <c r="G17" s="278"/>
      <c r="H17" s="278"/>
      <c r="I17" s="278"/>
      <c r="J17" s="278"/>
      <c r="K17" s="278"/>
      <c r="L17" s="278"/>
      <c r="M17" s="278"/>
      <c r="N17" s="167">
        <f t="shared" si="3"/>
        <v>0</v>
      </c>
    </row>
    <row r="18" spans="1:14">
      <c r="A18" s="166">
        <v>2.4</v>
      </c>
      <c r="B18" s="111" t="s">
        <v>83</v>
      </c>
      <c r="C18" s="278"/>
      <c r="D18" s="110">
        <v>0.03</v>
      </c>
      <c r="E18" s="280">
        <f>C18*D18</f>
        <v>0</v>
      </c>
      <c r="F18" s="278"/>
      <c r="G18" s="278"/>
      <c r="H18" s="278"/>
      <c r="I18" s="278"/>
      <c r="J18" s="278"/>
      <c r="K18" s="278"/>
      <c r="L18" s="278"/>
      <c r="M18" s="278"/>
      <c r="N18" s="167">
        <f t="shared" si="3"/>
        <v>0</v>
      </c>
    </row>
    <row r="19" spans="1:14">
      <c r="A19" s="166">
        <v>2.5</v>
      </c>
      <c r="B19" s="111" t="s">
        <v>84</v>
      </c>
      <c r="C19" s="278"/>
      <c r="D19" s="110">
        <v>0.04</v>
      </c>
      <c r="E19" s="280">
        <f>C19*D19</f>
        <v>0</v>
      </c>
      <c r="F19" s="278"/>
      <c r="G19" s="278"/>
      <c r="H19" s="278"/>
      <c r="I19" s="278"/>
      <c r="J19" s="278"/>
      <c r="K19" s="278"/>
      <c r="L19" s="278"/>
      <c r="M19" s="278"/>
      <c r="N19" s="167">
        <f t="shared" si="3"/>
        <v>0</v>
      </c>
    </row>
    <row r="20" spans="1:14">
      <c r="A20" s="166">
        <v>2.6</v>
      </c>
      <c r="B20" s="111" t="s">
        <v>85</v>
      </c>
      <c r="C20" s="278"/>
      <c r="D20" s="112"/>
      <c r="E20" s="281"/>
      <c r="F20" s="278"/>
      <c r="G20" s="278"/>
      <c r="H20" s="278"/>
      <c r="I20" s="278"/>
      <c r="J20" s="278"/>
      <c r="K20" s="278"/>
      <c r="L20" s="278"/>
      <c r="M20" s="278"/>
      <c r="N20" s="167">
        <f t="shared" si="3"/>
        <v>0</v>
      </c>
    </row>
    <row r="21" spans="1:14" ht="15.75" thickBot="1">
      <c r="A21" s="168">
        <v>3</v>
      </c>
      <c r="B21" s="169" t="s">
        <v>69</v>
      </c>
      <c r="C21" s="279">
        <f>C14+C7</f>
        <v>22563700</v>
      </c>
      <c r="D21" s="170"/>
      <c r="E21" s="282">
        <f>E14+E7</f>
        <v>451274</v>
      </c>
      <c r="F21" s="283">
        <f>F7+F14</f>
        <v>0</v>
      </c>
      <c r="G21" s="283">
        <f t="shared" ref="G21:L21" si="4">G7+G14</f>
        <v>0</v>
      </c>
      <c r="H21" s="283">
        <f t="shared" si="4"/>
        <v>0</v>
      </c>
      <c r="I21" s="283">
        <f t="shared" si="4"/>
        <v>0</v>
      </c>
      <c r="J21" s="283">
        <f t="shared" si="4"/>
        <v>0</v>
      </c>
      <c r="K21" s="283">
        <f t="shared" si="4"/>
        <v>451274</v>
      </c>
      <c r="L21" s="283">
        <f t="shared" si="4"/>
        <v>0</v>
      </c>
      <c r="M21" s="283">
        <f>M7+M14</f>
        <v>0</v>
      </c>
      <c r="N21" s="171">
        <f>N14+N7</f>
        <v>451274</v>
      </c>
    </row>
    <row r="22" spans="1:14">
      <c r="E22" s="284"/>
      <c r="F22" s="284"/>
      <c r="G22" s="284"/>
      <c r="H22" s="284"/>
      <c r="I22" s="284"/>
      <c r="J22" s="284"/>
      <c r="K22" s="284"/>
      <c r="L22" s="284"/>
      <c r="M22" s="284"/>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zoomScale="85" zoomScaleNormal="85" workbookViewId="0">
      <selection activeCell="G21" sqref="G21"/>
    </sheetView>
  </sheetViews>
  <sheetFormatPr defaultRowHeight="15"/>
  <cols>
    <col min="1" max="1" width="11.42578125" style="66" customWidth="1"/>
    <col min="2" max="2" width="104.42578125" style="479" customWidth="1"/>
    <col min="3" max="3" width="22.85546875" style="66" customWidth="1"/>
    <col min="4" max="16384" width="9.140625" style="66"/>
  </cols>
  <sheetData>
    <row r="1" spans="1:3">
      <c r="A1" s="66" t="s">
        <v>189</v>
      </c>
      <c r="B1" s="66" t="str">
        <f>Info!C2</f>
        <v>ფინკა ბანკი საქართველო სს</v>
      </c>
    </row>
    <row r="2" spans="1:3">
      <c r="A2" s="66" t="s">
        <v>190</v>
      </c>
      <c r="B2" s="442">
        <f>'1. key ratios'!B2</f>
        <v>44286</v>
      </c>
    </row>
    <row r="3" spans="1:3">
      <c r="B3" s="66"/>
    </row>
    <row r="4" spans="1:3">
      <c r="A4" s="66" t="s">
        <v>471</v>
      </c>
      <c r="B4" s="66" t="s">
        <v>430</v>
      </c>
    </row>
    <row r="5" spans="1:3">
      <c r="A5" s="457"/>
      <c r="B5" s="457" t="s">
        <v>431</v>
      </c>
      <c r="C5" s="458"/>
    </row>
    <row r="6" spans="1:3">
      <c r="A6" s="459">
        <v>1</v>
      </c>
      <c r="B6" s="460" t="s">
        <v>483</v>
      </c>
      <c r="C6" s="461">
        <v>282436422.49789995</v>
      </c>
    </row>
    <row r="7" spans="1:3">
      <c r="A7" s="459">
        <v>2</v>
      </c>
      <c r="B7" s="460" t="s">
        <v>432</v>
      </c>
      <c r="C7" s="461">
        <v>-1427639.12</v>
      </c>
    </row>
    <row r="8" spans="1:3">
      <c r="A8" s="462">
        <v>3</v>
      </c>
      <c r="B8" s="463" t="s">
        <v>433</v>
      </c>
      <c r="C8" s="464">
        <f>C6+C7</f>
        <v>281008783.37789994</v>
      </c>
    </row>
    <row r="9" spans="1:3">
      <c r="A9" s="465"/>
      <c r="B9" s="465" t="s">
        <v>434</v>
      </c>
      <c r="C9" s="466"/>
    </row>
    <row r="10" spans="1:3">
      <c r="A10" s="459">
        <v>4</v>
      </c>
      <c r="B10" s="467" t="s">
        <v>435</v>
      </c>
      <c r="C10" s="461"/>
    </row>
    <row r="11" spans="1:3">
      <c r="A11" s="459">
        <v>5</v>
      </c>
      <c r="B11" s="468" t="s">
        <v>436</v>
      </c>
      <c r="C11" s="461"/>
    </row>
    <row r="12" spans="1:3">
      <c r="A12" s="459" t="s">
        <v>437</v>
      </c>
      <c r="B12" s="460" t="s">
        <v>438</v>
      </c>
      <c r="C12" s="464">
        <f>'15. CCR'!E21</f>
        <v>451274</v>
      </c>
    </row>
    <row r="13" spans="1:3">
      <c r="A13" s="469">
        <v>6</v>
      </c>
      <c r="B13" s="470" t="s">
        <v>439</v>
      </c>
      <c r="C13" s="461"/>
    </row>
    <row r="14" spans="1:3">
      <c r="A14" s="469">
        <v>7</v>
      </c>
      <c r="B14" s="471" t="s">
        <v>440</v>
      </c>
      <c r="C14" s="461"/>
    </row>
    <row r="15" spans="1:3">
      <c r="A15" s="472">
        <v>8</v>
      </c>
      <c r="B15" s="460" t="s">
        <v>441</v>
      </c>
      <c r="C15" s="461"/>
    </row>
    <row r="16" spans="1:3">
      <c r="A16" s="469">
        <v>9</v>
      </c>
      <c r="B16" s="471" t="s">
        <v>442</v>
      </c>
      <c r="C16" s="461"/>
    </row>
    <row r="17" spans="1:3">
      <c r="A17" s="469">
        <v>10</v>
      </c>
      <c r="B17" s="471" t="s">
        <v>443</v>
      </c>
      <c r="C17" s="461"/>
    </row>
    <row r="18" spans="1:3">
      <c r="A18" s="462">
        <v>11</v>
      </c>
      <c r="B18" s="473" t="s">
        <v>444</v>
      </c>
      <c r="C18" s="464">
        <f>SUM(C10:C17)</f>
        <v>451274</v>
      </c>
    </row>
    <row r="19" spans="1:3">
      <c r="A19" s="465"/>
      <c r="B19" s="465" t="s">
        <v>445</v>
      </c>
      <c r="C19" s="466"/>
    </row>
    <row r="20" spans="1:3">
      <c r="A20" s="469">
        <v>12</v>
      </c>
      <c r="B20" s="467" t="s">
        <v>446</v>
      </c>
      <c r="C20" s="461"/>
    </row>
    <row r="21" spans="1:3">
      <c r="A21" s="469">
        <v>13</v>
      </c>
      <c r="B21" s="467" t="s">
        <v>447</v>
      </c>
      <c r="C21" s="461"/>
    </row>
    <row r="22" spans="1:3">
      <c r="A22" s="469">
        <v>14</v>
      </c>
      <c r="B22" s="467" t="s">
        <v>448</v>
      </c>
      <c r="C22" s="461"/>
    </row>
    <row r="23" spans="1:3" ht="30">
      <c r="A23" s="469" t="s">
        <v>449</v>
      </c>
      <c r="B23" s="467" t="s">
        <v>450</v>
      </c>
      <c r="C23" s="461"/>
    </row>
    <row r="24" spans="1:3">
      <c r="A24" s="469">
        <v>15</v>
      </c>
      <c r="B24" s="467" t="s">
        <v>451</v>
      </c>
      <c r="C24" s="461"/>
    </row>
    <row r="25" spans="1:3">
      <c r="A25" s="469" t="s">
        <v>452</v>
      </c>
      <c r="B25" s="460" t="s">
        <v>453</v>
      </c>
      <c r="C25" s="461"/>
    </row>
    <row r="26" spans="1:3">
      <c r="A26" s="462">
        <v>16</v>
      </c>
      <c r="B26" s="473" t="s">
        <v>454</v>
      </c>
      <c r="C26" s="464">
        <f>SUM(C20:C25)</f>
        <v>0</v>
      </c>
    </row>
    <row r="27" spans="1:3">
      <c r="A27" s="465"/>
      <c r="B27" s="465" t="s">
        <v>455</v>
      </c>
      <c r="C27" s="466"/>
    </row>
    <row r="28" spans="1:3">
      <c r="A28" s="459">
        <v>17</v>
      </c>
      <c r="B28" s="460" t="s">
        <v>456</v>
      </c>
      <c r="C28" s="461">
        <v>4888509.8817000007</v>
      </c>
    </row>
    <row r="29" spans="1:3">
      <c r="A29" s="459">
        <v>18</v>
      </c>
      <c r="B29" s="460" t="s">
        <v>457</v>
      </c>
      <c r="C29" s="461">
        <v>-2447776.6618500007</v>
      </c>
    </row>
    <row r="30" spans="1:3">
      <c r="A30" s="462">
        <v>19</v>
      </c>
      <c r="B30" s="473" t="s">
        <v>458</v>
      </c>
      <c r="C30" s="464">
        <f>C28+C29</f>
        <v>2440733.21985</v>
      </c>
    </row>
    <row r="31" spans="1:3">
      <c r="A31" s="474"/>
      <c r="B31" s="532" t="s">
        <v>459</v>
      </c>
      <c r="C31" s="466"/>
    </row>
    <row r="32" spans="1:3">
      <c r="A32" s="459" t="s">
        <v>460</v>
      </c>
      <c r="B32" s="467" t="s">
        <v>461</v>
      </c>
      <c r="C32" s="475"/>
    </row>
    <row r="33" spans="1:3">
      <c r="A33" s="459" t="s">
        <v>462</v>
      </c>
      <c r="B33" s="468" t="s">
        <v>463</v>
      </c>
      <c r="C33" s="475"/>
    </row>
    <row r="34" spans="1:3">
      <c r="A34" s="465"/>
      <c r="B34" s="465" t="s">
        <v>464</v>
      </c>
      <c r="C34" s="466"/>
    </row>
    <row r="35" spans="1:3">
      <c r="A35" s="462">
        <v>20</v>
      </c>
      <c r="B35" s="473" t="s">
        <v>90</v>
      </c>
      <c r="C35" s="464">
        <f>'1. key ratios'!C9</f>
        <v>40901600.090000004</v>
      </c>
    </row>
    <row r="36" spans="1:3">
      <c r="A36" s="462">
        <v>21</v>
      </c>
      <c r="B36" s="473" t="s">
        <v>465</v>
      </c>
      <c r="C36" s="476">
        <f>C8+C18+C26+C30</f>
        <v>283900790.59774995</v>
      </c>
    </row>
    <row r="37" spans="1:3">
      <c r="A37" s="465"/>
      <c r="B37" s="465" t="s">
        <v>430</v>
      </c>
      <c r="C37" s="466"/>
    </row>
    <row r="38" spans="1:3">
      <c r="A38" s="462">
        <v>22</v>
      </c>
      <c r="B38" s="473" t="s">
        <v>430</v>
      </c>
      <c r="C38" s="477">
        <f>IFERROR(C35/C36,0)</f>
        <v>0.14407004645489765</v>
      </c>
    </row>
    <row r="39" spans="1:3">
      <c r="A39" s="465"/>
      <c r="B39" s="465" t="s">
        <v>466</v>
      </c>
      <c r="C39" s="466"/>
    </row>
    <row r="40" spans="1:3">
      <c r="A40" s="478" t="s">
        <v>467</v>
      </c>
      <c r="B40" s="467" t="s">
        <v>468</v>
      </c>
      <c r="C40" s="475"/>
    </row>
    <row r="41" spans="1:3">
      <c r="A41" s="478" t="s">
        <v>469</v>
      </c>
      <c r="B41" s="468" t="s">
        <v>470</v>
      </c>
      <c r="C41" s="475"/>
    </row>
    <row r="43" spans="1:3">
      <c r="B43" s="479" t="s">
        <v>484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I51"/>
  <sheetViews>
    <sheetView zoomScale="85" zoomScaleNormal="85" workbookViewId="0">
      <pane xSplit="1" ySplit="5" topLeftCell="B6" activePane="bottomRight" state="frozen"/>
      <selection activeCell="B21" sqref="B21:B22"/>
      <selection pane="topRight" activeCell="B21" sqref="B21:B22"/>
      <selection pane="bottomLeft" activeCell="B21" sqref="B21:B22"/>
      <selection pane="bottomRight" activeCell="N25" sqref="N25"/>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9">
      <c r="A1" s="18" t="s">
        <v>189</v>
      </c>
      <c r="B1" s="363" t="str">
        <f>Info!C2</f>
        <v>ფინკა ბანკი საქართველო სს</v>
      </c>
    </row>
    <row r="2" spans="1:9">
      <c r="A2" s="18" t="s">
        <v>190</v>
      </c>
      <c r="B2" s="441">
        <v>44286</v>
      </c>
      <c r="C2" s="29"/>
      <c r="D2" s="19"/>
      <c r="E2" s="19"/>
      <c r="F2" s="19"/>
      <c r="G2" s="19"/>
      <c r="H2" s="1"/>
    </row>
    <row r="3" spans="1:9">
      <c r="A3" s="18"/>
      <c r="C3" s="29"/>
      <c r="D3" s="19"/>
      <c r="E3" s="19"/>
      <c r="F3" s="19"/>
      <c r="G3" s="19"/>
      <c r="H3" s="1"/>
    </row>
    <row r="4" spans="1:9" ht="16.5" thickBot="1">
      <c r="A4" s="67" t="s">
        <v>329</v>
      </c>
      <c r="B4" s="202" t="s">
        <v>224</v>
      </c>
      <c r="C4" s="203"/>
      <c r="D4" s="204"/>
      <c r="E4" s="204"/>
      <c r="F4" s="204"/>
      <c r="G4" s="204"/>
      <c r="H4" s="1"/>
    </row>
    <row r="5" spans="1:9" ht="15">
      <c r="A5" s="299" t="s">
        <v>27</v>
      </c>
      <c r="B5" s="300"/>
      <c r="C5" s="539" t="str">
        <f>INT((MONTH($B$2))/3)&amp;"Q"&amp;"-"&amp;YEAR($B$2)</f>
        <v>1Q-2021</v>
      </c>
      <c r="D5" s="539" t="str">
        <f>IF(INT(MONTH($B$2))=3, "4"&amp;"Q"&amp;"-"&amp;YEAR($B$2)-1, IF(INT(MONTH($B$2))=6, "1"&amp;"Q"&amp;"-"&amp;YEAR($B$2), IF(INT(MONTH($B$2))=9, "2"&amp;"Q"&amp;"-"&amp;YEAR($B$2),IF(INT(MONTH($B$2))=12, "3"&amp;"Q"&amp;"-"&amp;YEAR($B$2), 0))))</f>
        <v>4Q-2020</v>
      </c>
      <c r="E5" s="539" t="str">
        <f>IF(INT(MONTH($B$2))=3, "3"&amp;"Q"&amp;"-"&amp;YEAR($B$2)-1, IF(INT(MONTH($B$2))=6, "4"&amp;"Q"&amp;"-"&amp;YEAR($B$2)-1, IF(INT(MONTH($B$2))=9, "1"&amp;"Q"&amp;"-"&amp;YEAR($B$2),IF(INT(MONTH($B$2))=12, "2"&amp;"Q"&amp;"-"&amp;YEAR($B$2), 0))))</f>
        <v>3Q-2020</v>
      </c>
      <c r="F5" s="539" t="str">
        <f>IF(INT(MONTH($B$2))=3, "2"&amp;"Q"&amp;"-"&amp;YEAR($B$2)-1, IF(INT(MONTH($B$2))=6, "3"&amp;"Q"&amp;"-"&amp;YEAR($B$2)-1, IF(INT(MONTH($B$2))=9, "4"&amp;"Q"&amp;"-"&amp;YEAR($B$2)-1,IF(INT(MONTH($B$2))=12, "1"&amp;"Q"&amp;"-"&amp;YEAR($B$2), 0))))</f>
        <v>2Q-2020</v>
      </c>
      <c r="G5" s="540" t="str">
        <f>IF(INT(MONTH($B$2))=3, "1"&amp;"Q"&amp;"-"&amp;YEAR($B$2)-1, IF(INT(MONTH($B$2))=6, "2"&amp;"Q"&amp;"-"&amp;YEAR($B$2)-1, IF(INT(MONTH($B$2))=9, "3"&amp;"Q"&amp;"-"&amp;YEAR($B$2)-1,IF(INT(MONTH($B$2))=12, "4"&amp;"Q"&amp;"-"&amp;YEAR($B$2)-1, 0))))</f>
        <v>1Q-2020</v>
      </c>
    </row>
    <row r="6" spans="1:9" ht="15">
      <c r="A6" s="384"/>
      <c r="B6" s="385" t="s">
        <v>187</v>
      </c>
      <c r="C6" s="301"/>
      <c r="D6" s="301"/>
      <c r="E6" s="301"/>
      <c r="F6" s="301"/>
      <c r="G6" s="302"/>
    </row>
    <row r="7" spans="1:9" ht="15">
      <c r="A7" s="384"/>
      <c r="B7" s="386" t="s">
        <v>191</v>
      </c>
      <c r="C7" s="301"/>
      <c r="D7" s="301"/>
      <c r="E7" s="301"/>
      <c r="F7" s="301"/>
      <c r="G7" s="302"/>
    </row>
    <row r="8" spans="1:9" ht="15">
      <c r="A8" s="366">
        <v>1</v>
      </c>
      <c r="B8" s="367" t="s">
        <v>24</v>
      </c>
      <c r="C8" s="387">
        <v>40901600.090000004</v>
      </c>
      <c r="D8" s="388">
        <v>40505584.179999992</v>
      </c>
      <c r="E8" s="388">
        <v>39234946.349999994</v>
      </c>
      <c r="F8" s="388">
        <v>39771499.130000003</v>
      </c>
      <c r="G8" s="389">
        <v>41912068.289999992</v>
      </c>
      <c r="I8" s="453"/>
    </row>
    <row r="9" spans="1:9" ht="15">
      <c r="A9" s="366">
        <v>2</v>
      </c>
      <c r="B9" s="367" t="s">
        <v>90</v>
      </c>
      <c r="C9" s="387">
        <v>40901600.090000004</v>
      </c>
      <c r="D9" s="388">
        <v>40505584.179999992</v>
      </c>
      <c r="E9" s="388">
        <v>39234946.349999994</v>
      </c>
      <c r="F9" s="388">
        <v>39771499.130000003</v>
      </c>
      <c r="G9" s="389">
        <v>41912068.289999992</v>
      </c>
      <c r="I9" s="453"/>
    </row>
    <row r="10" spans="1:9" ht="15">
      <c r="A10" s="366">
        <v>3</v>
      </c>
      <c r="B10" s="367" t="s">
        <v>89</v>
      </c>
      <c r="C10" s="387">
        <v>55825407.739691257</v>
      </c>
      <c r="D10" s="388">
        <v>54820083.96975936</v>
      </c>
      <c r="E10" s="388">
        <v>55126051.934597582</v>
      </c>
      <c r="F10" s="388">
        <v>54741353.911205232</v>
      </c>
      <c r="G10" s="389">
        <v>59451182.737042487</v>
      </c>
      <c r="I10" s="453"/>
    </row>
    <row r="11" spans="1:9" ht="15">
      <c r="A11" s="366">
        <v>4</v>
      </c>
      <c r="B11" s="367" t="s">
        <v>486</v>
      </c>
      <c r="C11" s="387">
        <v>13443760.915444687</v>
      </c>
      <c r="D11" s="388">
        <v>12977819.707601923</v>
      </c>
      <c r="E11" s="388">
        <v>12758990.780860316</v>
      </c>
      <c r="F11" s="388">
        <v>12800488.346918438</v>
      </c>
      <c r="G11" s="389">
        <v>12831021.377925184</v>
      </c>
    </row>
    <row r="12" spans="1:9" ht="15">
      <c r="A12" s="366">
        <v>5</v>
      </c>
      <c r="B12" s="367" t="s">
        <v>487</v>
      </c>
      <c r="C12" s="387">
        <v>17925014.553926248</v>
      </c>
      <c r="D12" s="388">
        <v>17303759.610135898</v>
      </c>
      <c r="E12" s="388">
        <v>17011987.707813755</v>
      </c>
      <c r="F12" s="388">
        <v>17067317.795891251</v>
      </c>
      <c r="G12" s="389">
        <v>17108028.503900245</v>
      </c>
    </row>
    <row r="13" spans="1:9" ht="15">
      <c r="A13" s="366">
        <v>6</v>
      </c>
      <c r="B13" s="367" t="s">
        <v>488</v>
      </c>
      <c r="C13" s="387">
        <v>23900019.405235</v>
      </c>
      <c r="D13" s="388">
        <v>23071679.480181199</v>
      </c>
      <c r="E13" s="388">
        <v>22682650.27708501</v>
      </c>
      <c r="F13" s="388">
        <v>22756423.727855001</v>
      </c>
      <c r="G13" s="389">
        <v>22810704.671866994</v>
      </c>
    </row>
    <row r="14" spans="1:9" ht="15">
      <c r="A14" s="384"/>
      <c r="B14" s="385" t="s">
        <v>490</v>
      </c>
      <c r="C14" s="301"/>
      <c r="D14" s="301"/>
      <c r="E14" s="301"/>
      <c r="F14" s="301"/>
      <c r="G14" s="302"/>
    </row>
    <row r="15" spans="1:9" ht="25.5">
      <c r="A15" s="366">
        <v>7</v>
      </c>
      <c r="B15" s="367" t="s">
        <v>489</v>
      </c>
      <c r="C15" s="390">
        <v>298750242.5654375</v>
      </c>
      <c r="D15" s="388">
        <v>288395993.50226498</v>
      </c>
      <c r="E15" s="388">
        <v>283533128.46356261</v>
      </c>
      <c r="F15" s="388">
        <v>284455296.59818751</v>
      </c>
      <c r="G15" s="389">
        <v>285133808.39833742</v>
      </c>
      <c r="I15" s="453"/>
    </row>
    <row r="16" spans="1:9" ht="15">
      <c r="A16" s="384"/>
      <c r="B16" s="385" t="s">
        <v>494</v>
      </c>
      <c r="C16" s="301"/>
      <c r="D16" s="301"/>
      <c r="E16" s="301"/>
      <c r="F16" s="301"/>
      <c r="G16" s="302"/>
    </row>
    <row r="17" spans="1:9" s="3" customFormat="1" ht="15">
      <c r="A17" s="366"/>
      <c r="B17" s="386" t="s">
        <v>478</v>
      </c>
      <c r="C17" s="301"/>
      <c r="D17" s="301"/>
      <c r="E17" s="301"/>
      <c r="F17" s="301"/>
      <c r="G17" s="302"/>
    </row>
    <row r="18" spans="1:9" ht="15">
      <c r="A18" s="365">
        <v>8</v>
      </c>
      <c r="B18" s="367" t="s">
        <v>528</v>
      </c>
      <c r="C18" s="398">
        <v>0.13690901047901582</v>
      </c>
      <c r="D18" s="399">
        <v>0.14045127218343925</v>
      </c>
      <c r="E18" s="399">
        <v>0.1383787022088396</v>
      </c>
      <c r="F18" s="399">
        <v>0.13981634234141174</v>
      </c>
      <c r="G18" s="400">
        <v>0.14699087605720898</v>
      </c>
      <c r="I18" s="453"/>
    </row>
    <row r="19" spans="1:9" ht="15" customHeight="1">
      <c r="A19" s="365">
        <v>9</v>
      </c>
      <c r="B19" s="367" t="s">
        <v>529</v>
      </c>
      <c r="C19" s="398">
        <v>0.13690901047901582</v>
      </c>
      <c r="D19" s="399">
        <v>0.14045127218343925</v>
      </c>
      <c r="E19" s="399">
        <v>0.1383787022088396</v>
      </c>
      <c r="F19" s="399">
        <v>0.13981634234141174</v>
      </c>
      <c r="G19" s="400">
        <v>0.14699087605720898</v>
      </c>
      <c r="I19" s="453"/>
    </row>
    <row r="20" spans="1:9" ht="15">
      <c r="A20" s="365">
        <v>10</v>
      </c>
      <c r="B20" s="367" t="s">
        <v>530</v>
      </c>
      <c r="C20" s="398">
        <v>0.18686313778461083</v>
      </c>
      <c r="D20" s="399">
        <v>0.19008614961680742</v>
      </c>
      <c r="E20" s="399">
        <v>0.19442543533914394</v>
      </c>
      <c r="F20" s="399">
        <v>0.19244273024921427</v>
      </c>
      <c r="G20" s="400">
        <v>0.2085027484849781</v>
      </c>
      <c r="I20" s="453"/>
    </row>
    <row r="21" spans="1:9" ht="15">
      <c r="A21" s="365">
        <v>11</v>
      </c>
      <c r="B21" s="367" t="s">
        <v>486</v>
      </c>
      <c r="C21" s="415">
        <v>18062554.625066627</v>
      </c>
      <c r="D21" s="416">
        <v>15235856.752777563</v>
      </c>
      <c r="E21" s="416">
        <v>14991409.83189794</v>
      </c>
      <c r="F21" s="416">
        <v>15049184.694120532</v>
      </c>
      <c r="G21" s="417">
        <v>15094268.360531397</v>
      </c>
      <c r="I21" s="453"/>
    </row>
    <row r="22" spans="1:9" ht="15">
      <c r="A22" s="365">
        <v>12</v>
      </c>
      <c r="B22" s="367" t="s">
        <v>487</v>
      </c>
      <c r="C22" s="415">
        <v>24083691.37507914</v>
      </c>
      <c r="D22" s="416">
        <v>20314784.049506295</v>
      </c>
      <c r="E22" s="416">
        <v>19988923.767639466</v>
      </c>
      <c r="F22" s="416">
        <v>20066011.814352531</v>
      </c>
      <c r="G22" s="417">
        <v>20126179.08397257</v>
      </c>
      <c r="I22" s="453"/>
    </row>
    <row r="23" spans="1:9" ht="15">
      <c r="A23" s="365">
        <v>13</v>
      </c>
      <c r="B23" s="367" t="s">
        <v>488</v>
      </c>
      <c r="C23" s="415">
        <v>39221844.273162931</v>
      </c>
      <c r="D23" s="416">
        <v>37872388.88965977</v>
      </c>
      <c r="E23" s="416">
        <v>37256037.361389861</v>
      </c>
      <c r="F23" s="416">
        <v>37393310.511908926</v>
      </c>
      <c r="G23" s="417">
        <v>37498909.879394583</v>
      </c>
      <c r="I23" s="453"/>
    </row>
    <row r="24" spans="1:9" ht="15">
      <c r="A24" s="384"/>
      <c r="B24" s="385" t="s">
        <v>7</v>
      </c>
      <c r="C24" s="301"/>
      <c r="D24" s="301"/>
      <c r="E24" s="301"/>
      <c r="F24" s="301"/>
      <c r="G24" s="302"/>
    </row>
    <row r="25" spans="1:9" ht="15" customHeight="1">
      <c r="A25" s="391">
        <v>14</v>
      </c>
      <c r="B25" s="392" t="s">
        <v>8</v>
      </c>
      <c r="C25" s="408">
        <v>0.16674494310415161</v>
      </c>
      <c r="D25" s="409">
        <v>0.16792600800264834</v>
      </c>
      <c r="E25" s="409">
        <v>0.16912708966456755</v>
      </c>
      <c r="F25" s="409">
        <v>0.16861293883972972</v>
      </c>
      <c r="G25" s="410">
        <v>0.17813887087459196</v>
      </c>
      <c r="I25" s="453"/>
    </row>
    <row r="26" spans="1:9" ht="15">
      <c r="A26" s="391">
        <v>15</v>
      </c>
      <c r="B26" s="392" t="s">
        <v>9</v>
      </c>
      <c r="C26" s="408">
        <v>7.2054269308318986E-2</v>
      </c>
      <c r="D26" s="409">
        <v>7.6171889160382242E-2</v>
      </c>
      <c r="E26" s="409">
        <v>7.6798591947526432E-2</v>
      </c>
      <c r="F26" s="409">
        <v>7.3844119009131765E-2</v>
      </c>
      <c r="G26" s="410">
        <v>7.2702820005419291E-2</v>
      </c>
      <c r="I26" s="453"/>
    </row>
    <row r="27" spans="1:9" ht="15">
      <c r="A27" s="391">
        <v>16</v>
      </c>
      <c r="B27" s="392" t="s">
        <v>10</v>
      </c>
      <c r="C27" s="408">
        <v>2.4615781310975422E-2</v>
      </c>
      <c r="D27" s="409">
        <v>2.2865017159562573E-2</v>
      </c>
      <c r="E27" s="409">
        <v>2.2508387399949693E-2</v>
      </c>
      <c r="F27" s="409">
        <v>2.4846519835006502E-2</v>
      </c>
      <c r="G27" s="410">
        <v>2.7695660823366868E-2</v>
      </c>
      <c r="I27" s="453"/>
    </row>
    <row r="28" spans="1:9" ht="15">
      <c r="A28" s="391">
        <v>17</v>
      </c>
      <c r="B28" s="392" t="s">
        <v>225</v>
      </c>
      <c r="C28" s="408">
        <v>9.4690673795832639E-2</v>
      </c>
      <c r="D28" s="409">
        <v>9.1754118842266058E-2</v>
      </c>
      <c r="E28" s="409">
        <v>9.2328497717041116E-2</v>
      </c>
      <c r="F28" s="409">
        <v>9.4768819830597928E-2</v>
      </c>
      <c r="G28" s="410">
        <v>0.10543605086917264</v>
      </c>
      <c r="I28" s="453"/>
    </row>
    <row r="29" spans="1:9" ht="15">
      <c r="A29" s="391">
        <v>18</v>
      </c>
      <c r="B29" s="392" t="s">
        <v>11</v>
      </c>
      <c r="C29" s="408">
        <v>-4.7070123100948352E-3</v>
      </c>
      <c r="D29" s="409">
        <v>-1.0322464625663235E-2</v>
      </c>
      <c r="E29" s="409">
        <v>-1.9355749793320172E-2</v>
      </c>
      <c r="F29" s="409">
        <v>-2.3917452012706779E-2</v>
      </c>
      <c r="G29" s="410">
        <v>-1.1679170907471979E-2</v>
      </c>
      <c r="I29" s="453"/>
    </row>
    <row r="30" spans="1:9" ht="15">
      <c r="A30" s="391">
        <v>19</v>
      </c>
      <c r="B30" s="392" t="s">
        <v>12</v>
      </c>
      <c r="C30" s="408">
        <v>-3.1534442931792896E-2</v>
      </c>
      <c r="D30" s="409">
        <v>-6.78090577333883E-2</v>
      </c>
      <c r="E30" s="409">
        <v>-0.12646167950069476</v>
      </c>
      <c r="F30" s="409">
        <v>-0.15383098226886319</v>
      </c>
      <c r="G30" s="410">
        <v>-7.3733467801490343E-2</v>
      </c>
      <c r="I30" s="453"/>
    </row>
    <row r="31" spans="1:9" ht="15">
      <c r="A31" s="384"/>
      <c r="B31" s="538" t="s">
        <v>13</v>
      </c>
      <c r="C31" s="301"/>
      <c r="D31" s="301"/>
      <c r="E31" s="301"/>
      <c r="F31" s="301"/>
      <c r="G31" s="302"/>
    </row>
    <row r="32" spans="1:9" ht="15">
      <c r="A32" s="391">
        <v>20</v>
      </c>
      <c r="B32" s="392" t="s">
        <v>14</v>
      </c>
      <c r="C32" s="408">
        <v>8.5925329681515034E-2</v>
      </c>
      <c r="D32" s="409">
        <v>9.2508093406341432E-2</v>
      </c>
      <c r="E32" s="409">
        <v>7.1607023519196872E-2</v>
      </c>
      <c r="F32" s="409">
        <v>7.7692565041043854E-2</v>
      </c>
      <c r="G32" s="410">
        <v>5.8086562660572487E-2</v>
      </c>
      <c r="I32" s="453"/>
    </row>
    <row r="33" spans="1:9" ht="15" customHeight="1">
      <c r="A33" s="391">
        <v>21</v>
      </c>
      <c r="B33" s="392" t="s">
        <v>15</v>
      </c>
      <c r="C33" s="408">
        <v>6.3649682615710773E-2</v>
      </c>
      <c r="D33" s="409">
        <v>6.4489437864262353E-2</v>
      </c>
      <c r="E33" s="409">
        <v>6.5514640929716594E-2</v>
      </c>
      <c r="F33" s="409">
        <v>6.7375397670461024E-2</v>
      </c>
      <c r="G33" s="410">
        <v>5.9139562520125151E-2</v>
      </c>
      <c r="I33" s="453"/>
    </row>
    <row r="34" spans="1:9" ht="15">
      <c r="A34" s="391">
        <v>22</v>
      </c>
      <c r="B34" s="392" t="s">
        <v>16</v>
      </c>
      <c r="C34" s="408">
        <v>2.1143045991628917E-2</v>
      </c>
      <c r="D34" s="409">
        <v>3.1078233490553532E-2</v>
      </c>
      <c r="E34" s="409">
        <v>3.2196597025811256E-2</v>
      </c>
      <c r="F34" s="409">
        <v>3.7627265874009601E-2</v>
      </c>
      <c r="G34" s="410">
        <v>4.1652784618339656E-2</v>
      </c>
      <c r="I34" s="453"/>
    </row>
    <row r="35" spans="1:9" ht="15" customHeight="1">
      <c r="A35" s="391">
        <v>23</v>
      </c>
      <c r="B35" s="392" t="s">
        <v>17</v>
      </c>
      <c r="C35" s="408">
        <v>0.1080684243586673</v>
      </c>
      <c r="D35" s="409">
        <v>0.14596691227140438</v>
      </c>
      <c r="E35" s="409">
        <v>0.15675607411609338</v>
      </c>
      <c r="F35" s="409">
        <v>0.17210751434223634</v>
      </c>
      <c r="G35" s="410">
        <v>0.1145283350683237</v>
      </c>
      <c r="I35" s="453"/>
    </row>
    <row r="36" spans="1:9" ht="15">
      <c r="A36" s="391">
        <v>24</v>
      </c>
      <c r="B36" s="392" t="s">
        <v>18</v>
      </c>
      <c r="C36" s="408">
        <v>6.7609800356010691E-2</v>
      </c>
      <c r="D36" s="409">
        <v>-5.0516966976925697E-2</v>
      </c>
      <c r="E36" s="409">
        <v>-8.349769474227417E-2</v>
      </c>
      <c r="F36" s="409">
        <v>-7.1678732660567943E-2</v>
      </c>
      <c r="G36" s="410">
        <v>-2.6823764143069896E-2</v>
      </c>
      <c r="I36" s="453"/>
    </row>
    <row r="37" spans="1:9" ht="15" customHeight="1">
      <c r="A37" s="384"/>
      <c r="B37" s="385" t="s">
        <v>19</v>
      </c>
      <c r="C37" s="301"/>
      <c r="D37" s="301"/>
      <c r="E37" s="301"/>
      <c r="F37" s="301"/>
      <c r="G37" s="302"/>
    </row>
    <row r="38" spans="1:9" ht="15" customHeight="1">
      <c r="A38" s="391">
        <v>25</v>
      </c>
      <c r="B38" s="392" t="s">
        <v>20</v>
      </c>
      <c r="C38" s="408">
        <v>0.15241637088717339</v>
      </c>
      <c r="D38" s="408">
        <v>0.19309811081481995</v>
      </c>
      <c r="E38" s="408">
        <v>0.24182866033653366</v>
      </c>
      <c r="F38" s="408">
        <v>0.2119189350229051</v>
      </c>
      <c r="G38" s="411">
        <v>0.24839925856766318</v>
      </c>
      <c r="I38" s="453"/>
    </row>
    <row r="39" spans="1:9" ht="15" customHeight="1">
      <c r="A39" s="391">
        <v>26</v>
      </c>
      <c r="B39" s="392" t="s">
        <v>21</v>
      </c>
      <c r="C39" s="408">
        <v>0.22301711359155352</v>
      </c>
      <c r="D39" s="408">
        <v>0.2243644659243243</v>
      </c>
      <c r="E39" s="408">
        <v>0.24195834812794975</v>
      </c>
      <c r="F39" s="408">
        <v>0.25082458880538083</v>
      </c>
      <c r="G39" s="411">
        <v>0.23758250484924023</v>
      </c>
      <c r="I39" s="453"/>
    </row>
    <row r="40" spans="1:9" ht="15" customHeight="1">
      <c r="A40" s="391">
        <v>27</v>
      </c>
      <c r="B40" s="393" t="s">
        <v>22</v>
      </c>
      <c r="C40" s="408">
        <v>0.11842488000458325</v>
      </c>
      <c r="D40" s="408">
        <v>0.11534307819498896</v>
      </c>
      <c r="E40" s="408">
        <v>0.11119558429637898</v>
      </c>
      <c r="F40" s="408">
        <v>9.8207917843141812E-2</v>
      </c>
      <c r="G40" s="411">
        <v>9.5883470866166665E-2</v>
      </c>
      <c r="I40" s="453"/>
    </row>
    <row r="41" spans="1:9" ht="15" customHeight="1">
      <c r="A41" s="397"/>
      <c r="B41" s="385" t="s">
        <v>399</v>
      </c>
      <c r="C41" s="301"/>
      <c r="D41" s="301"/>
      <c r="E41" s="301"/>
      <c r="F41" s="301"/>
      <c r="G41" s="302"/>
    </row>
    <row r="42" spans="1:9" ht="15" customHeight="1">
      <c r="A42" s="391">
        <v>28</v>
      </c>
      <c r="B42" s="406" t="s">
        <v>392</v>
      </c>
      <c r="C42" s="393">
        <v>49549525.006406799</v>
      </c>
      <c r="D42" s="393">
        <v>62495473.293500297</v>
      </c>
      <c r="E42" s="393">
        <v>65315019.463964202</v>
      </c>
      <c r="F42" s="393">
        <v>62391539.957249798</v>
      </c>
      <c r="G42" s="396">
        <v>55096097.556377299</v>
      </c>
      <c r="I42" s="453"/>
    </row>
    <row r="43" spans="1:9" ht="15">
      <c r="A43" s="391">
        <v>29</v>
      </c>
      <c r="B43" s="392" t="s">
        <v>393</v>
      </c>
      <c r="C43" s="393">
        <v>19367081.224884391</v>
      </c>
      <c r="D43" s="394">
        <v>20193598.813714109</v>
      </c>
      <c r="E43" s="394">
        <v>19546215.741830334</v>
      </c>
      <c r="F43" s="394">
        <v>32440744.565469168</v>
      </c>
      <c r="G43" s="395">
        <v>17044776.04580123</v>
      </c>
      <c r="I43" s="453"/>
    </row>
    <row r="44" spans="1:9" ht="15">
      <c r="A44" s="401">
        <v>30</v>
      </c>
      <c r="B44" s="402" t="s">
        <v>391</v>
      </c>
      <c r="C44" s="408">
        <v>2.5584405017489971</v>
      </c>
      <c r="D44" s="408">
        <v>3.0948160290803464</v>
      </c>
      <c r="E44" s="408">
        <v>3.3415685330938651</v>
      </c>
      <c r="F44" s="408">
        <v>1.923246238425153</v>
      </c>
      <c r="G44" s="411">
        <v>3.2324330579837417</v>
      </c>
      <c r="I44" s="453"/>
    </row>
    <row r="45" spans="1:9" ht="15">
      <c r="A45" s="401"/>
      <c r="B45" s="385" t="s">
        <v>495</v>
      </c>
      <c r="C45" s="301"/>
      <c r="D45" s="301"/>
      <c r="E45" s="301"/>
      <c r="F45" s="301"/>
      <c r="G45" s="302"/>
    </row>
    <row r="46" spans="1:9" ht="15">
      <c r="A46" s="401">
        <v>31</v>
      </c>
      <c r="B46" s="402" t="s">
        <v>496</v>
      </c>
      <c r="C46" s="403">
        <v>201119554.42783999</v>
      </c>
      <c r="D46" s="404">
        <v>197533800.58052993</v>
      </c>
      <c r="E46" s="404">
        <v>205560439.18169495</v>
      </c>
      <c r="F46" s="404">
        <v>202154769.05805498</v>
      </c>
      <c r="G46" s="405">
        <v>194662334.40806994</v>
      </c>
      <c r="I46" s="453"/>
    </row>
    <row r="47" spans="1:9" ht="15">
      <c r="A47" s="401">
        <v>32</v>
      </c>
      <c r="B47" s="402" t="s">
        <v>497</v>
      </c>
      <c r="C47" s="403">
        <v>164349647.19873589</v>
      </c>
      <c r="D47" s="404">
        <v>159044734.7771987</v>
      </c>
      <c r="E47" s="404">
        <v>147589607.5107736</v>
      </c>
      <c r="F47" s="404">
        <v>145143703.44044602</v>
      </c>
      <c r="G47" s="405">
        <v>149038373.84734955</v>
      </c>
    </row>
    <row r="48" spans="1:9" thickBot="1">
      <c r="A48" s="119">
        <v>33</v>
      </c>
      <c r="B48" s="224" t="s">
        <v>498</v>
      </c>
      <c r="C48" s="412">
        <v>1.2237297606403801</v>
      </c>
      <c r="D48" s="413">
        <v>1.2420015089292298</v>
      </c>
      <c r="E48" s="413">
        <v>1.3927839679815508</v>
      </c>
      <c r="F48" s="413">
        <v>1.3927904846454549</v>
      </c>
      <c r="G48" s="414">
        <v>1.3061222380717203</v>
      </c>
    </row>
    <row r="49" spans="1:7">
      <c r="A49" s="21"/>
    </row>
    <row r="50" spans="1:7" ht="39.75">
      <c r="B50" s="24" t="s">
        <v>477</v>
      </c>
    </row>
    <row r="51" spans="1:7" ht="65.25">
      <c r="B51" s="321" t="s">
        <v>398</v>
      </c>
      <c r="D51" s="303"/>
      <c r="E51" s="303"/>
      <c r="F51" s="303"/>
      <c r="G51" s="30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L43"/>
  <sheetViews>
    <sheetView zoomScale="85" zoomScaleNormal="85" workbookViewId="0">
      <pane xSplit="1" ySplit="5" topLeftCell="B6" activePane="bottomRight" state="frozen"/>
      <selection activeCell="B21" sqref="B21:B22"/>
      <selection pane="topRight" activeCell="B21" sqref="B21:B22"/>
      <selection pane="bottomLeft" activeCell="B21" sqref="B21:B22"/>
      <selection pane="bottomRight" activeCell="L22" sqref="L22"/>
    </sheetView>
  </sheetViews>
  <sheetFormatPr defaultRowHeight="15"/>
  <cols>
    <col min="1" max="1" width="9.5703125" style="2" bestFit="1" customWidth="1"/>
    <col min="2" max="2" width="55.140625" style="2" bestFit="1" customWidth="1"/>
    <col min="3" max="3" width="12.42578125" style="2" bestFit="1" customWidth="1"/>
    <col min="4" max="4" width="13.28515625" style="2" customWidth="1"/>
    <col min="5" max="5" width="14.5703125" style="2" customWidth="1"/>
    <col min="6" max="6" width="12.42578125" style="2" bestFit="1" customWidth="1"/>
    <col min="7" max="7" width="13.7109375" style="2" customWidth="1"/>
    <col min="8" max="8" width="14.5703125" style="2" customWidth="1"/>
    <col min="10" max="10" width="10.7109375" bestFit="1" customWidth="1"/>
  </cols>
  <sheetData>
    <row r="1" spans="1:12" ht="15.75">
      <c r="A1" s="18" t="s">
        <v>189</v>
      </c>
      <c r="B1" s="303" t="str">
        <f>Info!C2</f>
        <v>ფინკა ბანკი საქართველო სს</v>
      </c>
    </row>
    <row r="2" spans="1:12" ht="15.75">
      <c r="A2" s="18" t="s">
        <v>190</v>
      </c>
      <c r="B2" s="440">
        <f>'1. key ratios'!B2</f>
        <v>44286</v>
      </c>
    </row>
    <row r="3" spans="1:12" ht="15.75">
      <c r="A3" s="18"/>
    </row>
    <row r="4" spans="1:12" ht="16.5" thickBot="1">
      <c r="A4" s="31" t="s">
        <v>330</v>
      </c>
      <c r="B4" s="68" t="s">
        <v>245</v>
      </c>
      <c r="C4" s="31"/>
      <c r="D4" s="32"/>
      <c r="E4" s="32"/>
      <c r="F4" s="33"/>
      <c r="G4" s="33"/>
      <c r="H4" s="34" t="s">
        <v>94</v>
      </c>
    </row>
    <row r="5" spans="1:12" ht="15.75">
      <c r="A5" s="35"/>
      <c r="B5" s="36"/>
      <c r="C5" s="543" t="s">
        <v>195</v>
      </c>
      <c r="D5" s="544"/>
      <c r="E5" s="545"/>
      <c r="F5" s="543" t="s">
        <v>196</v>
      </c>
      <c r="G5" s="544"/>
      <c r="H5" s="546"/>
    </row>
    <row r="6" spans="1:12" ht="15.75">
      <c r="A6" s="37" t="s">
        <v>27</v>
      </c>
      <c r="B6" s="38" t="s">
        <v>154</v>
      </c>
      <c r="C6" s="39" t="s">
        <v>28</v>
      </c>
      <c r="D6" s="39" t="s">
        <v>95</v>
      </c>
      <c r="E6" s="39" t="s">
        <v>69</v>
      </c>
      <c r="F6" s="39" t="s">
        <v>28</v>
      </c>
      <c r="G6" s="39" t="s">
        <v>95</v>
      </c>
      <c r="H6" s="40" t="s">
        <v>69</v>
      </c>
    </row>
    <row r="7" spans="1:12" ht="15.75">
      <c r="A7" s="37">
        <v>1</v>
      </c>
      <c r="B7" s="41" t="s">
        <v>155</v>
      </c>
      <c r="C7" s="225">
        <v>6245372.75</v>
      </c>
      <c r="D7" s="225">
        <v>6368494.1399999997</v>
      </c>
      <c r="E7" s="226">
        <f>C7+D7</f>
        <v>12613866.890000001</v>
      </c>
      <c r="F7" s="227">
        <v>6087200.7000000002</v>
      </c>
      <c r="G7" s="228">
        <v>5626476.3300000001</v>
      </c>
      <c r="H7" s="229">
        <f>F7+G7</f>
        <v>11713677.030000001</v>
      </c>
      <c r="J7" s="453"/>
      <c r="K7" s="453"/>
      <c r="L7" s="453"/>
    </row>
    <row r="8" spans="1:12" ht="15.75">
      <c r="A8" s="37">
        <v>2</v>
      </c>
      <c r="B8" s="41" t="s">
        <v>156</v>
      </c>
      <c r="C8" s="225">
        <v>1983125.74</v>
      </c>
      <c r="D8" s="225">
        <v>8085221.96</v>
      </c>
      <c r="E8" s="226">
        <f t="shared" ref="E8:E20" si="0">C8+D8</f>
        <v>10068347.699999999</v>
      </c>
      <c r="F8" s="227">
        <v>16449784.880000001</v>
      </c>
      <c r="G8" s="228">
        <v>10875381.09</v>
      </c>
      <c r="H8" s="229">
        <f t="shared" ref="H8:H40" si="1">F8+G8</f>
        <v>27325165.969999999</v>
      </c>
      <c r="J8" s="453"/>
      <c r="K8" s="453"/>
      <c r="L8" s="453"/>
    </row>
    <row r="9" spans="1:12" ht="15.75">
      <c r="A9" s="37">
        <v>3</v>
      </c>
      <c r="B9" s="41" t="s">
        <v>157</v>
      </c>
      <c r="C9" s="225">
        <v>187652.5</v>
      </c>
      <c r="D9" s="225">
        <v>11404948.050000001</v>
      </c>
      <c r="E9" s="226">
        <f t="shared" si="0"/>
        <v>11592600.550000001</v>
      </c>
      <c r="F9" s="227">
        <v>4377765.66</v>
      </c>
      <c r="G9" s="228">
        <v>8556047.9800000004</v>
      </c>
      <c r="H9" s="229">
        <f t="shared" si="1"/>
        <v>12933813.640000001</v>
      </c>
      <c r="J9" s="453"/>
      <c r="K9" s="453"/>
      <c r="L9" s="453"/>
    </row>
    <row r="10" spans="1:12" ht="15.75">
      <c r="A10" s="37">
        <v>4</v>
      </c>
      <c r="B10" s="41" t="s">
        <v>186</v>
      </c>
      <c r="C10" s="225">
        <v>0</v>
      </c>
      <c r="D10" s="225">
        <v>0</v>
      </c>
      <c r="E10" s="226">
        <f t="shared" si="0"/>
        <v>0</v>
      </c>
      <c r="F10" s="227">
        <v>0</v>
      </c>
      <c r="G10" s="228">
        <v>0</v>
      </c>
      <c r="H10" s="229">
        <f t="shared" si="1"/>
        <v>0</v>
      </c>
      <c r="J10" s="453"/>
      <c r="K10" s="453"/>
      <c r="L10" s="453"/>
    </row>
    <row r="11" spans="1:12" ht="15.75">
      <c r="A11" s="37">
        <v>5</v>
      </c>
      <c r="B11" s="41" t="s">
        <v>158</v>
      </c>
      <c r="C11" s="225">
        <v>29067256.620000001</v>
      </c>
      <c r="D11" s="225">
        <v>0</v>
      </c>
      <c r="E11" s="226">
        <f t="shared" si="0"/>
        <v>29067256.620000001</v>
      </c>
      <c r="F11" s="227">
        <v>18471361.699999999</v>
      </c>
      <c r="G11" s="228">
        <v>0</v>
      </c>
      <c r="H11" s="229">
        <f t="shared" si="1"/>
        <v>18471361.699999999</v>
      </c>
      <c r="J11" s="453"/>
      <c r="K11" s="453"/>
      <c r="L11" s="453"/>
    </row>
    <row r="12" spans="1:12" ht="15.75">
      <c r="A12" s="37">
        <v>6.1</v>
      </c>
      <c r="B12" s="42" t="s">
        <v>159</v>
      </c>
      <c r="C12" s="225">
        <v>204753134.59999731</v>
      </c>
      <c r="D12" s="225">
        <v>4422612.4399999995</v>
      </c>
      <c r="E12" s="226">
        <f t="shared" si="0"/>
        <v>209175747.03999731</v>
      </c>
      <c r="F12" s="227">
        <v>192453559.96000004</v>
      </c>
      <c r="G12" s="228">
        <v>8364637.1100000003</v>
      </c>
      <c r="H12" s="229">
        <f t="shared" si="1"/>
        <v>200818197.07000005</v>
      </c>
      <c r="J12" s="453"/>
      <c r="K12" s="453"/>
      <c r="L12" s="453"/>
    </row>
    <row r="13" spans="1:12" ht="15.75">
      <c r="A13" s="37">
        <v>6.2</v>
      </c>
      <c r="B13" s="42" t="s">
        <v>160</v>
      </c>
      <c r="C13" s="225">
        <v>-12555839.450000033</v>
      </c>
      <c r="D13" s="225">
        <v>-758130.45999999961</v>
      </c>
      <c r="E13" s="226">
        <f t="shared" si="0"/>
        <v>-13313969.910000032</v>
      </c>
      <c r="F13" s="227">
        <v>-10342134.067000084</v>
      </c>
      <c r="G13" s="228">
        <v>-1534166.253799998</v>
      </c>
      <c r="H13" s="229">
        <f t="shared" si="1"/>
        <v>-11876300.320800081</v>
      </c>
      <c r="J13" s="453"/>
      <c r="K13" s="453"/>
      <c r="L13" s="453"/>
    </row>
    <row r="14" spans="1:12" ht="15.75">
      <c r="A14" s="37">
        <v>6</v>
      </c>
      <c r="B14" s="41" t="s">
        <v>161</v>
      </c>
      <c r="C14" s="226">
        <f>C12+C13</f>
        <v>192197295.14999729</v>
      </c>
      <c r="D14" s="226">
        <f>D12+D13</f>
        <v>3664481.98</v>
      </c>
      <c r="E14" s="226">
        <f t="shared" si="0"/>
        <v>195861777.12999728</v>
      </c>
      <c r="F14" s="226">
        <f>F12+F13</f>
        <v>182111425.89299995</v>
      </c>
      <c r="G14" s="226">
        <f>G12+G13</f>
        <v>6830470.8562000021</v>
      </c>
      <c r="H14" s="229">
        <f t="shared" si="1"/>
        <v>188941896.74919996</v>
      </c>
      <c r="J14" s="453"/>
      <c r="K14" s="453"/>
      <c r="L14" s="453"/>
    </row>
    <row r="15" spans="1:12" ht="15.75">
      <c r="A15" s="37">
        <v>7</v>
      </c>
      <c r="B15" s="41" t="s">
        <v>162</v>
      </c>
      <c r="C15" s="225">
        <v>6769234.3000000007</v>
      </c>
      <c r="D15" s="225">
        <v>90308.37</v>
      </c>
      <c r="E15" s="226">
        <f t="shared" si="0"/>
        <v>6859542.6700000009</v>
      </c>
      <c r="F15" s="227">
        <v>4714135.87</v>
      </c>
      <c r="G15" s="228">
        <v>69173.41</v>
      </c>
      <c r="H15" s="229">
        <f t="shared" si="1"/>
        <v>4783309.28</v>
      </c>
      <c r="J15" s="453"/>
      <c r="K15" s="453"/>
      <c r="L15" s="453"/>
    </row>
    <row r="16" spans="1:12" ht="15.75">
      <c r="A16" s="37">
        <v>8</v>
      </c>
      <c r="B16" s="41" t="s">
        <v>163</v>
      </c>
      <c r="C16" s="225">
        <v>261897.5</v>
      </c>
      <c r="D16" s="225">
        <v>0</v>
      </c>
      <c r="E16" s="226">
        <f t="shared" si="0"/>
        <v>261897.5</v>
      </c>
      <c r="F16" s="227">
        <v>222433</v>
      </c>
      <c r="G16" s="228">
        <v>0</v>
      </c>
      <c r="H16" s="229">
        <f t="shared" si="1"/>
        <v>222433</v>
      </c>
      <c r="J16" s="453"/>
      <c r="K16" s="453"/>
      <c r="L16" s="453"/>
    </row>
    <row r="17" spans="1:12" ht="15.75">
      <c r="A17" s="37">
        <v>9</v>
      </c>
      <c r="B17" s="41" t="s">
        <v>164</v>
      </c>
      <c r="C17" s="225">
        <v>0</v>
      </c>
      <c r="D17" s="225">
        <v>0</v>
      </c>
      <c r="E17" s="226">
        <f t="shared" si="0"/>
        <v>0</v>
      </c>
      <c r="F17" s="227">
        <v>0</v>
      </c>
      <c r="G17" s="228">
        <v>0</v>
      </c>
      <c r="H17" s="229">
        <f t="shared" si="1"/>
        <v>0</v>
      </c>
      <c r="J17" s="453"/>
      <c r="K17" s="453"/>
      <c r="L17" s="453"/>
    </row>
    <row r="18" spans="1:12" ht="15.75">
      <c r="A18" s="37">
        <v>10</v>
      </c>
      <c r="B18" s="41" t="s">
        <v>165</v>
      </c>
      <c r="C18" s="225">
        <v>8897508.4099999964</v>
      </c>
      <c r="D18" s="225">
        <v>0</v>
      </c>
      <c r="E18" s="226">
        <f t="shared" si="0"/>
        <v>8897508.4099999964</v>
      </c>
      <c r="F18" s="227">
        <v>11642722.700000007</v>
      </c>
      <c r="G18" s="228">
        <v>0</v>
      </c>
      <c r="H18" s="229">
        <f t="shared" si="1"/>
        <v>11642722.700000007</v>
      </c>
      <c r="J18" s="453"/>
      <c r="K18" s="453"/>
      <c r="L18" s="453"/>
    </row>
    <row r="19" spans="1:12" ht="15.75">
      <c r="A19" s="37">
        <v>11</v>
      </c>
      <c r="B19" s="41" t="s">
        <v>166</v>
      </c>
      <c r="C19" s="225">
        <v>3113151.04</v>
      </c>
      <c r="D19" s="225">
        <v>522319.10000000003</v>
      </c>
      <c r="E19" s="226">
        <f t="shared" si="0"/>
        <v>3635470.14</v>
      </c>
      <c r="F19" s="227">
        <v>5533730.8800000008</v>
      </c>
      <c r="G19" s="228">
        <v>327483.42</v>
      </c>
      <c r="H19" s="229">
        <f t="shared" si="1"/>
        <v>5861214.3000000007</v>
      </c>
      <c r="J19" s="453"/>
      <c r="K19" s="453"/>
      <c r="L19" s="453"/>
    </row>
    <row r="20" spans="1:12" ht="15.75">
      <c r="A20" s="37">
        <v>12</v>
      </c>
      <c r="B20" s="43" t="s">
        <v>167</v>
      </c>
      <c r="C20" s="226">
        <f>SUM(C7:C11)+SUM(C14:C19)</f>
        <v>248722494.00999731</v>
      </c>
      <c r="D20" s="226">
        <f>SUM(D7:D11)+SUM(D14:D19)</f>
        <v>30135773.599999998</v>
      </c>
      <c r="E20" s="226">
        <f t="shared" si="0"/>
        <v>278858267.60999733</v>
      </c>
      <c r="F20" s="226">
        <f>SUM(F7:F11)+SUM(F14:F19)</f>
        <v>249610561.28299996</v>
      </c>
      <c r="G20" s="226">
        <f>SUM(G7:G11)+SUM(G14:G19)</f>
        <v>32285033.086199999</v>
      </c>
      <c r="H20" s="229">
        <f t="shared" si="1"/>
        <v>281895594.36919999</v>
      </c>
      <c r="J20" s="453"/>
      <c r="K20" s="453"/>
      <c r="L20" s="453"/>
    </row>
    <row r="21" spans="1:12" ht="15.75">
      <c r="A21" s="37"/>
      <c r="B21" s="38" t="s">
        <v>184</v>
      </c>
      <c r="C21" s="230"/>
      <c r="D21" s="230"/>
      <c r="E21" s="230"/>
      <c r="F21" s="231"/>
      <c r="G21" s="232"/>
      <c r="H21" s="233"/>
      <c r="J21" s="453"/>
      <c r="K21" s="453"/>
      <c r="L21" s="453"/>
    </row>
    <row r="22" spans="1:12" ht="15.75">
      <c r="A22" s="37">
        <v>13</v>
      </c>
      <c r="B22" s="41" t="s">
        <v>168</v>
      </c>
      <c r="C22" s="225">
        <v>2000000</v>
      </c>
      <c r="D22" s="225">
        <v>0</v>
      </c>
      <c r="E22" s="226">
        <f>C22+D22</f>
        <v>2000000</v>
      </c>
      <c r="F22" s="227">
        <v>0</v>
      </c>
      <c r="G22" s="228">
        <v>0</v>
      </c>
      <c r="H22" s="229">
        <f t="shared" si="1"/>
        <v>0</v>
      </c>
      <c r="J22" s="453"/>
      <c r="K22" s="453"/>
      <c r="L22" s="453"/>
    </row>
    <row r="23" spans="1:12" ht="15.75">
      <c r="A23" s="37">
        <v>14</v>
      </c>
      <c r="B23" s="41" t="s">
        <v>169</v>
      </c>
      <c r="C23" s="225">
        <v>9044303.2700000294</v>
      </c>
      <c r="D23" s="225">
        <v>1701832.8199999984</v>
      </c>
      <c r="E23" s="226">
        <f t="shared" ref="E23:E40" si="2">C23+D23</f>
        <v>10746136.090000028</v>
      </c>
      <c r="F23" s="227">
        <v>5417998.3500000052</v>
      </c>
      <c r="G23" s="228">
        <v>2796307.72</v>
      </c>
      <c r="H23" s="229">
        <f t="shared" si="1"/>
        <v>8214306.0700000059</v>
      </c>
      <c r="J23" s="453"/>
      <c r="K23" s="453"/>
      <c r="L23" s="453"/>
    </row>
    <row r="24" spans="1:12" ht="15.75">
      <c r="A24" s="37">
        <v>15</v>
      </c>
      <c r="B24" s="41" t="s">
        <v>170</v>
      </c>
      <c r="C24" s="225">
        <v>11876284.389999893</v>
      </c>
      <c r="D24" s="225">
        <v>10401336.39999998</v>
      </c>
      <c r="E24" s="226">
        <f t="shared" si="2"/>
        <v>22277620.789999872</v>
      </c>
      <c r="F24" s="227">
        <v>9738568.1699999031</v>
      </c>
      <c r="G24" s="228">
        <v>9076253.7700000126</v>
      </c>
      <c r="H24" s="229">
        <f t="shared" si="1"/>
        <v>18814821.939999916</v>
      </c>
      <c r="J24" s="453"/>
      <c r="K24" s="453"/>
      <c r="L24" s="453"/>
    </row>
    <row r="25" spans="1:12" ht="15.75">
      <c r="A25" s="37">
        <v>16</v>
      </c>
      <c r="B25" s="41" t="s">
        <v>171</v>
      </c>
      <c r="C25" s="225">
        <v>116907266.91000009</v>
      </c>
      <c r="D25" s="225">
        <v>16377348.310000014</v>
      </c>
      <c r="E25" s="226">
        <f t="shared" si="2"/>
        <v>133284615.2200001</v>
      </c>
      <c r="F25" s="227">
        <v>130939088.82000002</v>
      </c>
      <c r="G25" s="228">
        <v>22746264.629999977</v>
      </c>
      <c r="H25" s="229">
        <f t="shared" si="1"/>
        <v>153685353.44999999</v>
      </c>
      <c r="J25" s="453"/>
      <c r="K25" s="453"/>
      <c r="L25" s="453"/>
    </row>
    <row r="26" spans="1:12" ht="15.75">
      <c r="A26" s="37">
        <v>17</v>
      </c>
      <c r="B26" s="41" t="s">
        <v>172</v>
      </c>
      <c r="C26" s="230">
        <v>0</v>
      </c>
      <c r="D26" s="230"/>
      <c r="E26" s="226">
        <f t="shared" si="2"/>
        <v>0</v>
      </c>
      <c r="F26" s="231">
        <v>0</v>
      </c>
      <c r="G26" s="232">
        <v>0</v>
      </c>
      <c r="H26" s="229">
        <f t="shared" si="1"/>
        <v>0</v>
      </c>
      <c r="J26" s="453"/>
      <c r="K26" s="453"/>
      <c r="L26" s="453"/>
    </row>
    <row r="27" spans="1:12" ht="15.75">
      <c r="A27" s="37">
        <v>18</v>
      </c>
      <c r="B27" s="41" t="s">
        <v>173</v>
      </c>
      <c r="C27" s="225">
        <v>35055300</v>
      </c>
      <c r="D27" s="225">
        <v>2900030</v>
      </c>
      <c r="E27" s="226">
        <f t="shared" si="2"/>
        <v>37955330</v>
      </c>
      <c r="F27" s="227">
        <v>23513195</v>
      </c>
      <c r="G27" s="228">
        <v>0</v>
      </c>
      <c r="H27" s="229">
        <f t="shared" si="1"/>
        <v>23513195</v>
      </c>
      <c r="J27" s="453"/>
      <c r="K27" s="453"/>
      <c r="L27" s="453"/>
    </row>
    <row r="28" spans="1:12" ht="15.75">
      <c r="A28" s="37">
        <v>19</v>
      </c>
      <c r="B28" s="41" t="s">
        <v>174</v>
      </c>
      <c r="C28" s="225">
        <v>3682318.24</v>
      </c>
      <c r="D28" s="225">
        <v>662739</v>
      </c>
      <c r="E28" s="226">
        <f t="shared" si="2"/>
        <v>4345057.24</v>
      </c>
      <c r="F28" s="227">
        <v>5473022.0099999998</v>
      </c>
      <c r="G28" s="228">
        <v>926697.92999999993</v>
      </c>
      <c r="H28" s="229">
        <f t="shared" si="1"/>
        <v>6399719.9399999995</v>
      </c>
      <c r="J28" s="453"/>
      <c r="K28" s="453"/>
      <c r="L28" s="453"/>
    </row>
    <row r="29" spans="1:12" ht="15.75">
      <c r="A29" s="37">
        <v>20</v>
      </c>
      <c r="B29" s="41" t="s">
        <v>96</v>
      </c>
      <c r="C29" s="225">
        <v>5213533.370000001</v>
      </c>
      <c r="D29" s="225">
        <v>3647734.37</v>
      </c>
      <c r="E29" s="226">
        <f t="shared" si="2"/>
        <v>8861267.7400000021</v>
      </c>
      <c r="F29" s="227">
        <v>6578289.1099999994</v>
      </c>
      <c r="G29" s="228">
        <v>4640430.59</v>
      </c>
      <c r="H29" s="229">
        <f t="shared" si="1"/>
        <v>11218719.699999999</v>
      </c>
      <c r="J29" s="453"/>
      <c r="K29" s="453"/>
      <c r="L29" s="453"/>
    </row>
    <row r="30" spans="1:12" ht="15.75">
      <c r="A30" s="37">
        <v>21</v>
      </c>
      <c r="B30" s="41" t="s">
        <v>175</v>
      </c>
      <c r="C30" s="225">
        <v>0</v>
      </c>
      <c r="D30" s="225">
        <v>17059000</v>
      </c>
      <c r="E30" s="226">
        <f t="shared" si="2"/>
        <v>17059000</v>
      </c>
      <c r="F30" s="227">
        <v>0</v>
      </c>
      <c r="G30" s="228">
        <v>16422500</v>
      </c>
      <c r="H30" s="229">
        <f t="shared" si="1"/>
        <v>16422500</v>
      </c>
      <c r="J30" s="453"/>
      <c r="K30" s="453"/>
      <c r="L30" s="453"/>
    </row>
    <row r="31" spans="1:12" ht="15.75">
      <c r="A31" s="37">
        <v>22</v>
      </c>
      <c r="B31" s="537" t="s">
        <v>176</v>
      </c>
      <c r="C31" s="226">
        <f>SUM(C22:C30)</f>
        <v>183779006.18000001</v>
      </c>
      <c r="D31" s="226">
        <f>SUM(D22:D30)</f>
        <v>52750020.899999991</v>
      </c>
      <c r="E31" s="226">
        <f>C31+D31</f>
        <v>236529027.07999998</v>
      </c>
      <c r="F31" s="226">
        <f>SUM(F22:F30)</f>
        <v>181660161.45999992</v>
      </c>
      <c r="G31" s="226">
        <f>SUM(G22:G30)</f>
        <v>56608454.639999986</v>
      </c>
      <c r="H31" s="229">
        <f t="shared" si="1"/>
        <v>238268616.0999999</v>
      </c>
      <c r="J31" s="453"/>
      <c r="K31" s="453"/>
      <c r="L31" s="453"/>
    </row>
    <row r="32" spans="1:12" ht="15.75">
      <c r="A32" s="37"/>
      <c r="B32" s="38" t="s">
        <v>185</v>
      </c>
      <c r="C32" s="230"/>
      <c r="D32" s="230"/>
      <c r="E32" s="225"/>
      <c r="F32" s="231"/>
      <c r="G32" s="232"/>
      <c r="H32" s="233"/>
      <c r="J32" s="453"/>
      <c r="K32" s="453"/>
      <c r="L32" s="453"/>
    </row>
    <row r="33" spans="1:12" ht="15.75">
      <c r="A33" s="37">
        <v>23</v>
      </c>
      <c r="B33" s="41" t="s">
        <v>177</v>
      </c>
      <c r="C33" s="225">
        <v>25643199.989999998</v>
      </c>
      <c r="D33" s="230">
        <v>0</v>
      </c>
      <c r="E33" s="226">
        <f t="shared" si="2"/>
        <v>25643199.989999998</v>
      </c>
      <c r="F33" s="227">
        <v>25643199.989999998</v>
      </c>
      <c r="G33" s="232">
        <v>0</v>
      </c>
      <c r="H33" s="229">
        <f t="shared" si="1"/>
        <v>25643199.989999998</v>
      </c>
      <c r="J33" s="453"/>
      <c r="K33" s="453"/>
      <c r="L33" s="453"/>
    </row>
    <row r="34" spans="1:12" ht="15.75">
      <c r="A34" s="37">
        <v>24</v>
      </c>
      <c r="B34" s="41" t="s">
        <v>178</v>
      </c>
      <c r="C34" s="225">
        <v>0</v>
      </c>
      <c r="D34" s="230">
        <v>0</v>
      </c>
      <c r="E34" s="226">
        <f t="shared" si="2"/>
        <v>0</v>
      </c>
      <c r="F34" s="227">
        <v>0</v>
      </c>
      <c r="G34" s="232">
        <v>0</v>
      </c>
      <c r="H34" s="229">
        <f t="shared" si="1"/>
        <v>0</v>
      </c>
      <c r="J34" s="453"/>
      <c r="K34" s="453"/>
      <c r="L34" s="453"/>
    </row>
    <row r="35" spans="1:12" ht="15.75">
      <c r="A35" s="37">
        <v>25</v>
      </c>
      <c r="B35" s="42" t="s">
        <v>179</v>
      </c>
      <c r="C35" s="225">
        <v>0</v>
      </c>
      <c r="D35" s="230">
        <v>0</v>
      </c>
      <c r="E35" s="226">
        <f t="shared" si="2"/>
        <v>0</v>
      </c>
      <c r="F35" s="227">
        <v>0</v>
      </c>
      <c r="G35" s="232">
        <v>0</v>
      </c>
      <c r="H35" s="229">
        <f t="shared" si="1"/>
        <v>0</v>
      </c>
      <c r="J35" s="453"/>
      <c r="K35" s="453"/>
      <c r="L35" s="453"/>
    </row>
    <row r="36" spans="1:12" ht="15.75">
      <c r="A36" s="37">
        <v>26</v>
      </c>
      <c r="B36" s="41" t="s">
        <v>180</v>
      </c>
      <c r="C36" s="225">
        <v>0</v>
      </c>
      <c r="D36" s="230">
        <v>0</v>
      </c>
      <c r="E36" s="226">
        <f t="shared" si="2"/>
        <v>0</v>
      </c>
      <c r="F36" s="227">
        <v>0</v>
      </c>
      <c r="G36" s="232">
        <v>0</v>
      </c>
      <c r="H36" s="229">
        <f t="shared" si="1"/>
        <v>0</v>
      </c>
      <c r="J36" s="453"/>
      <c r="K36" s="453"/>
      <c r="L36" s="453"/>
    </row>
    <row r="37" spans="1:12" ht="15.75">
      <c r="A37" s="37">
        <v>27</v>
      </c>
      <c r="B37" s="41" t="s">
        <v>181</v>
      </c>
      <c r="C37" s="225">
        <v>0</v>
      </c>
      <c r="D37" s="230">
        <v>0</v>
      </c>
      <c r="E37" s="226">
        <f t="shared" si="2"/>
        <v>0</v>
      </c>
      <c r="F37" s="227">
        <v>0</v>
      </c>
      <c r="G37" s="232">
        <v>0</v>
      </c>
      <c r="H37" s="229">
        <f t="shared" si="1"/>
        <v>0</v>
      </c>
      <c r="J37" s="453"/>
      <c r="K37" s="453"/>
      <c r="L37" s="453"/>
    </row>
    <row r="38" spans="1:12" ht="15.75">
      <c r="A38" s="37">
        <v>28</v>
      </c>
      <c r="B38" s="41" t="s">
        <v>182</v>
      </c>
      <c r="C38" s="225">
        <v>16686039.461100001</v>
      </c>
      <c r="D38" s="230">
        <v>0</v>
      </c>
      <c r="E38" s="226">
        <f t="shared" si="2"/>
        <v>16686039.461100001</v>
      </c>
      <c r="F38" s="227">
        <v>17983778.640000001</v>
      </c>
      <c r="G38" s="232">
        <v>0</v>
      </c>
      <c r="H38" s="229">
        <f t="shared" si="1"/>
        <v>17983778.640000001</v>
      </c>
      <c r="J38" s="453"/>
      <c r="K38" s="453"/>
      <c r="L38" s="453"/>
    </row>
    <row r="39" spans="1:12" ht="15.75">
      <c r="A39" s="37">
        <v>29</v>
      </c>
      <c r="B39" s="41" t="s">
        <v>197</v>
      </c>
      <c r="C39" s="225">
        <v>0</v>
      </c>
      <c r="D39" s="230">
        <v>0</v>
      </c>
      <c r="E39" s="226">
        <f t="shared" si="2"/>
        <v>0</v>
      </c>
      <c r="F39" s="227">
        <v>0</v>
      </c>
      <c r="G39" s="232">
        <v>0</v>
      </c>
      <c r="H39" s="229">
        <f t="shared" si="1"/>
        <v>0</v>
      </c>
      <c r="J39" s="453"/>
      <c r="K39" s="453"/>
      <c r="L39" s="453"/>
    </row>
    <row r="40" spans="1:12" ht="15.75">
      <c r="A40" s="37">
        <v>30</v>
      </c>
      <c r="B40" s="43" t="s">
        <v>183</v>
      </c>
      <c r="C40" s="225">
        <v>42329239.451099999</v>
      </c>
      <c r="D40" s="230">
        <v>0</v>
      </c>
      <c r="E40" s="226">
        <f t="shared" si="2"/>
        <v>42329239.451099999</v>
      </c>
      <c r="F40" s="227">
        <v>43626978.629999995</v>
      </c>
      <c r="G40" s="232">
        <v>0</v>
      </c>
      <c r="H40" s="229">
        <f t="shared" si="1"/>
        <v>43626978.629999995</v>
      </c>
      <c r="J40" s="453"/>
      <c r="K40" s="453"/>
      <c r="L40" s="453"/>
    </row>
    <row r="41" spans="1:12" ht="16.5" thickBot="1">
      <c r="A41" s="44">
        <v>31</v>
      </c>
      <c r="B41" s="45" t="s">
        <v>198</v>
      </c>
      <c r="C41" s="234">
        <f>C31+C40</f>
        <v>226108245.6311</v>
      </c>
      <c r="D41" s="234">
        <f>D31+D40</f>
        <v>52750020.899999991</v>
      </c>
      <c r="E41" s="234">
        <f>C41+D41</f>
        <v>278858266.53109998</v>
      </c>
      <c r="F41" s="234">
        <f>F31+F40</f>
        <v>225287140.08999991</v>
      </c>
      <c r="G41" s="234">
        <f>G31+G40</f>
        <v>56608454.639999986</v>
      </c>
      <c r="H41" s="235">
        <f>F41+G41</f>
        <v>281895594.7299999</v>
      </c>
      <c r="J41" s="453"/>
      <c r="K41" s="453"/>
      <c r="L41" s="453"/>
    </row>
    <row r="43" spans="1:12">
      <c r="B43" s="46"/>
      <c r="E43" s="454"/>
      <c r="H43" s="454"/>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L67"/>
  <sheetViews>
    <sheetView zoomScale="85" zoomScaleNormal="85" workbookViewId="0">
      <pane xSplit="1" ySplit="6" topLeftCell="B7" activePane="bottomRight" state="frozen"/>
      <selection activeCell="B21" sqref="B21:B22"/>
      <selection pane="topRight" activeCell="B21" sqref="B21:B22"/>
      <selection pane="bottomLeft" activeCell="B21" sqref="B21:B22"/>
      <selection pane="bottomRight" activeCell="L20" sqref="L20"/>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12" ht="15.75">
      <c r="A1" s="18" t="s">
        <v>189</v>
      </c>
      <c r="B1" s="17" t="str">
        <f>Info!C2</f>
        <v>ფინკა ბანკი საქართველო სს</v>
      </c>
      <c r="C1" s="17"/>
    </row>
    <row r="2" spans="1:12" ht="15.75">
      <c r="A2" s="18" t="s">
        <v>190</v>
      </c>
      <c r="B2" s="440">
        <f>'1. key ratios'!B2</f>
        <v>44286</v>
      </c>
      <c r="C2" s="29"/>
      <c r="D2" s="19"/>
      <c r="E2" s="19"/>
      <c r="F2" s="19"/>
      <c r="G2" s="19"/>
      <c r="H2" s="19"/>
    </row>
    <row r="3" spans="1:12" ht="15.75">
      <c r="A3" s="18"/>
      <c r="B3" s="17"/>
      <c r="C3" s="29"/>
      <c r="D3" s="19"/>
      <c r="E3" s="19"/>
      <c r="F3" s="19"/>
      <c r="G3" s="19"/>
      <c r="H3" s="19"/>
    </row>
    <row r="4" spans="1:12" ht="16.5" thickBot="1">
      <c r="A4" s="47" t="s">
        <v>331</v>
      </c>
      <c r="B4" s="30" t="s">
        <v>223</v>
      </c>
      <c r="C4" s="33"/>
      <c r="D4" s="33"/>
      <c r="E4" s="33"/>
      <c r="F4" s="47"/>
      <c r="G4" s="47"/>
      <c r="H4" s="48" t="s">
        <v>94</v>
      </c>
    </row>
    <row r="5" spans="1:12" ht="15.75">
      <c r="A5" s="120"/>
      <c r="B5" s="121"/>
      <c r="C5" s="543" t="s">
        <v>195</v>
      </c>
      <c r="D5" s="544"/>
      <c r="E5" s="545"/>
      <c r="F5" s="543" t="s">
        <v>196</v>
      </c>
      <c r="G5" s="544"/>
      <c r="H5" s="546"/>
    </row>
    <row r="6" spans="1:12">
      <c r="A6" s="122" t="s">
        <v>27</v>
      </c>
      <c r="B6" s="49"/>
      <c r="C6" s="50" t="s">
        <v>28</v>
      </c>
      <c r="D6" s="50" t="s">
        <v>97</v>
      </c>
      <c r="E6" s="50" t="s">
        <v>69</v>
      </c>
      <c r="F6" s="50" t="s">
        <v>28</v>
      </c>
      <c r="G6" s="50" t="s">
        <v>97</v>
      </c>
      <c r="H6" s="123" t="s">
        <v>69</v>
      </c>
    </row>
    <row r="7" spans="1:12">
      <c r="A7" s="124"/>
      <c r="B7" s="52" t="s">
        <v>93</v>
      </c>
      <c r="C7" s="53"/>
      <c r="D7" s="53"/>
      <c r="E7" s="53"/>
      <c r="F7" s="53"/>
      <c r="G7" s="53"/>
      <c r="H7" s="125"/>
    </row>
    <row r="8" spans="1:12" ht="15.75">
      <c r="A8" s="124">
        <v>1</v>
      </c>
      <c r="B8" s="54" t="s">
        <v>98</v>
      </c>
      <c r="C8" s="236">
        <v>142545.78</v>
      </c>
      <c r="D8" s="236">
        <v>-3575.7899999999995</v>
      </c>
      <c r="E8" s="226">
        <f>C8+D8</f>
        <v>138969.99</v>
      </c>
      <c r="F8" s="236">
        <v>319962.95999999996</v>
      </c>
      <c r="G8" s="236">
        <v>46493.36</v>
      </c>
      <c r="H8" s="237">
        <f>F8+G8</f>
        <v>366456.31999999995</v>
      </c>
      <c r="J8" s="455"/>
      <c r="K8" s="455"/>
      <c r="L8" s="455"/>
    </row>
    <row r="9" spans="1:12" ht="15.75">
      <c r="A9" s="124">
        <v>2</v>
      </c>
      <c r="B9" s="54" t="s">
        <v>99</v>
      </c>
      <c r="C9" s="238">
        <f>SUM(C10:C18)</f>
        <v>10307782.449999999</v>
      </c>
      <c r="D9" s="238">
        <f>SUM(D10:D18)</f>
        <v>119960.45110000001</v>
      </c>
      <c r="E9" s="226">
        <f t="shared" ref="E9:E67" si="0">C9+D9</f>
        <v>10427742.901099999</v>
      </c>
      <c r="F9" s="238">
        <f>SUM(F10:F18)</f>
        <v>10952731.1</v>
      </c>
      <c r="G9" s="238">
        <f>SUM(G10:G18)</f>
        <v>248645.95</v>
      </c>
      <c r="H9" s="237">
        <f t="shared" ref="H9:H67" si="1">F9+G9</f>
        <v>11201377.049999999</v>
      </c>
      <c r="J9" s="455"/>
      <c r="K9" s="455"/>
      <c r="L9" s="455"/>
    </row>
    <row r="10" spans="1:12" ht="15.75">
      <c r="A10" s="124">
        <v>2.1</v>
      </c>
      <c r="B10" s="55" t="s">
        <v>100</v>
      </c>
      <c r="C10" s="236">
        <v>0</v>
      </c>
      <c r="D10" s="236">
        <v>0</v>
      </c>
      <c r="E10" s="226">
        <f t="shared" si="0"/>
        <v>0</v>
      </c>
      <c r="F10" s="236">
        <v>0</v>
      </c>
      <c r="G10" s="236">
        <v>0</v>
      </c>
      <c r="H10" s="237">
        <f t="shared" si="1"/>
        <v>0</v>
      </c>
      <c r="J10" s="455"/>
      <c r="K10" s="455"/>
      <c r="L10" s="455"/>
    </row>
    <row r="11" spans="1:12" ht="15.75">
      <c r="A11" s="124">
        <v>2.2000000000000002</v>
      </c>
      <c r="B11" s="55" t="s">
        <v>101</v>
      </c>
      <c r="C11" s="236">
        <v>218826.89</v>
      </c>
      <c r="D11" s="236">
        <v>22142.5802</v>
      </c>
      <c r="E11" s="226">
        <f t="shared" si="0"/>
        <v>240969.47020000001</v>
      </c>
      <c r="F11" s="236">
        <v>231494.88999999996</v>
      </c>
      <c r="G11" s="236">
        <v>42298.121800000008</v>
      </c>
      <c r="H11" s="237">
        <f t="shared" si="1"/>
        <v>273793.01179999998</v>
      </c>
      <c r="J11" s="455"/>
      <c r="K11" s="455"/>
      <c r="L11" s="455"/>
    </row>
    <row r="12" spans="1:12" ht="15.75">
      <c r="A12" s="124">
        <v>2.2999999999999998</v>
      </c>
      <c r="B12" s="55" t="s">
        <v>102</v>
      </c>
      <c r="C12" s="236">
        <v>0</v>
      </c>
      <c r="D12" s="236">
        <v>0</v>
      </c>
      <c r="E12" s="226">
        <f t="shared" si="0"/>
        <v>0</v>
      </c>
      <c r="F12" s="236">
        <v>0</v>
      </c>
      <c r="G12" s="236">
        <v>0</v>
      </c>
      <c r="H12" s="237">
        <f t="shared" si="1"/>
        <v>0</v>
      </c>
      <c r="J12" s="455"/>
      <c r="K12" s="455"/>
      <c r="L12" s="455"/>
    </row>
    <row r="13" spans="1:12" ht="15.75">
      <c r="A13" s="124">
        <v>2.4</v>
      </c>
      <c r="B13" s="55" t="s">
        <v>103</v>
      </c>
      <c r="C13" s="236">
        <v>14035.45</v>
      </c>
      <c r="D13" s="236">
        <v>3358.1547</v>
      </c>
      <c r="E13" s="226">
        <f t="shared" si="0"/>
        <v>17393.6047</v>
      </c>
      <c r="F13" s="236">
        <v>15363.61</v>
      </c>
      <c r="G13" s="236">
        <v>4578.5771999999997</v>
      </c>
      <c r="H13" s="237">
        <f t="shared" si="1"/>
        <v>19942.1872</v>
      </c>
      <c r="J13" s="455"/>
      <c r="K13" s="455"/>
      <c r="L13" s="455"/>
    </row>
    <row r="14" spans="1:12" ht="15.75">
      <c r="A14" s="124">
        <v>2.5</v>
      </c>
      <c r="B14" s="55" t="s">
        <v>104</v>
      </c>
      <c r="C14" s="236">
        <v>29955.25</v>
      </c>
      <c r="D14" s="236">
        <v>0</v>
      </c>
      <c r="E14" s="226">
        <f t="shared" si="0"/>
        <v>29955.25</v>
      </c>
      <c r="F14" s="236">
        <v>9856.67</v>
      </c>
      <c r="G14" s="236">
        <v>1055.5934999999999</v>
      </c>
      <c r="H14" s="237">
        <f t="shared" si="1"/>
        <v>10912.263500000001</v>
      </c>
      <c r="J14" s="455"/>
      <c r="K14" s="455"/>
      <c r="L14" s="455"/>
    </row>
    <row r="15" spans="1:12" ht="15.75">
      <c r="A15" s="124">
        <v>2.6</v>
      </c>
      <c r="B15" s="55" t="s">
        <v>105</v>
      </c>
      <c r="C15" s="236">
        <v>13158.4</v>
      </c>
      <c r="D15" s="236">
        <v>4612.5261</v>
      </c>
      <c r="E15" s="226">
        <f t="shared" si="0"/>
        <v>17770.926100000001</v>
      </c>
      <c r="F15" s="236">
        <v>22426.02</v>
      </c>
      <c r="G15" s="236">
        <v>6620.6568999999981</v>
      </c>
      <c r="H15" s="237">
        <f t="shared" si="1"/>
        <v>29046.676899999999</v>
      </c>
      <c r="J15" s="455"/>
      <c r="K15" s="455"/>
      <c r="L15" s="455"/>
    </row>
    <row r="16" spans="1:12" ht="15.75">
      <c r="A16" s="124">
        <v>2.7</v>
      </c>
      <c r="B16" s="55" t="s">
        <v>106</v>
      </c>
      <c r="C16" s="236">
        <v>2935.58</v>
      </c>
      <c r="D16" s="236">
        <v>320.59289999999999</v>
      </c>
      <c r="E16" s="226">
        <f t="shared" si="0"/>
        <v>3256.1729</v>
      </c>
      <c r="F16" s="236">
        <v>4830.93</v>
      </c>
      <c r="G16" s="236">
        <v>637.80860000000007</v>
      </c>
      <c r="H16" s="237">
        <f t="shared" si="1"/>
        <v>5468.7386000000006</v>
      </c>
      <c r="J16" s="455"/>
      <c r="K16" s="455"/>
      <c r="L16" s="455"/>
    </row>
    <row r="17" spans="1:12" ht="15.75">
      <c r="A17" s="124">
        <v>2.8</v>
      </c>
      <c r="B17" s="55" t="s">
        <v>107</v>
      </c>
      <c r="C17" s="236">
        <v>10027051.27</v>
      </c>
      <c r="D17" s="236">
        <v>88048.67</v>
      </c>
      <c r="E17" s="226">
        <f t="shared" si="0"/>
        <v>10115099.939999999</v>
      </c>
      <c r="F17" s="236">
        <v>10663117</v>
      </c>
      <c r="G17" s="236">
        <v>192015.84</v>
      </c>
      <c r="H17" s="237">
        <f t="shared" si="1"/>
        <v>10855132.84</v>
      </c>
      <c r="J17" s="455"/>
      <c r="K17" s="455"/>
      <c r="L17" s="455"/>
    </row>
    <row r="18" spans="1:12" ht="15.75">
      <c r="A18" s="124">
        <v>2.9</v>
      </c>
      <c r="B18" s="55" t="s">
        <v>108</v>
      </c>
      <c r="C18" s="236">
        <v>1819.61</v>
      </c>
      <c r="D18" s="236">
        <v>1477.9272000000001</v>
      </c>
      <c r="E18" s="226">
        <f t="shared" si="0"/>
        <v>3297.5371999999998</v>
      </c>
      <c r="F18" s="236">
        <v>5641.9800000000005</v>
      </c>
      <c r="G18" s="236">
        <v>1439.3519999999999</v>
      </c>
      <c r="H18" s="237">
        <f t="shared" si="1"/>
        <v>7081.3320000000003</v>
      </c>
      <c r="J18" s="455"/>
      <c r="K18" s="455"/>
      <c r="L18" s="455"/>
    </row>
    <row r="19" spans="1:12" ht="15.75">
      <c r="A19" s="124">
        <v>3</v>
      </c>
      <c r="B19" s="54" t="s">
        <v>109</v>
      </c>
      <c r="C19" s="236">
        <v>527999.29</v>
      </c>
      <c r="D19" s="236">
        <v>9627.6200000000008</v>
      </c>
      <c r="E19" s="226">
        <f t="shared" si="0"/>
        <v>537626.91</v>
      </c>
      <c r="F19" s="236">
        <v>605388.07999999996</v>
      </c>
      <c r="G19" s="236">
        <v>29546.75</v>
      </c>
      <c r="H19" s="237">
        <f t="shared" si="1"/>
        <v>634934.82999999996</v>
      </c>
      <c r="J19" s="455"/>
      <c r="K19" s="455"/>
      <c r="L19" s="455"/>
    </row>
    <row r="20" spans="1:12" ht="15.75">
      <c r="A20" s="124">
        <v>4</v>
      </c>
      <c r="B20" s="54" t="s">
        <v>110</v>
      </c>
      <c r="C20" s="236">
        <v>587015.92000000004</v>
      </c>
      <c r="D20" s="236">
        <v>0</v>
      </c>
      <c r="E20" s="226">
        <f t="shared" si="0"/>
        <v>587015.92000000004</v>
      </c>
      <c r="F20" s="236">
        <v>344252.01</v>
      </c>
      <c r="G20" s="236">
        <v>0</v>
      </c>
      <c r="H20" s="237">
        <f t="shared" si="1"/>
        <v>344252.01</v>
      </c>
      <c r="J20" s="455"/>
      <c r="K20" s="455"/>
      <c r="L20" s="455"/>
    </row>
    <row r="21" spans="1:12" ht="15.75">
      <c r="A21" s="124">
        <v>5</v>
      </c>
      <c r="B21" s="54" t="s">
        <v>111</v>
      </c>
      <c r="C21" s="236">
        <v>0</v>
      </c>
      <c r="D21" s="236">
        <v>0</v>
      </c>
      <c r="E21" s="226">
        <f t="shared" si="0"/>
        <v>0</v>
      </c>
      <c r="F21" s="236">
        <v>0</v>
      </c>
      <c r="G21" s="236">
        <v>0</v>
      </c>
      <c r="H21" s="237">
        <f>F21+G21</f>
        <v>0</v>
      </c>
      <c r="J21" s="455"/>
      <c r="K21" s="455"/>
      <c r="L21" s="455"/>
    </row>
    <row r="22" spans="1:12" ht="15.75">
      <c r="A22" s="124">
        <v>6</v>
      </c>
      <c r="B22" s="56" t="s">
        <v>112</v>
      </c>
      <c r="C22" s="238">
        <f>C8+C9+C19+C20+C21</f>
        <v>11565343.439999999</v>
      </c>
      <c r="D22" s="238">
        <f>D8+D9+D19+D20+D21</f>
        <v>126012.28110000001</v>
      </c>
      <c r="E22" s="226">
        <f>C22+D22</f>
        <v>11691355.721099999</v>
      </c>
      <c r="F22" s="238">
        <f>F8+F9+F19+F20+F21</f>
        <v>12222334.149999999</v>
      </c>
      <c r="G22" s="238">
        <f>G8+G9+G19+G20+G21</f>
        <v>324686.06</v>
      </c>
      <c r="H22" s="237">
        <f>F22+G22</f>
        <v>12547020.209999999</v>
      </c>
      <c r="J22" s="455"/>
      <c r="K22" s="455"/>
      <c r="L22" s="455"/>
    </row>
    <row r="23" spans="1:12" ht="15.75">
      <c r="A23" s="124"/>
      <c r="B23" s="52" t="s">
        <v>91</v>
      </c>
      <c r="C23" s="236"/>
      <c r="D23" s="236"/>
      <c r="E23" s="225"/>
      <c r="F23" s="236"/>
      <c r="G23" s="236"/>
      <c r="H23" s="239"/>
      <c r="J23" s="455"/>
      <c r="K23" s="455"/>
      <c r="L23" s="455"/>
    </row>
    <row r="24" spans="1:12" ht="15.75">
      <c r="A24" s="124">
        <v>7</v>
      </c>
      <c r="B24" s="54" t="s">
        <v>113</v>
      </c>
      <c r="C24" s="236">
        <v>231863.11999998335</v>
      </c>
      <c r="D24" s="236">
        <v>6338.3799999999646</v>
      </c>
      <c r="E24" s="226">
        <f t="shared" si="0"/>
        <v>238201.49999998332</v>
      </c>
      <c r="F24" s="236">
        <v>268886.74999995274</v>
      </c>
      <c r="G24" s="236">
        <v>40686.497300000003</v>
      </c>
      <c r="H24" s="237">
        <f t="shared" si="1"/>
        <v>309573.24729995272</v>
      </c>
      <c r="J24" s="455"/>
      <c r="K24" s="455"/>
      <c r="L24" s="455"/>
    </row>
    <row r="25" spans="1:12" ht="15.75">
      <c r="A25" s="124">
        <v>8</v>
      </c>
      <c r="B25" s="54" t="s">
        <v>114</v>
      </c>
      <c r="C25" s="236">
        <v>3246521.2800000133</v>
      </c>
      <c r="D25" s="236">
        <v>89415.43</v>
      </c>
      <c r="E25" s="226">
        <f t="shared" si="0"/>
        <v>3335936.7100000135</v>
      </c>
      <c r="F25" s="236">
        <v>3203025.9000000469</v>
      </c>
      <c r="G25" s="236">
        <v>185924.48269999999</v>
      </c>
      <c r="H25" s="237">
        <f t="shared" si="1"/>
        <v>3388950.382700047</v>
      </c>
      <c r="J25" s="455"/>
      <c r="K25" s="455"/>
      <c r="L25" s="455"/>
    </row>
    <row r="26" spans="1:12" ht="15.75">
      <c r="A26" s="124">
        <v>9</v>
      </c>
      <c r="B26" s="54" t="s">
        <v>115</v>
      </c>
      <c r="C26" s="236">
        <v>6389.02</v>
      </c>
      <c r="D26" s="236">
        <v>0</v>
      </c>
      <c r="E26" s="226">
        <f t="shared" si="0"/>
        <v>6389.02</v>
      </c>
      <c r="F26" s="236">
        <v>0</v>
      </c>
      <c r="G26" s="236">
        <v>0</v>
      </c>
      <c r="H26" s="237">
        <f t="shared" si="1"/>
        <v>0</v>
      </c>
      <c r="J26" s="455"/>
      <c r="K26" s="455"/>
      <c r="L26" s="455"/>
    </row>
    <row r="27" spans="1:12" ht="15.75">
      <c r="A27" s="124">
        <v>10</v>
      </c>
      <c r="B27" s="54" t="s">
        <v>116</v>
      </c>
      <c r="C27" s="236">
        <v>0</v>
      </c>
      <c r="D27" s="236">
        <v>0</v>
      </c>
      <c r="E27" s="226">
        <f t="shared" si="0"/>
        <v>0</v>
      </c>
      <c r="F27" s="236">
        <v>0</v>
      </c>
      <c r="G27" s="236">
        <v>0</v>
      </c>
      <c r="H27" s="237">
        <f t="shared" si="1"/>
        <v>0</v>
      </c>
      <c r="J27" s="455"/>
      <c r="K27" s="455"/>
      <c r="L27" s="455"/>
    </row>
    <row r="28" spans="1:12" ht="15.75">
      <c r="A28" s="124">
        <v>11</v>
      </c>
      <c r="B28" s="54" t="s">
        <v>117</v>
      </c>
      <c r="C28" s="236">
        <v>985876.58000000007</v>
      </c>
      <c r="D28" s="236">
        <v>340109.95</v>
      </c>
      <c r="E28" s="226">
        <f t="shared" si="0"/>
        <v>1325986.53</v>
      </c>
      <c r="F28" s="236">
        <v>923390.96</v>
      </c>
      <c r="G28" s="236">
        <v>328676.93</v>
      </c>
      <c r="H28" s="237">
        <f t="shared" si="1"/>
        <v>1252067.8899999999</v>
      </c>
      <c r="J28" s="455"/>
      <c r="K28" s="455"/>
      <c r="L28" s="455"/>
    </row>
    <row r="29" spans="1:12" ht="15.75">
      <c r="A29" s="124">
        <v>12</v>
      </c>
      <c r="B29" s="54" t="s">
        <v>118</v>
      </c>
      <c r="C29" s="236">
        <v>83796.679999999993</v>
      </c>
      <c r="D29" s="236">
        <v>61789.36</v>
      </c>
      <c r="E29" s="226">
        <f t="shared" si="0"/>
        <v>145586.03999999998</v>
      </c>
      <c r="F29" s="236">
        <v>110724.61</v>
      </c>
      <c r="G29" s="236">
        <v>59428.979999999996</v>
      </c>
      <c r="H29" s="237">
        <f t="shared" si="1"/>
        <v>170153.59</v>
      </c>
      <c r="J29" s="455"/>
      <c r="K29" s="455"/>
      <c r="L29" s="455"/>
    </row>
    <row r="30" spans="1:12" ht="15.75">
      <c r="A30" s="124">
        <v>13</v>
      </c>
      <c r="B30" s="57" t="s">
        <v>119</v>
      </c>
      <c r="C30" s="238">
        <f>SUM(C24:C29)</f>
        <v>4554446.679999996</v>
      </c>
      <c r="D30" s="238">
        <f>SUM(D24:D29)</f>
        <v>497653.11999999994</v>
      </c>
      <c r="E30" s="226">
        <f t="shared" si="0"/>
        <v>5052099.7999999961</v>
      </c>
      <c r="F30" s="238">
        <f>SUM(F24:F29)</f>
        <v>4506028.22</v>
      </c>
      <c r="G30" s="238">
        <f>SUM(G24:G29)</f>
        <v>614716.8899999999</v>
      </c>
      <c r="H30" s="237">
        <f t="shared" si="1"/>
        <v>5120745.1099999994</v>
      </c>
      <c r="J30" s="455"/>
      <c r="K30" s="455"/>
      <c r="L30" s="455"/>
    </row>
    <row r="31" spans="1:12" ht="15.75">
      <c r="A31" s="124">
        <v>14</v>
      </c>
      <c r="B31" s="536" t="s">
        <v>120</v>
      </c>
      <c r="C31" s="238">
        <f>C22-C30</f>
        <v>7010896.7600000035</v>
      </c>
      <c r="D31" s="238">
        <f>D22-D30</f>
        <v>-371640.83889999992</v>
      </c>
      <c r="E31" s="226">
        <f t="shared" si="0"/>
        <v>6639255.9211000036</v>
      </c>
      <c r="F31" s="238">
        <f>F22-F30</f>
        <v>7716305.9299999988</v>
      </c>
      <c r="G31" s="238">
        <f>G22-G30</f>
        <v>-290030.8299999999</v>
      </c>
      <c r="H31" s="237">
        <f t="shared" si="1"/>
        <v>7426275.0999999987</v>
      </c>
      <c r="J31" s="455"/>
      <c r="K31" s="455"/>
      <c r="L31" s="455"/>
    </row>
    <row r="32" spans="1:12">
      <c r="A32" s="124"/>
      <c r="B32" s="52"/>
      <c r="C32" s="240"/>
      <c r="D32" s="240"/>
      <c r="E32" s="240"/>
      <c r="F32" s="240"/>
      <c r="G32" s="240"/>
      <c r="H32" s="241"/>
      <c r="J32" s="455"/>
      <c r="K32" s="455"/>
      <c r="L32" s="455"/>
    </row>
    <row r="33" spans="1:12" ht="15.75">
      <c r="A33" s="124"/>
      <c r="B33" s="52" t="s">
        <v>121</v>
      </c>
      <c r="C33" s="236"/>
      <c r="D33" s="236"/>
      <c r="E33" s="225"/>
      <c r="F33" s="236"/>
      <c r="G33" s="236"/>
      <c r="H33" s="239"/>
      <c r="J33" s="455"/>
      <c r="K33" s="455"/>
      <c r="L33" s="455"/>
    </row>
    <row r="34" spans="1:12" ht="15.75">
      <c r="A34" s="124">
        <v>15</v>
      </c>
      <c r="B34" s="51" t="s">
        <v>92</v>
      </c>
      <c r="C34" s="242">
        <f>C35-C36</f>
        <v>1229802.8099999998</v>
      </c>
      <c r="D34" s="242">
        <f>D35-D36</f>
        <v>-635972.04</v>
      </c>
      <c r="E34" s="226">
        <f t="shared" si="0"/>
        <v>593830.76999999979</v>
      </c>
      <c r="F34" s="242">
        <f>F35-F36</f>
        <v>732303.24999999988</v>
      </c>
      <c r="G34" s="242">
        <f>G35-G36</f>
        <v>-619456.09000000008</v>
      </c>
      <c r="H34" s="237">
        <f t="shared" si="1"/>
        <v>112847.1599999998</v>
      </c>
      <c r="J34" s="455"/>
      <c r="K34" s="455"/>
      <c r="L34" s="455"/>
    </row>
    <row r="35" spans="1:12" ht="15.75">
      <c r="A35" s="124">
        <v>15.1</v>
      </c>
      <c r="B35" s="55" t="s">
        <v>122</v>
      </c>
      <c r="C35" s="236">
        <v>1873424.4899999998</v>
      </c>
      <c r="D35" s="236">
        <v>69953.81</v>
      </c>
      <c r="E35" s="226">
        <f t="shared" si="0"/>
        <v>1943378.2999999998</v>
      </c>
      <c r="F35" s="236">
        <v>1399034.96</v>
      </c>
      <c r="G35" s="236">
        <v>48279.31</v>
      </c>
      <c r="H35" s="237">
        <f t="shared" si="1"/>
        <v>1447314.27</v>
      </c>
      <c r="J35" s="455"/>
      <c r="K35" s="455"/>
      <c r="L35" s="455"/>
    </row>
    <row r="36" spans="1:12" ht="15.75">
      <c r="A36" s="124">
        <v>15.2</v>
      </c>
      <c r="B36" s="55" t="s">
        <v>123</v>
      </c>
      <c r="C36" s="236">
        <v>643621.67999999993</v>
      </c>
      <c r="D36" s="236">
        <v>705925.85</v>
      </c>
      <c r="E36" s="226">
        <f t="shared" si="0"/>
        <v>1349547.5299999998</v>
      </c>
      <c r="F36" s="236">
        <v>666731.71000000008</v>
      </c>
      <c r="G36" s="236">
        <v>667735.4</v>
      </c>
      <c r="H36" s="237">
        <f t="shared" si="1"/>
        <v>1334467.1100000001</v>
      </c>
      <c r="J36" s="455"/>
      <c r="K36" s="455"/>
      <c r="L36" s="455"/>
    </row>
    <row r="37" spans="1:12" ht="15.75">
      <c r="A37" s="124">
        <v>16</v>
      </c>
      <c r="B37" s="54" t="s">
        <v>124</v>
      </c>
      <c r="C37" s="236">
        <v>0</v>
      </c>
      <c r="D37" s="236">
        <v>0</v>
      </c>
      <c r="E37" s="226">
        <f t="shared" si="0"/>
        <v>0</v>
      </c>
      <c r="F37" s="236">
        <v>0</v>
      </c>
      <c r="G37" s="236">
        <v>0</v>
      </c>
      <c r="H37" s="237">
        <f t="shared" si="1"/>
        <v>0</v>
      </c>
      <c r="J37" s="455"/>
      <c r="K37" s="455"/>
      <c r="L37" s="455"/>
    </row>
    <row r="38" spans="1:12" ht="15.75">
      <c r="A38" s="124">
        <v>17</v>
      </c>
      <c r="B38" s="54" t="s">
        <v>125</v>
      </c>
      <c r="C38" s="236">
        <v>0</v>
      </c>
      <c r="D38" s="236">
        <v>0</v>
      </c>
      <c r="E38" s="226">
        <f t="shared" si="0"/>
        <v>0</v>
      </c>
      <c r="F38" s="236">
        <v>0</v>
      </c>
      <c r="G38" s="236">
        <v>0</v>
      </c>
      <c r="H38" s="237">
        <f t="shared" si="1"/>
        <v>0</v>
      </c>
      <c r="J38" s="455"/>
      <c r="K38" s="455"/>
      <c r="L38" s="455"/>
    </row>
    <row r="39" spans="1:12" ht="15.75">
      <c r="A39" s="124">
        <v>18</v>
      </c>
      <c r="B39" s="54" t="s">
        <v>126</v>
      </c>
      <c r="C39" s="236">
        <v>0</v>
      </c>
      <c r="D39" s="236">
        <v>0</v>
      </c>
      <c r="E39" s="226">
        <f t="shared" si="0"/>
        <v>0</v>
      </c>
      <c r="F39" s="236">
        <v>0</v>
      </c>
      <c r="G39" s="236">
        <v>0</v>
      </c>
      <c r="H39" s="237">
        <f t="shared" si="1"/>
        <v>0</v>
      </c>
      <c r="J39" s="455"/>
      <c r="K39" s="455"/>
      <c r="L39" s="455"/>
    </row>
    <row r="40" spans="1:12" ht="15.75">
      <c r="A40" s="124">
        <v>19</v>
      </c>
      <c r="B40" s="54" t="s">
        <v>127</v>
      </c>
      <c r="C40" s="236">
        <v>87159.670000000013</v>
      </c>
      <c r="D40" s="236">
        <v>0</v>
      </c>
      <c r="E40" s="226">
        <f t="shared" si="0"/>
        <v>87159.670000000013</v>
      </c>
      <c r="F40" s="236">
        <v>163853.24</v>
      </c>
      <c r="G40" s="236">
        <v>0</v>
      </c>
      <c r="H40" s="237">
        <f t="shared" si="1"/>
        <v>163853.24</v>
      </c>
      <c r="J40" s="455"/>
      <c r="K40" s="455"/>
      <c r="L40" s="455"/>
    </row>
    <row r="41" spans="1:12" ht="15.75">
      <c r="A41" s="124">
        <v>20</v>
      </c>
      <c r="B41" s="54" t="s">
        <v>128</v>
      </c>
      <c r="C41" s="236">
        <v>-335159.16999999993</v>
      </c>
      <c r="D41" s="236">
        <v>0</v>
      </c>
      <c r="E41" s="226">
        <f t="shared" si="0"/>
        <v>-335159.16999999993</v>
      </c>
      <c r="F41" s="236">
        <v>-20267.379999998957</v>
      </c>
      <c r="G41" s="236">
        <v>0</v>
      </c>
      <c r="H41" s="237">
        <f t="shared" si="1"/>
        <v>-20267.379999998957</v>
      </c>
      <c r="J41" s="455"/>
      <c r="K41" s="455"/>
      <c r="L41" s="455"/>
    </row>
    <row r="42" spans="1:12" ht="15.75">
      <c r="A42" s="124">
        <v>21</v>
      </c>
      <c r="B42" s="54" t="s">
        <v>129</v>
      </c>
      <c r="C42" s="236">
        <v>-719.67000000000007</v>
      </c>
      <c r="D42" s="236">
        <v>0</v>
      </c>
      <c r="E42" s="226">
        <f t="shared" si="0"/>
        <v>-719.67000000000007</v>
      </c>
      <c r="F42" s="236">
        <v>-93.82000000000005</v>
      </c>
      <c r="G42" s="236">
        <v>0</v>
      </c>
      <c r="H42" s="237">
        <f t="shared" si="1"/>
        <v>-93.82000000000005</v>
      </c>
      <c r="J42" s="455"/>
      <c r="K42" s="455"/>
      <c r="L42" s="455"/>
    </row>
    <row r="43" spans="1:12" ht="15.75">
      <c r="A43" s="124">
        <v>22</v>
      </c>
      <c r="B43" s="54" t="s">
        <v>130</v>
      </c>
      <c r="C43" s="236">
        <v>0</v>
      </c>
      <c r="D43" s="236">
        <v>0</v>
      </c>
      <c r="E43" s="226">
        <f t="shared" si="0"/>
        <v>0</v>
      </c>
      <c r="F43" s="236">
        <v>0</v>
      </c>
      <c r="G43" s="236">
        <v>0</v>
      </c>
      <c r="H43" s="237">
        <f t="shared" si="1"/>
        <v>0</v>
      </c>
      <c r="J43" s="455"/>
      <c r="K43" s="455"/>
      <c r="L43" s="455"/>
    </row>
    <row r="44" spans="1:12" ht="15.75">
      <c r="A44" s="124">
        <v>23</v>
      </c>
      <c r="B44" s="54" t="s">
        <v>131</v>
      </c>
      <c r="C44" s="236">
        <v>76111.77</v>
      </c>
      <c r="D44" s="236">
        <v>39018.75</v>
      </c>
      <c r="E44" s="226">
        <f t="shared" si="0"/>
        <v>115130.52</v>
      </c>
      <c r="F44" s="236">
        <v>90892.099999999991</v>
      </c>
      <c r="G44" s="236">
        <v>39044.5</v>
      </c>
      <c r="H44" s="237">
        <f t="shared" si="1"/>
        <v>129936.59999999999</v>
      </c>
      <c r="J44" s="455"/>
      <c r="K44" s="455"/>
      <c r="L44" s="455"/>
    </row>
    <row r="45" spans="1:12" ht="15.75">
      <c r="A45" s="124">
        <v>24</v>
      </c>
      <c r="B45" s="57" t="s">
        <v>132</v>
      </c>
      <c r="C45" s="238">
        <f>C34+C37+C38+C39+C40+C41+C42+C43+C44</f>
        <v>1057195.4099999997</v>
      </c>
      <c r="D45" s="238">
        <f>D34+D37+D38+D39+D40+D41+D42+D43+D44</f>
        <v>-596953.29</v>
      </c>
      <c r="E45" s="226">
        <f t="shared" si="0"/>
        <v>460242.11999999965</v>
      </c>
      <c r="F45" s="238">
        <f>F34+F37+F38+F39+F40+F41+F42+F43+F44</f>
        <v>966687.39000000095</v>
      </c>
      <c r="G45" s="238">
        <f>G34+G37+G38+G39+G40+G41+G42+G43+G44</f>
        <v>-580411.59000000008</v>
      </c>
      <c r="H45" s="237">
        <f t="shared" si="1"/>
        <v>386275.80000000086</v>
      </c>
      <c r="J45" s="455"/>
      <c r="K45" s="455"/>
      <c r="L45" s="455"/>
    </row>
    <row r="46" spans="1:12">
      <c r="A46" s="124"/>
      <c r="B46" s="52" t="s">
        <v>133</v>
      </c>
      <c r="C46" s="236"/>
      <c r="D46" s="236"/>
      <c r="E46" s="236"/>
      <c r="F46" s="236"/>
      <c r="G46" s="236"/>
      <c r="H46" s="243"/>
      <c r="J46" s="455"/>
      <c r="K46" s="455"/>
      <c r="L46" s="455"/>
    </row>
    <row r="47" spans="1:12" ht="15.75">
      <c r="A47" s="124">
        <v>25</v>
      </c>
      <c r="B47" s="54" t="s">
        <v>134</v>
      </c>
      <c r="C47" s="236">
        <v>29506.28</v>
      </c>
      <c r="D47" s="236">
        <v>17171.259999999998</v>
      </c>
      <c r="E47" s="226">
        <f t="shared" si="0"/>
        <v>46677.539999999994</v>
      </c>
      <c r="F47" s="236">
        <v>29337.87</v>
      </c>
      <c r="G47" s="236">
        <v>13993.17</v>
      </c>
      <c r="H47" s="237">
        <f t="shared" si="1"/>
        <v>43331.040000000001</v>
      </c>
      <c r="J47" s="455"/>
      <c r="K47" s="455"/>
      <c r="L47" s="455"/>
    </row>
    <row r="48" spans="1:12" ht="15.75">
      <c r="A48" s="124">
        <v>26</v>
      </c>
      <c r="B48" s="54" t="s">
        <v>135</v>
      </c>
      <c r="C48" s="236">
        <v>123288.51999999999</v>
      </c>
      <c r="D48" s="236">
        <v>28643.27</v>
      </c>
      <c r="E48" s="226">
        <f t="shared" si="0"/>
        <v>151931.78999999998</v>
      </c>
      <c r="F48" s="236">
        <v>183224.58000000002</v>
      </c>
      <c r="G48" s="236">
        <v>44362.07</v>
      </c>
      <c r="H48" s="237">
        <f t="shared" si="1"/>
        <v>227586.65000000002</v>
      </c>
      <c r="J48" s="455"/>
      <c r="K48" s="455"/>
      <c r="L48" s="455"/>
    </row>
    <row r="49" spans="1:12" ht="15.75">
      <c r="A49" s="124">
        <v>27</v>
      </c>
      <c r="B49" s="54" t="s">
        <v>136</v>
      </c>
      <c r="C49" s="236">
        <v>3723374.9800000004</v>
      </c>
      <c r="D49" s="236">
        <v>0</v>
      </c>
      <c r="E49" s="226">
        <f t="shared" si="0"/>
        <v>3723374.9800000004</v>
      </c>
      <c r="F49" s="236">
        <v>3744949.9</v>
      </c>
      <c r="G49" s="236">
        <v>0</v>
      </c>
      <c r="H49" s="237">
        <f t="shared" si="1"/>
        <v>3744949.9</v>
      </c>
      <c r="J49" s="455"/>
      <c r="K49" s="455"/>
      <c r="L49" s="455"/>
    </row>
    <row r="50" spans="1:12" ht="15.75">
      <c r="A50" s="124">
        <v>28</v>
      </c>
      <c r="B50" s="54" t="s">
        <v>272</v>
      </c>
      <c r="C50" s="236">
        <v>19338.330000000002</v>
      </c>
      <c r="D50" s="236">
        <v>0</v>
      </c>
      <c r="E50" s="226">
        <f t="shared" si="0"/>
        <v>19338.330000000002</v>
      </c>
      <c r="F50" s="236">
        <v>10932.69</v>
      </c>
      <c r="G50" s="236">
        <v>0</v>
      </c>
      <c r="H50" s="237">
        <f t="shared" si="1"/>
        <v>10932.69</v>
      </c>
      <c r="J50" s="455"/>
      <c r="K50" s="455"/>
      <c r="L50" s="455"/>
    </row>
    <row r="51" spans="1:12" ht="15.75">
      <c r="A51" s="124">
        <v>29</v>
      </c>
      <c r="B51" s="54" t="s">
        <v>137</v>
      </c>
      <c r="C51" s="236">
        <v>1010928.91</v>
      </c>
      <c r="D51" s="236">
        <v>0</v>
      </c>
      <c r="E51" s="226">
        <f t="shared" si="0"/>
        <v>1010928.91</v>
      </c>
      <c r="F51" s="236">
        <v>1038834.6399999999</v>
      </c>
      <c r="G51" s="236">
        <v>0</v>
      </c>
      <c r="H51" s="237">
        <f t="shared" si="1"/>
        <v>1038834.6399999999</v>
      </c>
      <c r="J51" s="455"/>
      <c r="K51" s="455"/>
      <c r="L51" s="455"/>
    </row>
    <row r="52" spans="1:12" ht="15.75">
      <c r="A52" s="124">
        <v>30</v>
      </c>
      <c r="B52" s="54" t="s">
        <v>138</v>
      </c>
      <c r="C52" s="236">
        <v>683038.98</v>
      </c>
      <c r="D52" s="236">
        <v>74145.819999999992</v>
      </c>
      <c r="E52" s="226">
        <f t="shared" si="0"/>
        <v>757184.79999999993</v>
      </c>
      <c r="F52" s="236">
        <v>757476.26</v>
      </c>
      <c r="G52" s="236">
        <v>59086.77</v>
      </c>
      <c r="H52" s="237">
        <f t="shared" si="1"/>
        <v>816563.03</v>
      </c>
      <c r="J52" s="455"/>
      <c r="K52" s="455"/>
      <c r="L52" s="455"/>
    </row>
    <row r="53" spans="1:12" ht="15.75">
      <c r="A53" s="124">
        <v>31</v>
      </c>
      <c r="B53" s="57" t="s">
        <v>139</v>
      </c>
      <c r="C53" s="238">
        <f>C47+C48+C49+C50+C51+C52</f>
        <v>5589476</v>
      </c>
      <c r="D53" s="238">
        <f>D47+D48+D49+D50+D51+D52</f>
        <v>119960.34999999999</v>
      </c>
      <c r="E53" s="226">
        <f t="shared" si="0"/>
        <v>5709436.3499999996</v>
      </c>
      <c r="F53" s="238">
        <f>F47+F48+F49+F50+F51+F52</f>
        <v>5764755.9399999995</v>
      </c>
      <c r="G53" s="238">
        <f>G47+G48+G49+G50+G51+G52</f>
        <v>117442.01</v>
      </c>
      <c r="H53" s="237">
        <f t="shared" si="1"/>
        <v>5882197.9499999993</v>
      </c>
      <c r="J53" s="455"/>
      <c r="K53" s="455"/>
      <c r="L53" s="455"/>
    </row>
    <row r="54" spans="1:12" ht="15.75">
      <c r="A54" s="124">
        <v>32</v>
      </c>
      <c r="B54" s="57" t="s">
        <v>140</v>
      </c>
      <c r="C54" s="238">
        <f>C45-C53</f>
        <v>-4532280.59</v>
      </c>
      <c r="D54" s="238">
        <f>D45-D53</f>
        <v>-716913.64</v>
      </c>
      <c r="E54" s="226">
        <f t="shared" si="0"/>
        <v>-5249194.2299999995</v>
      </c>
      <c r="F54" s="238">
        <f>F45-F53</f>
        <v>-4798068.5499999989</v>
      </c>
      <c r="G54" s="238">
        <f>G45-G53</f>
        <v>-697853.60000000009</v>
      </c>
      <c r="H54" s="237">
        <f t="shared" si="1"/>
        <v>-5495922.1499999985</v>
      </c>
      <c r="J54" s="455"/>
      <c r="K54" s="455"/>
      <c r="L54" s="455"/>
    </row>
    <row r="55" spans="1:12">
      <c r="A55" s="124"/>
      <c r="B55" s="52"/>
      <c r="C55" s="240"/>
      <c r="D55" s="240"/>
      <c r="E55" s="240"/>
      <c r="F55" s="240"/>
      <c r="G55" s="240"/>
      <c r="H55" s="241"/>
      <c r="J55" s="455"/>
      <c r="K55" s="455"/>
      <c r="L55" s="455"/>
    </row>
    <row r="56" spans="1:12" ht="15.75">
      <c r="A56" s="124">
        <v>33</v>
      </c>
      <c r="B56" s="57" t="s">
        <v>141</v>
      </c>
      <c r="C56" s="238">
        <f>C31+C54</f>
        <v>2478616.1700000037</v>
      </c>
      <c r="D56" s="238">
        <f>D31+D54</f>
        <v>-1088554.4789</v>
      </c>
      <c r="E56" s="226">
        <f t="shared" si="0"/>
        <v>1390061.6911000037</v>
      </c>
      <c r="F56" s="238">
        <f>F31+F54</f>
        <v>2918237.38</v>
      </c>
      <c r="G56" s="238">
        <f>G31+G54</f>
        <v>-987884.42999999993</v>
      </c>
      <c r="H56" s="237">
        <f t="shared" si="1"/>
        <v>1930352.95</v>
      </c>
      <c r="J56" s="455"/>
      <c r="K56" s="455"/>
      <c r="L56" s="455"/>
    </row>
    <row r="57" spans="1:12">
      <c r="A57" s="124"/>
      <c r="B57" s="52"/>
      <c r="C57" s="240"/>
      <c r="D57" s="240"/>
      <c r="E57" s="240"/>
      <c r="F57" s="240"/>
      <c r="G57" s="240"/>
      <c r="H57" s="241"/>
      <c r="J57" s="455"/>
      <c r="K57" s="455"/>
      <c r="L57" s="455"/>
    </row>
    <row r="58" spans="1:12" ht="15.75">
      <c r="A58" s="124">
        <v>34</v>
      </c>
      <c r="B58" s="54" t="s">
        <v>142</v>
      </c>
      <c r="C58" s="429">
        <v>1758561.9700000002</v>
      </c>
      <c r="D58" s="429">
        <v>0</v>
      </c>
      <c r="E58" s="430">
        <f t="shared" si="0"/>
        <v>1758561.9700000002</v>
      </c>
      <c r="F58" s="429">
        <v>2642911.5300000003</v>
      </c>
      <c r="G58" s="429">
        <v>0</v>
      </c>
      <c r="H58" s="431">
        <f t="shared" si="1"/>
        <v>2642911.5300000003</v>
      </c>
      <c r="J58" s="455"/>
      <c r="K58" s="455"/>
      <c r="L58" s="455"/>
    </row>
    <row r="59" spans="1:12" s="201" customFormat="1" ht="15.75">
      <c r="A59" s="124">
        <v>35</v>
      </c>
      <c r="B59" s="51" t="s">
        <v>143</v>
      </c>
      <c r="C59" s="429">
        <v>0</v>
      </c>
      <c r="D59" s="429">
        <v>0</v>
      </c>
      <c r="E59" s="432">
        <f t="shared" si="0"/>
        <v>0</v>
      </c>
      <c r="F59" s="429">
        <v>0</v>
      </c>
      <c r="G59" s="429">
        <v>0</v>
      </c>
      <c r="H59" s="433">
        <f t="shared" si="1"/>
        <v>0</v>
      </c>
      <c r="I59" s="200"/>
      <c r="J59" s="455"/>
      <c r="K59" s="455"/>
      <c r="L59" s="455"/>
    </row>
    <row r="60" spans="1:12" ht="15.75">
      <c r="A60" s="124">
        <v>36</v>
      </c>
      <c r="B60" s="54" t="s">
        <v>144</v>
      </c>
      <c r="C60" s="429">
        <v>50546.5</v>
      </c>
      <c r="D60" s="429">
        <v>0</v>
      </c>
      <c r="E60" s="430">
        <f t="shared" si="0"/>
        <v>50546.5</v>
      </c>
      <c r="F60" s="429">
        <v>41195</v>
      </c>
      <c r="G60" s="429">
        <v>0</v>
      </c>
      <c r="H60" s="431">
        <f t="shared" si="1"/>
        <v>41195</v>
      </c>
      <c r="J60" s="455"/>
      <c r="K60" s="455"/>
      <c r="L60" s="455"/>
    </row>
    <row r="61" spans="1:12" ht="15.75">
      <c r="A61" s="124">
        <v>37</v>
      </c>
      <c r="B61" s="57" t="s">
        <v>145</v>
      </c>
      <c r="C61" s="434">
        <f>C58+C59+C60</f>
        <v>1809108.4700000002</v>
      </c>
      <c r="D61" s="434">
        <f>D58+D59+D60</f>
        <v>0</v>
      </c>
      <c r="E61" s="430">
        <f t="shared" si="0"/>
        <v>1809108.4700000002</v>
      </c>
      <c r="F61" s="434">
        <f>F58+F59+F60</f>
        <v>2684106.5300000003</v>
      </c>
      <c r="G61" s="434">
        <f>G58+G59+G60</f>
        <v>0</v>
      </c>
      <c r="H61" s="431">
        <f t="shared" si="1"/>
        <v>2684106.5300000003</v>
      </c>
      <c r="J61" s="455"/>
      <c r="K61" s="455"/>
      <c r="L61" s="455"/>
    </row>
    <row r="62" spans="1:12" ht="15.75">
      <c r="A62" s="124"/>
      <c r="B62" s="58"/>
      <c r="C62" s="435"/>
      <c r="D62" s="435"/>
      <c r="E62" s="435"/>
      <c r="F62" s="435"/>
      <c r="G62" s="435"/>
      <c r="H62" s="436"/>
      <c r="J62" s="455"/>
      <c r="K62" s="455"/>
      <c r="L62" s="455"/>
    </row>
    <row r="63" spans="1:12" ht="15.75">
      <c r="A63" s="124">
        <v>38</v>
      </c>
      <c r="B63" s="59" t="s">
        <v>273</v>
      </c>
      <c r="C63" s="434">
        <f>C56-C61</f>
        <v>669507.70000000345</v>
      </c>
      <c r="D63" s="434">
        <f>D56-D61</f>
        <v>-1088554.4789</v>
      </c>
      <c r="E63" s="430">
        <f t="shared" si="0"/>
        <v>-419046.77889999654</v>
      </c>
      <c r="F63" s="434">
        <f>F56-F61</f>
        <v>234130.84999999963</v>
      </c>
      <c r="G63" s="434">
        <f>G56-G61</f>
        <v>-987884.42999999993</v>
      </c>
      <c r="H63" s="431">
        <f t="shared" si="1"/>
        <v>-753753.58000000031</v>
      </c>
      <c r="J63" s="455"/>
      <c r="K63" s="455"/>
      <c r="L63" s="455"/>
    </row>
    <row r="64" spans="1:12" ht="15.75">
      <c r="A64" s="122">
        <v>39</v>
      </c>
      <c r="B64" s="54" t="s">
        <v>146</v>
      </c>
      <c r="C64" s="429"/>
      <c r="D64" s="429"/>
      <c r="E64" s="430">
        <f t="shared" si="0"/>
        <v>0</v>
      </c>
      <c r="F64" s="429">
        <v>64023.99</v>
      </c>
      <c r="G64" s="429">
        <v>0</v>
      </c>
      <c r="H64" s="431">
        <f t="shared" si="1"/>
        <v>64023.99</v>
      </c>
      <c r="J64" s="455"/>
      <c r="K64" s="455"/>
      <c r="L64" s="455"/>
    </row>
    <row r="65" spans="1:12" ht="15.75">
      <c r="A65" s="124">
        <v>40</v>
      </c>
      <c r="B65" s="57" t="s">
        <v>147</v>
      </c>
      <c r="C65" s="434">
        <f>C63-C64</f>
        <v>669507.70000000345</v>
      </c>
      <c r="D65" s="434">
        <f>D63-D64</f>
        <v>-1088554.4789</v>
      </c>
      <c r="E65" s="430">
        <f t="shared" si="0"/>
        <v>-419046.77889999654</v>
      </c>
      <c r="F65" s="434">
        <f>F63-F64</f>
        <v>170106.85999999964</v>
      </c>
      <c r="G65" s="434">
        <f>G63-G64</f>
        <v>-987884.42999999993</v>
      </c>
      <c r="H65" s="431">
        <f t="shared" si="1"/>
        <v>-817777.5700000003</v>
      </c>
      <c r="J65" s="455"/>
      <c r="K65" s="455"/>
      <c r="L65" s="455"/>
    </row>
    <row r="66" spans="1:12" ht="15.75">
      <c r="A66" s="122">
        <v>41</v>
      </c>
      <c r="B66" s="54" t="s">
        <v>148</v>
      </c>
      <c r="C66" s="429">
        <v>89013.65</v>
      </c>
      <c r="D66" s="429">
        <v>0</v>
      </c>
      <c r="E66" s="430">
        <f t="shared" si="0"/>
        <v>89013.65</v>
      </c>
      <c r="F66" s="429">
        <v>-4832.3</v>
      </c>
      <c r="G66" s="429">
        <v>0</v>
      </c>
      <c r="H66" s="431">
        <f t="shared" si="1"/>
        <v>-4832.3</v>
      </c>
      <c r="J66" s="455"/>
      <c r="K66" s="455"/>
      <c r="L66" s="455"/>
    </row>
    <row r="67" spans="1:12" ht="16.5" thickBot="1">
      <c r="A67" s="126">
        <v>42</v>
      </c>
      <c r="B67" s="127" t="s">
        <v>149</v>
      </c>
      <c r="C67" s="437">
        <f>C65+C66</f>
        <v>758521.35000000347</v>
      </c>
      <c r="D67" s="437">
        <f>D65+D66</f>
        <v>-1088554.4789</v>
      </c>
      <c r="E67" s="438">
        <f t="shared" si="0"/>
        <v>-330033.12889999652</v>
      </c>
      <c r="F67" s="437">
        <f>F65+F66</f>
        <v>165274.55999999965</v>
      </c>
      <c r="G67" s="437">
        <f>G65+G66</f>
        <v>-987884.42999999993</v>
      </c>
      <c r="H67" s="439">
        <f t="shared" si="1"/>
        <v>-822609.87000000034</v>
      </c>
      <c r="J67" s="455"/>
      <c r="K67" s="455"/>
      <c r="L67" s="455"/>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M53"/>
  <sheetViews>
    <sheetView zoomScale="85" zoomScaleNormal="85" workbookViewId="0">
      <selection activeCell="M19" sqref="M19"/>
    </sheetView>
  </sheetViews>
  <sheetFormatPr defaultRowHeight="15"/>
  <cols>
    <col min="1" max="1" width="9.5703125" bestFit="1" customWidth="1"/>
    <col min="2" max="2" width="72.28515625" customWidth="1"/>
    <col min="3" max="8" width="12.7109375" customWidth="1"/>
  </cols>
  <sheetData>
    <row r="1" spans="1:13">
      <c r="A1" s="2" t="s">
        <v>189</v>
      </c>
      <c r="B1" t="str">
        <f>Info!C2</f>
        <v>ფინკა ბანკი საქართველო სს</v>
      </c>
    </row>
    <row r="2" spans="1:13">
      <c r="A2" s="2" t="s">
        <v>190</v>
      </c>
      <c r="B2" s="440">
        <f>'1. key ratios'!B2</f>
        <v>44286</v>
      </c>
    </row>
    <row r="3" spans="1:13">
      <c r="A3" s="2"/>
    </row>
    <row r="4" spans="1:13" ht="16.5" thickBot="1">
      <c r="A4" s="2" t="s">
        <v>332</v>
      </c>
      <c r="B4" s="2"/>
      <c r="C4" s="208"/>
      <c r="D4" s="208"/>
      <c r="E4" s="208"/>
      <c r="F4" s="209"/>
      <c r="G4" s="209"/>
      <c r="H4" s="210" t="s">
        <v>94</v>
      </c>
    </row>
    <row r="5" spans="1:13" ht="15.75">
      <c r="A5" s="547" t="s">
        <v>27</v>
      </c>
      <c r="B5" s="549" t="s">
        <v>246</v>
      </c>
      <c r="C5" s="551" t="s">
        <v>195</v>
      </c>
      <c r="D5" s="551"/>
      <c r="E5" s="551"/>
      <c r="F5" s="551" t="s">
        <v>196</v>
      </c>
      <c r="G5" s="551"/>
      <c r="H5" s="552"/>
    </row>
    <row r="6" spans="1:13">
      <c r="A6" s="548"/>
      <c r="B6" s="550"/>
      <c r="C6" s="39" t="s">
        <v>28</v>
      </c>
      <c r="D6" s="39" t="s">
        <v>95</v>
      </c>
      <c r="E6" s="39" t="s">
        <v>69</v>
      </c>
      <c r="F6" s="39" t="s">
        <v>28</v>
      </c>
      <c r="G6" s="39" t="s">
        <v>95</v>
      </c>
      <c r="H6" s="40" t="s">
        <v>69</v>
      </c>
    </row>
    <row r="7" spans="1:13" s="3" customFormat="1" ht="15.75">
      <c r="A7" s="211">
        <v>1</v>
      </c>
      <c r="B7" s="212" t="s">
        <v>368</v>
      </c>
      <c r="C7" s="228">
        <v>4883455.88</v>
      </c>
      <c r="D7" s="228">
        <v>5054</v>
      </c>
      <c r="E7" s="244">
        <f>C7+D7</f>
        <v>4888509.88</v>
      </c>
      <c r="F7" s="228">
        <v>4437835.25</v>
      </c>
      <c r="G7" s="228">
        <v>11711.25</v>
      </c>
      <c r="H7" s="229">
        <f t="shared" ref="H7:H53" si="0">F7+G7</f>
        <v>4449546.5</v>
      </c>
      <c r="J7" s="418"/>
      <c r="K7" s="418"/>
      <c r="L7" s="418"/>
      <c r="M7" s="418"/>
    </row>
    <row r="8" spans="1:13" s="3" customFormat="1" ht="15.75">
      <c r="A8" s="211">
        <v>1.1000000000000001</v>
      </c>
      <c r="B8" s="213" t="s">
        <v>277</v>
      </c>
      <c r="C8" s="228">
        <v>0</v>
      </c>
      <c r="D8" s="228">
        <v>0</v>
      </c>
      <c r="E8" s="244">
        <f t="shared" ref="E8:E53" si="1">C8+D8</f>
        <v>0</v>
      </c>
      <c r="F8" s="228">
        <v>0</v>
      </c>
      <c r="G8" s="228">
        <v>0</v>
      </c>
      <c r="H8" s="229">
        <f t="shared" si="0"/>
        <v>0</v>
      </c>
      <c r="J8" s="418"/>
      <c r="K8" s="418"/>
      <c r="L8" s="418"/>
      <c r="M8" s="418"/>
    </row>
    <row r="9" spans="1:13" s="3" customFormat="1" ht="15.75">
      <c r="A9" s="211">
        <v>1.2</v>
      </c>
      <c r="B9" s="213" t="s">
        <v>278</v>
      </c>
      <c r="C9" s="228">
        <v>0</v>
      </c>
      <c r="D9" s="228">
        <v>0</v>
      </c>
      <c r="E9" s="244">
        <f t="shared" si="1"/>
        <v>0</v>
      </c>
      <c r="F9" s="228">
        <v>0</v>
      </c>
      <c r="G9" s="228">
        <v>0</v>
      </c>
      <c r="H9" s="229">
        <f t="shared" si="0"/>
        <v>0</v>
      </c>
      <c r="J9" s="418"/>
      <c r="K9" s="418"/>
      <c r="L9" s="418"/>
      <c r="M9" s="418"/>
    </row>
    <row r="10" spans="1:13" s="3" customFormat="1" ht="15.75">
      <c r="A10" s="211">
        <v>1.3</v>
      </c>
      <c r="B10" s="213" t="s">
        <v>279</v>
      </c>
      <c r="C10" s="228">
        <v>4883455.88</v>
      </c>
      <c r="D10" s="228">
        <v>5054</v>
      </c>
      <c r="E10" s="244">
        <f t="shared" si="1"/>
        <v>4888509.88</v>
      </c>
      <c r="F10" s="228">
        <v>4437835.25</v>
      </c>
      <c r="G10" s="228">
        <v>11711.25</v>
      </c>
      <c r="H10" s="229">
        <f t="shared" si="0"/>
        <v>4449546.5</v>
      </c>
      <c r="J10" s="418"/>
      <c r="K10" s="418"/>
      <c r="L10" s="418"/>
      <c r="M10" s="418"/>
    </row>
    <row r="11" spans="1:13" s="3" customFormat="1" ht="15.75">
      <c r="A11" s="211">
        <v>1.4</v>
      </c>
      <c r="B11" s="213" t="s">
        <v>280</v>
      </c>
      <c r="C11" s="228">
        <v>0</v>
      </c>
      <c r="D11" s="228">
        <v>0</v>
      </c>
      <c r="E11" s="244">
        <f t="shared" si="1"/>
        <v>0</v>
      </c>
      <c r="F11" s="228">
        <v>0</v>
      </c>
      <c r="G11" s="228">
        <v>0</v>
      </c>
      <c r="H11" s="229">
        <f t="shared" si="0"/>
        <v>0</v>
      </c>
      <c r="J11" s="418"/>
      <c r="K11" s="418"/>
      <c r="L11" s="418"/>
      <c r="M11" s="418"/>
    </row>
    <row r="12" spans="1:13" s="3" customFormat="1" ht="29.25" customHeight="1">
      <c r="A12" s="211">
        <v>2</v>
      </c>
      <c r="B12" s="212" t="s">
        <v>281</v>
      </c>
      <c r="C12" s="228">
        <v>0</v>
      </c>
      <c r="D12" s="228">
        <v>0</v>
      </c>
      <c r="E12" s="244">
        <f t="shared" si="1"/>
        <v>0</v>
      </c>
      <c r="F12" s="228">
        <v>0</v>
      </c>
      <c r="G12" s="228">
        <v>0</v>
      </c>
      <c r="H12" s="229">
        <f t="shared" si="0"/>
        <v>0</v>
      </c>
      <c r="J12" s="418"/>
      <c r="K12" s="418"/>
      <c r="L12" s="418"/>
      <c r="M12" s="418"/>
    </row>
    <row r="13" spans="1:13" s="3" customFormat="1" ht="25.5">
      <c r="A13" s="211">
        <v>3</v>
      </c>
      <c r="B13" s="212" t="s">
        <v>282</v>
      </c>
      <c r="C13" s="228">
        <v>21618000</v>
      </c>
      <c r="D13" s="228">
        <v>0</v>
      </c>
      <c r="E13" s="244">
        <f t="shared" si="1"/>
        <v>21618000</v>
      </c>
      <c r="F13" s="228">
        <v>0</v>
      </c>
      <c r="G13" s="228">
        <v>0</v>
      </c>
      <c r="H13" s="229">
        <f t="shared" si="0"/>
        <v>0</v>
      </c>
      <c r="J13" s="418"/>
      <c r="K13" s="418"/>
      <c r="L13" s="418"/>
      <c r="M13" s="418"/>
    </row>
    <row r="14" spans="1:13" s="3" customFormat="1" ht="15.75">
      <c r="A14" s="211">
        <v>3.1</v>
      </c>
      <c r="B14" s="213" t="s">
        <v>283</v>
      </c>
      <c r="C14" s="228">
        <v>21618000</v>
      </c>
      <c r="D14" s="228">
        <v>0</v>
      </c>
      <c r="E14" s="244">
        <f t="shared" si="1"/>
        <v>21618000</v>
      </c>
      <c r="F14" s="228">
        <v>0</v>
      </c>
      <c r="G14" s="228">
        <v>0</v>
      </c>
      <c r="H14" s="229">
        <f t="shared" si="0"/>
        <v>0</v>
      </c>
      <c r="J14" s="418"/>
      <c r="K14" s="418"/>
      <c r="L14" s="418"/>
      <c r="M14" s="418"/>
    </row>
    <row r="15" spans="1:13" s="3" customFormat="1" ht="15.75">
      <c r="A15" s="211">
        <v>3.2</v>
      </c>
      <c r="B15" s="213" t="s">
        <v>284</v>
      </c>
      <c r="C15" s="228">
        <v>0</v>
      </c>
      <c r="D15" s="228">
        <v>0</v>
      </c>
      <c r="E15" s="244">
        <f t="shared" si="1"/>
        <v>0</v>
      </c>
      <c r="F15" s="228">
        <v>0</v>
      </c>
      <c r="G15" s="228">
        <v>0</v>
      </c>
      <c r="H15" s="229">
        <f t="shared" si="0"/>
        <v>0</v>
      </c>
      <c r="J15" s="418"/>
      <c r="K15" s="418"/>
      <c r="L15" s="418"/>
      <c r="M15" s="418"/>
    </row>
    <row r="16" spans="1:13" s="3" customFormat="1" ht="15.75">
      <c r="A16" s="211">
        <v>4</v>
      </c>
      <c r="B16" s="212" t="s">
        <v>285</v>
      </c>
      <c r="C16" s="228">
        <v>314948000.70999998</v>
      </c>
      <c r="D16" s="228">
        <v>32022570.290600002</v>
      </c>
      <c r="E16" s="244">
        <f t="shared" si="1"/>
        <v>346970571.00059998</v>
      </c>
      <c r="F16" s="228">
        <v>446645147.98000026</v>
      </c>
      <c r="G16" s="228">
        <v>48890014.679999985</v>
      </c>
      <c r="H16" s="229">
        <f t="shared" si="0"/>
        <v>495535162.66000026</v>
      </c>
      <c r="J16" s="418"/>
      <c r="K16" s="418"/>
      <c r="L16" s="418"/>
      <c r="M16" s="418"/>
    </row>
    <row r="17" spans="1:13" s="3" customFormat="1" ht="15.75">
      <c r="A17" s="211">
        <v>4.0999999999999996</v>
      </c>
      <c r="B17" s="213" t="s">
        <v>286</v>
      </c>
      <c r="C17" s="228">
        <v>314948000.70999998</v>
      </c>
      <c r="D17" s="228">
        <v>32022570.290600002</v>
      </c>
      <c r="E17" s="244">
        <f t="shared" si="1"/>
        <v>346970571.00059998</v>
      </c>
      <c r="F17" s="228">
        <v>446645147.98000026</v>
      </c>
      <c r="G17" s="228">
        <v>48890014.679999985</v>
      </c>
      <c r="H17" s="229">
        <f t="shared" si="0"/>
        <v>495535162.66000026</v>
      </c>
      <c r="J17" s="418"/>
      <c r="K17" s="418"/>
      <c r="L17" s="418"/>
      <c r="M17" s="418"/>
    </row>
    <row r="18" spans="1:13" s="3" customFormat="1" ht="15.75">
      <c r="A18" s="211">
        <v>4.2</v>
      </c>
      <c r="B18" s="213" t="s">
        <v>287</v>
      </c>
      <c r="C18" s="228">
        <v>0</v>
      </c>
      <c r="D18" s="228">
        <v>0</v>
      </c>
      <c r="E18" s="244">
        <f t="shared" si="1"/>
        <v>0</v>
      </c>
      <c r="F18" s="228">
        <v>0</v>
      </c>
      <c r="G18" s="228">
        <v>0</v>
      </c>
      <c r="H18" s="229">
        <f t="shared" si="0"/>
        <v>0</v>
      </c>
      <c r="J18" s="418"/>
      <c r="K18" s="418"/>
      <c r="L18" s="418"/>
      <c r="M18" s="418"/>
    </row>
    <row r="19" spans="1:13" s="3" customFormat="1" ht="25.5">
      <c r="A19" s="211">
        <v>5</v>
      </c>
      <c r="B19" s="212" t="s">
        <v>288</v>
      </c>
      <c r="C19" s="228">
        <v>30151906.939999998</v>
      </c>
      <c r="D19" s="228">
        <v>76055357.12470001</v>
      </c>
      <c r="E19" s="244">
        <f t="shared" si="1"/>
        <v>106207264.06470001</v>
      </c>
      <c r="F19" s="228">
        <v>34259710.959999993</v>
      </c>
      <c r="G19" s="228">
        <v>66009057.310000017</v>
      </c>
      <c r="H19" s="229">
        <f t="shared" si="0"/>
        <v>100268768.27000001</v>
      </c>
      <c r="J19" s="418"/>
      <c r="K19" s="418"/>
      <c r="L19" s="418"/>
      <c r="M19" s="418"/>
    </row>
    <row r="20" spans="1:13" s="3" customFormat="1" ht="15.75">
      <c r="A20" s="211">
        <v>5.0999999999999996</v>
      </c>
      <c r="B20" s="213" t="s">
        <v>289</v>
      </c>
      <c r="C20" s="228">
        <v>752587.17</v>
      </c>
      <c r="D20" s="228">
        <v>82489.400800000003</v>
      </c>
      <c r="E20" s="244">
        <f t="shared" si="1"/>
        <v>835076.5708000001</v>
      </c>
      <c r="F20" s="228">
        <v>2861424.7700000023</v>
      </c>
      <c r="G20" s="228">
        <v>389448.52000000008</v>
      </c>
      <c r="H20" s="229">
        <f t="shared" si="0"/>
        <v>3250873.2900000024</v>
      </c>
      <c r="J20" s="418"/>
      <c r="K20" s="418"/>
      <c r="L20" s="418"/>
      <c r="M20" s="418"/>
    </row>
    <row r="21" spans="1:13" s="3" customFormat="1" ht="15.75">
      <c r="A21" s="211">
        <v>5.2</v>
      </c>
      <c r="B21" s="213" t="s">
        <v>290</v>
      </c>
      <c r="C21" s="228">
        <v>0</v>
      </c>
      <c r="D21" s="228">
        <v>0</v>
      </c>
      <c r="E21" s="244">
        <f t="shared" si="1"/>
        <v>0</v>
      </c>
      <c r="F21" s="228">
        <v>0</v>
      </c>
      <c r="G21" s="228">
        <v>0</v>
      </c>
      <c r="H21" s="229">
        <f t="shared" si="0"/>
        <v>0</v>
      </c>
      <c r="J21" s="418"/>
      <c r="K21" s="418"/>
      <c r="L21" s="418"/>
      <c r="M21" s="418"/>
    </row>
    <row r="22" spans="1:13" s="3" customFormat="1" ht="15.75">
      <c r="A22" s="211">
        <v>5.3</v>
      </c>
      <c r="B22" s="213" t="s">
        <v>291</v>
      </c>
      <c r="C22" s="228">
        <v>13292557.77</v>
      </c>
      <c r="D22" s="228">
        <v>75962632.323899999</v>
      </c>
      <c r="E22" s="244">
        <f t="shared" si="1"/>
        <v>89255190.093899995</v>
      </c>
      <c r="F22" s="228">
        <v>24829767.189999994</v>
      </c>
      <c r="G22" s="228">
        <v>65578552.540000014</v>
      </c>
      <c r="H22" s="229">
        <f t="shared" si="0"/>
        <v>90408319.730000004</v>
      </c>
      <c r="J22" s="418"/>
      <c r="K22" s="418"/>
      <c r="L22" s="418"/>
      <c r="M22" s="418"/>
    </row>
    <row r="23" spans="1:13" s="3" customFormat="1" ht="15.75">
      <c r="A23" s="211" t="s">
        <v>292</v>
      </c>
      <c r="B23" s="214" t="s">
        <v>293</v>
      </c>
      <c r="C23" s="228">
        <v>11157270.77</v>
      </c>
      <c r="D23" s="228">
        <v>61108166.450499997</v>
      </c>
      <c r="E23" s="244">
        <f t="shared" si="1"/>
        <v>72265437.220499992</v>
      </c>
      <c r="F23" s="228">
        <v>20159280.629999995</v>
      </c>
      <c r="G23" s="228">
        <v>52562417.660000011</v>
      </c>
      <c r="H23" s="229">
        <f t="shared" si="0"/>
        <v>72721698.290000007</v>
      </c>
      <c r="J23" s="418"/>
      <c r="K23" s="418"/>
      <c r="L23" s="418"/>
      <c r="M23" s="418"/>
    </row>
    <row r="24" spans="1:13" s="3" customFormat="1" ht="15.75">
      <c r="A24" s="211" t="s">
        <v>294</v>
      </c>
      <c r="B24" s="214" t="s">
        <v>295</v>
      </c>
      <c r="C24" s="228">
        <v>996925</v>
      </c>
      <c r="D24" s="228">
        <v>6415446.3317999998</v>
      </c>
      <c r="E24" s="244">
        <f t="shared" si="1"/>
        <v>7412371.3317999998</v>
      </c>
      <c r="F24" s="228">
        <v>2183661.56</v>
      </c>
      <c r="G24" s="228">
        <v>5754644.3600000003</v>
      </c>
      <c r="H24" s="229">
        <f t="shared" si="0"/>
        <v>7938305.9199999999</v>
      </c>
      <c r="J24" s="418"/>
      <c r="K24" s="418"/>
      <c r="L24" s="418"/>
      <c r="M24" s="418"/>
    </row>
    <row r="25" spans="1:13" s="3" customFormat="1" ht="15.75">
      <c r="A25" s="211" t="s">
        <v>296</v>
      </c>
      <c r="B25" s="215" t="s">
        <v>297</v>
      </c>
      <c r="C25" s="228">
        <v>0</v>
      </c>
      <c r="D25" s="228">
        <v>0</v>
      </c>
      <c r="E25" s="244">
        <f t="shared" si="1"/>
        <v>0</v>
      </c>
      <c r="F25" s="228">
        <v>0</v>
      </c>
      <c r="G25" s="228">
        <v>0</v>
      </c>
      <c r="H25" s="229">
        <f t="shared" si="0"/>
        <v>0</v>
      </c>
      <c r="J25" s="418"/>
      <c r="K25" s="418"/>
      <c r="L25" s="418"/>
      <c r="M25" s="418"/>
    </row>
    <row r="26" spans="1:13" s="3" customFormat="1" ht="15.75">
      <c r="A26" s="211" t="s">
        <v>298</v>
      </c>
      <c r="B26" s="214" t="s">
        <v>299</v>
      </c>
      <c r="C26" s="228">
        <v>1138362</v>
      </c>
      <c r="D26" s="228">
        <v>8408859.2295999993</v>
      </c>
      <c r="E26" s="244">
        <f t="shared" si="1"/>
        <v>9547221.2295999993</v>
      </c>
      <c r="F26" s="228">
        <v>2461241</v>
      </c>
      <c r="G26" s="228">
        <v>6918815.3499999996</v>
      </c>
      <c r="H26" s="229">
        <f t="shared" si="0"/>
        <v>9380056.3499999996</v>
      </c>
      <c r="J26" s="418"/>
      <c r="K26" s="418"/>
      <c r="L26" s="418"/>
      <c r="M26" s="418"/>
    </row>
    <row r="27" spans="1:13" s="3" customFormat="1" ht="15.75">
      <c r="A27" s="211" t="s">
        <v>300</v>
      </c>
      <c r="B27" s="214" t="s">
        <v>301</v>
      </c>
      <c r="C27" s="228">
        <v>0</v>
      </c>
      <c r="D27" s="228">
        <v>30160.312000000002</v>
      </c>
      <c r="E27" s="244">
        <f t="shared" si="1"/>
        <v>30160.312000000002</v>
      </c>
      <c r="F27" s="228">
        <v>25584</v>
      </c>
      <c r="G27" s="228">
        <v>342675.17000000004</v>
      </c>
      <c r="H27" s="229">
        <f t="shared" si="0"/>
        <v>368259.17000000004</v>
      </c>
      <c r="J27" s="418"/>
      <c r="K27" s="418"/>
      <c r="L27" s="418"/>
      <c r="M27" s="418"/>
    </row>
    <row r="28" spans="1:13" s="3" customFormat="1" ht="15.75">
      <c r="A28" s="211">
        <v>5.4</v>
      </c>
      <c r="B28" s="213" t="s">
        <v>302</v>
      </c>
      <c r="C28" s="228">
        <v>16106762</v>
      </c>
      <c r="D28" s="228">
        <v>10235.4</v>
      </c>
      <c r="E28" s="244">
        <f t="shared" si="1"/>
        <v>16116997.4</v>
      </c>
      <c r="F28" s="228">
        <v>6568519</v>
      </c>
      <c r="G28" s="228">
        <v>41056.25</v>
      </c>
      <c r="H28" s="229">
        <f t="shared" si="0"/>
        <v>6609575.25</v>
      </c>
      <c r="J28" s="418"/>
      <c r="K28" s="418"/>
      <c r="L28" s="418"/>
      <c r="M28" s="418"/>
    </row>
    <row r="29" spans="1:13" s="3" customFormat="1" ht="15.75">
      <c r="A29" s="211">
        <v>5.5</v>
      </c>
      <c r="B29" s="213" t="s">
        <v>303</v>
      </c>
      <c r="C29" s="228">
        <v>0</v>
      </c>
      <c r="D29" s="228">
        <v>0</v>
      </c>
      <c r="E29" s="244">
        <f t="shared" si="1"/>
        <v>0</v>
      </c>
      <c r="F29" s="228">
        <v>0</v>
      </c>
      <c r="G29" s="228">
        <v>0</v>
      </c>
      <c r="H29" s="229">
        <f t="shared" si="0"/>
        <v>0</v>
      </c>
      <c r="J29" s="418"/>
      <c r="K29" s="418"/>
      <c r="L29" s="418"/>
      <c r="M29" s="418"/>
    </row>
    <row r="30" spans="1:13" s="3" customFormat="1" ht="15.75">
      <c r="A30" s="211">
        <v>5.6</v>
      </c>
      <c r="B30" s="213" t="s">
        <v>304</v>
      </c>
      <c r="C30" s="228">
        <v>0</v>
      </c>
      <c r="D30" s="228">
        <v>0</v>
      </c>
      <c r="E30" s="244">
        <f t="shared" si="1"/>
        <v>0</v>
      </c>
      <c r="F30" s="228">
        <v>0</v>
      </c>
      <c r="G30" s="228">
        <v>0</v>
      </c>
      <c r="H30" s="229">
        <f t="shared" si="0"/>
        <v>0</v>
      </c>
      <c r="J30" s="418"/>
      <c r="K30" s="418"/>
      <c r="L30" s="418"/>
      <c r="M30" s="418"/>
    </row>
    <row r="31" spans="1:13" s="3" customFormat="1" ht="15.75">
      <c r="A31" s="211">
        <v>5.7</v>
      </c>
      <c r="B31" s="535" t="s">
        <v>305</v>
      </c>
      <c r="C31" s="228">
        <v>0</v>
      </c>
      <c r="D31" s="228">
        <v>0</v>
      </c>
      <c r="E31" s="244">
        <f t="shared" si="1"/>
        <v>0</v>
      </c>
      <c r="F31" s="228">
        <v>0</v>
      </c>
      <c r="G31" s="228">
        <v>0</v>
      </c>
      <c r="H31" s="229">
        <f t="shared" si="0"/>
        <v>0</v>
      </c>
      <c r="J31" s="418"/>
      <c r="K31" s="418"/>
      <c r="L31" s="418"/>
      <c r="M31" s="418"/>
    </row>
    <row r="32" spans="1:13" s="3" customFormat="1" ht="15.75">
      <c r="A32" s="211">
        <v>6</v>
      </c>
      <c r="B32" s="212" t="s">
        <v>306</v>
      </c>
      <c r="C32" s="228">
        <v>-21590790.879999999</v>
      </c>
      <c r="D32" s="228">
        <v>22563700</v>
      </c>
      <c r="E32" s="244">
        <f t="shared" si="1"/>
        <v>972909.12000000104</v>
      </c>
      <c r="F32" s="228">
        <v>-20018343.100000001</v>
      </c>
      <c r="G32" s="228">
        <v>23643400</v>
      </c>
      <c r="H32" s="229">
        <f t="shared" si="0"/>
        <v>3625056.8999999985</v>
      </c>
      <c r="J32" s="418"/>
      <c r="K32" s="418"/>
      <c r="L32" s="418"/>
      <c r="M32" s="418"/>
    </row>
    <row r="33" spans="1:13" s="3" customFormat="1" ht="25.5">
      <c r="A33" s="211">
        <v>6.1</v>
      </c>
      <c r="B33" s="213" t="s">
        <v>369</v>
      </c>
      <c r="C33" s="228">
        <v>0</v>
      </c>
      <c r="D33" s="228">
        <v>22563700</v>
      </c>
      <c r="E33" s="244">
        <f t="shared" si="1"/>
        <v>22563700</v>
      </c>
      <c r="F33" s="228">
        <v>0</v>
      </c>
      <c r="G33" s="228">
        <v>23643400</v>
      </c>
      <c r="H33" s="229">
        <f t="shared" si="0"/>
        <v>23643400</v>
      </c>
      <c r="J33" s="418"/>
      <c r="K33" s="418"/>
      <c r="L33" s="418"/>
      <c r="M33" s="418"/>
    </row>
    <row r="34" spans="1:13" s="3" customFormat="1" ht="25.5">
      <c r="A34" s="211">
        <v>6.2</v>
      </c>
      <c r="B34" s="213" t="s">
        <v>307</v>
      </c>
      <c r="C34" s="228">
        <v>-21590790.879999999</v>
      </c>
      <c r="D34" s="228"/>
      <c r="E34" s="244">
        <f t="shared" si="1"/>
        <v>-21590790.879999999</v>
      </c>
      <c r="F34" s="228">
        <v>-20018343.100000001</v>
      </c>
      <c r="G34" s="228">
        <v>0</v>
      </c>
      <c r="H34" s="229">
        <f t="shared" si="0"/>
        <v>-20018343.100000001</v>
      </c>
      <c r="J34" s="418"/>
      <c r="K34" s="418"/>
      <c r="L34" s="418"/>
      <c r="M34" s="418"/>
    </row>
    <row r="35" spans="1:13" s="3" customFormat="1" ht="25.5">
      <c r="A35" s="211">
        <v>6.3</v>
      </c>
      <c r="B35" s="213" t="s">
        <v>308</v>
      </c>
      <c r="C35" s="228">
        <v>0</v>
      </c>
      <c r="D35" s="228">
        <v>0</v>
      </c>
      <c r="E35" s="244">
        <f t="shared" si="1"/>
        <v>0</v>
      </c>
      <c r="F35" s="228">
        <v>0</v>
      </c>
      <c r="G35" s="228">
        <v>0</v>
      </c>
      <c r="H35" s="229">
        <f t="shared" si="0"/>
        <v>0</v>
      </c>
      <c r="J35" s="418"/>
      <c r="K35" s="418"/>
      <c r="L35" s="418"/>
      <c r="M35" s="418"/>
    </row>
    <row r="36" spans="1:13" s="3" customFormat="1" ht="15.75">
      <c r="A36" s="211">
        <v>6.4</v>
      </c>
      <c r="B36" s="213" t="s">
        <v>309</v>
      </c>
      <c r="C36" s="228">
        <v>0</v>
      </c>
      <c r="D36" s="228">
        <v>0</v>
      </c>
      <c r="E36" s="244">
        <f t="shared" si="1"/>
        <v>0</v>
      </c>
      <c r="F36" s="228">
        <v>0</v>
      </c>
      <c r="G36" s="228">
        <v>0</v>
      </c>
      <c r="H36" s="229">
        <f t="shared" si="0"/>
        <v>0</v>
      </c>
      <c r="J36" s="418"/>
      <c r="K36" s="418"/>
      <c r="L36" s="418"/>
      <c r="M36" s="418"/>
    </row>
    <row r="37" spans="1:13" s="3" customFormat="1" ht="15.75">
      <c r="A37" s="211">
        <v>6.5</v>
      </c>
      <c r="B37" s="213" t="s">
        <v>310</v>
      </c>
      <c r="C37" s="228">
        <v>0</v>
      </c>
      <c r="D37" s="228">
        <v>0</v>
      </c>
      <c r="E37" s="244">
        <f t="shared" si="1"/>
        <v>0</v>
      </c>
      <c r="F37" s="228">
        <v>0</v>
      </c>
      <c r="G37" s="228">
        <v>0</v>
      </c>
      <c r="H37" s="229">
        <f t="shared" si="0"/>
        <v>0</v>
      </c>
      <c r="J37" s="418"/>
      <c r="K37" s="418"/>
      <c r="L37" s="418"/>
      <c r="M37" s="418"/>
    </row>
    <row r="38" spans="1:13" s="3" customFormat="1" ht="25.5">
      <c r="A38" s="211">
        <v>6.6</v>
      </c>
      <c r="B38" s="213" t="s">
        <v>311</v>
      </c>
      <c r="C38" s="228">
        <v>0</v>
      </c>
      <c r="D38" s="228">
        <v>0</v>
      </c>
      <c r="E38" s="244">
        <f t="shared" si="1"/>
        <v>0</v>
      </c>
      <c r="F38" s="228">
        <v>0</v>
      </c>
      <c r="G38" s="228">
        <v>0</v>
      </c>
      <c r="H38" s="229">
        <f t="shared" si="0"/>
        <v>0</v>
      </c>
      <c r="J38" s="418"/>
      <c r="K38" s="418"/>
      <c r="L38" s="418"/>
      <c r="M38" s="418"/>
    </row>
    <row r="39" spans="1:13" s="3" customFormat="1" ht="25.5">
      <c r="A39" s="211">
        <v>6.7</v>
      </c>
      <c r="B39" s="213" t="s">
        <v>312</v>
      </c>
      <c r="C39" s="228">
        <v>0</v>
      </c>
      <c r="D39" s="228">
        <v>0</v>
      </c>
      <c r="E39" s="244">
        <f t="shared" si="1"/>
        <v>0</v>
      </c>
      <c r="F39" s="228">
        <v>0</v>
      </c>
      <c r="G39" s="228">
        <v>0</v>
      </c>
      <c r="H39" s="229">
        <f t="shared" si="0"/>
        <v>0</v>
      </c>
      <c r="J39" s="418"/>
      <c r="K39" s="418"/>
      <c r="L39" s="418"/>
      <c r="M39" s="418"/>
    </row>
    <row r="40" spans="1:13" s="3" customFormat="1" ht="15.75">
      <c r="A40" s="211">
        <v>7</v>
      </c>
      <c r="B40" s="212" t="s">
        <v>313</v>
      </c>
      <c r="C40" s="228">
        <v>29051881.940000001</v>
      </c>
      <c r="D40" s="228">
        <v>7982783.0015000002</v>
      </c>
      <c r="E40" s="244">
        <f t="shared" si="1"/>
        <v>37034664.941500001</v>
      </c>
      <c r="F40" s="228">
        <v>23793417.09</v>
      </c>
      <c r="G40" s="228">
        <v>10297876.237000002</v>
      </c>
      <c r="H40" s="229">
        <f t="shared" si="0"/>
        <v>34091293.327</v>
      </c>
      <c r="J40" s="418"/>
      <c r="K40" s="418"/>
      <c r="L40" s="418"/>
      <c r="M40" s="418"/>
    </row>
    <row r="41" spans="1:13" s="3" customFormat="1" ht="25.5">
      <c r="A41" s="211">
        <v>7.1</v>
      </c>
      <c r="B41" s="213" t="s">
        <v>314</v>
      </c>
      <c r="C41" s="228">
        <v>1699605.36</v>
      </c>
      <c r="D41" s="228">
        <v>183417.01</v>
      </c>
      <c r="E41" s="244">
        <f t="shared" si="1"/>
        <v>1883022.37</v>
      </c>
      <c r="F41" s="228">
        <v>1335278.8099999982</v>
      </c>
      <c r="G41" s="228">
        <v>264506.76999999996</v>
      </c>
      <c r="H41" s="229">
        <f t="shared" si="0"/>
        <v>1599785.5799999982</v>
      </c>
      <c r="J41" s="418"/>
      <c r="K41" s="418"/>
      <c r="L41" s="418"/>
      <c r="M41" s="418"/>
    </row>
    <row r="42" spans="1:13" s="3" customFormat="1" ht="25.5">
      <c r="A42" s="211">
        <v>7.2</v>
      </c>
      <c r="B42" s="213" t="s">
        <v>315</v>
      </c>
      <c r="C42" s="228">
        <v>308959.80999999982</v>
      </c>
      <c r="D42" s="228">
        <v>3105.7615000000001</v>
      </c>
      <c r="E42" s="244">
        <f t="shared" si="1"/>
        <v>312065.57149999985</v>
      </c>
      <c r="F42" s="228">
        <v>198673.22999999995</v>
      </c>
      <c r="G42" s="228">
        <v>8013.9170000000004</v>
      </c>
      <c r="H42" s="229">
        <f t="shared" si="0"/>
        <v>206687.14699999994</v>
      </c>
      <c r="J42" s="418"/>
      <c r="K42" s="418"/>
      <c r="L42" s="418"/>
      <c r="M42" s="418"/>
    </row>
    <row r="43" spans="1:13" s="3" customFormat="1" ht="25.5">
      <c r="A43" s="211">
        <v>7.3</v>
      </c>
      <c r="B43" s="213" t="s">
        <v>316</v>
      </c>
      <c r="C43" s="228">
        <v>20238073.460000001</v>
      </c>
      <c r="D43" s="228">
        <v>6778578.3300000001</v>
      </c>
      <c r="E43" s="244">
        <f t="shared" si="1"/>
        <v>27016651.789999999</v>
      </c>
      <c r="F43" s="228">
        <v>17402584.190000001</v>
      </c>
      <c r="G43" s="228">
        <v>8650506.1600000001</v>
      </c>
      <c r="H43" s="229">
        <f t="shared" si="0"/>
        <v>26053090.350000001</v>
      </c>
      <c r="J43" s="418"/>
      <c r="K43" s="418"/>
      <c r="L43" s="418"/>
      <c r="M43" s="418"/>
    </row>
    <row r="44" spans="1:13" s="3" customFormat="1" ht="25.5">
      <c r="A44" s="211">
        <v>7.4</v>
      </c>
      <c r="B44" s="213" t="s">
        <v>317</v>
      </c>
      <c r="C44" s="228">
        <v>6805243.3099999996</v>
      </c>
      <c r="D44" s="228">
        <v>1017681.9</v>
      </c>
      <c r="E44" s="244">
        <f t="shared" si="1"/>
        <v>7822925.21</v>
      </c>
      <c r="F44" s="228">
        <v>4856880.8599999994</v>
      </c>
      <c r="G44" s="228">
        <v>1374849.3900000001</v>
      </c>
      <c r="H44" s="229">
        <f t="shared" si="0"/>
        <v>6231730.25</v>
      </c>
      <c r="J44" s="418"/>
      <c r="K44" s="418"/>
      <c r="L44" s="418"/>
      <c r="M44" s="418"/>
    </row>
    <row r="45" spans="1:13" s="3" customFormat="1" ht="15.75">
      <c r="A45" s="211">
        <v>8</v>
      </c>
      <c r="B45" s="212" t="s">
        <v>318</v>
      </c>
      <c r="C45" s="228">
        <v>0</v>
      </c>
      <c r="D45" s="228">
        <v>0</v>
      </c>
      <c r="E45" s="244">
        <f t="shared" si="1"/>
        <v>0</v>
      </c>
      <c r="F45" s="228">
        <v>0</v>
      </c>
      <c r="G45" s="228">
        <v>0</v>
      </c>
      <c r="H45" s="229">
        <f t="shared" si="0"/>
        <v>0</v>
      </c>
      <c r="J45" s="418"/>
      <c r="K45" s="418"/>
      <c r="L45" s="418"/>
      <c r="M45" s="418"/>
    </row>
    <row r="46" spans="1:13" s="3" customFormat="1" ht="15.75">
      <c r="A46" s="211">
        <v>8.1</v>
      </c>
      <c r="B46" s="213" t="s">
        <v>319</v>
      </c>
      <c r="C46" s="228">
        <v>0</v>
      </c>
      <c r="D46" s="228">
        <v>0</v>
      </c>
      <c r="E46" s="244">
        <f t="shared" si="1"/>
        <v>0</v>
      </c>
      <c r="F46" s="228">
        <v>0</v>
      </c>
      <c r="G46" s="228">
        <v>0</v>
      </c>
      <c r="H46" s="229">
        <f t="shared" si="0"/>
        <v>0</v>
      </c>
      <c r="J46" s="418"/>
      <c r="K46" s="418"/>
      <c r="L46" s="418"/>
      <c r="M46" s="418"/>
    </row>
    <row r="47" spans="1:13" s="3" customFormat="1" ht="15.75">
      <c r="A47" s="211">
        <v>8.1999999999999993</v>
      </c>
      <c r="B47" s="213" t="s">
        <v>320</v>
      </c>
      <c r="C47" s="228">
        <v>0</v>
      </c>
      <c r="D47" s="228">
        <v>0</v>
      </c>
      <c r="E47" s="244">
        <f t="shared" si="1"/>
        <v>0</v>
      </c>
      <c r="F47" s="228">
        <v>0</v>
      </c>
      <c r="G47" s="228">
        <v>0</v>
      </c>
      <c r="H47" s="229">
        <f t="shared" si="0"/>
        <v>0</v>
      </c>
      <c r="J47" s="418"/>
      <c r="K47" s="418"/>
      <c r="L47" s="418"/>
      <c r="M47" s="418"/>
    </row>
    <row r="48" spans="1:13" s="3" customFormat="1" ht="15.75">
      <c r="A48" s="211">
        <v>8.3000000000000007</v>
      </c>
      <c r="B48" s="213" t="s">
        <v>321</v>
      </c>
      <c r="C48" s="228">
        <v>0</v>
      </c>
      <c r="D48" s="228">
        <v>0</v>
      </c>
      <c r="E48" s="244">
        <f t="shared" si="1"/>
        <v>0</v>
      </c>
      <c r="F48" s="228">
        <v>0</v>
      </c>
      <c r="G48" s="228">
        <v>0</v>
      </c>
      <c r="H48" s="229">
        <f t="shared" si="0"/>
        <v>0</v>
      </c>
      <c r="J48" s="418"/>
      <c r="K48" s="418"/>
      <c r="L48" s="418"/>
      <c r="M48" s="418"/>
    </row>
    <row r="49" spans="1:13" s="3" customFormat="1" ht="15.75">
      <c r="A49" s="211">
        <v>8.4</v>
      </c>
      <c r="B49" s="213" t="s">
        <v>322</v>
      </c>
      <c r="C49" s="228">
        <v>0</v>
      </c>
      <c r="D49" s="228">
        <v>0</v>
      </c>
      <c r="E49" s="244">
        <f t="shared" si="1"/>
        <v>0</v>
      </c>
      <c r="F49" s="228">
        <v>0</v>
      </c>
      <c r="G49" s="228">
        <v>0</v>
      </c>
      <c r="H49" s="229">
        <f t="shared" si="0"/>
        <v>0</v>
      </c>
      <c r="J49" s="418"/>
      <c r="K49" s="418"/>
      <c r="L49" s="418"/>
      <c r="M49" s="418"/>
    </row>
    <row r="50" spans="1:13" s="3" customFormat="1" ht="15.75">
      <c r="A50" s="211">
        <v>8.5</v>
      </c>
      <c r="B50" s="213" t="s">
        <v>323</v>
      </c>
      <c r="C50" s="228">
        <v>0</v>
      </c>
      <c r="D50" s="228">
        <v>0</v>
      </c>
      <c r="E50" s="244">
        <f t="shared" si="1"/>
        <v>0</v>
      </c>
      <c r="F50" s="228">
        <v>0</v>
      </c>
      <c r="G50" s="228">
        <v>0</v>
      </c>
      <c r="H50" s="229">
        <f t="shared" si="0"/>
        <v>0</v>
      </c>
      <c r="J50" s="418"/>
      <c r="K50" s="418"/>
      <c r="L50" s="418"/>
      <c r="M50" s="418"/>
    </row>
    <row r="51" spans="1:13" s="3" customFormat="1" ht="15.75">
      <c r="A51" s="211">
        <v>8.6</v>
      </c>
      <c r="B51" s="213" t="s">
        <v>324</v>
      </c>
      <c r="C51" s="228">
        <v>0</v>
      </c>
      <c r="D51" s="228">
        <v>0</v>
      </c>
      <c r="E51" s="244">
        <f t="shared" si="1"/>
        <v>0</v>
      </c>
      <c r="F51" s="228">
        <v>0</v>
      </c>
      <c r="G51" s="228">
        <v>0</v>
      </c>
      <c r="H51" s="229">
        <f t="shared" si="0"/>
        <v>0</v>
      </c>
      <c r="J51" s="418"/>
      <c r="K51" s="418"/>
      <c r="L51" s="418"/>
      <c r="M51" s="418"/>
    </row>
    <row r="52" spans="1:13" s="3" customFormat="1" ht="15.75">
      <c r="A52" s="211">
        <v>8.6999999999999993</v>
      </c>
      <c r="B52" s="213" t="s">
        <v>325</v>
      </c>
      <c r="C52" s="228">
        <v>0</v>
      </c>
      <c r="D52" s="228">
        <v>0</v>
      </c>
      <c r="E52" s="244">
        <f t="shared" si="1"/>
        <v>0</v>
      </c>
      <c r="F52" s="228">
        <v>0</v>
      </c>
      <c r="G52" s="228">
        <v>0</v>
      </c>
      <c r="H52" s="229">
        <f t="shared" si="0"/>
        <v>0</v>
      </c>
      <c r="J52" s="418"/>
      <c r="K52" s="418"/>
      <c r="L52" s="418"/>
      <c r="M52" s="418"/>
    </row>
    <row r="53" spans="1:13" s="3" customFormat="1" ht="16.5" thickBot="1">
      <c r="A53" s="216">
        <v>9</v>
      </c>
      <c r="B53" s="217" t="s">
        <v>326</v>
      </c>
      <c r="C53" s="245">
        <v>0</v>
      </c>
      <c r="D53" s="245">
        <v>0</v>
      </c>
      <c r="E53" s="246">
        <f t="shared" si="1"/>
        <v>0</v>
      </c>
      <c r="F53" s="245">
        <v>0</v>
      </c>
      <c r="G53" s="245">
        <v>0</v>
      </c>
      <c r="H53" s="235">
        <f t="shared" si="0"/>
        <v>0</v>
      </c>
      <c r="J53" s="418"/>
      <c r="K53" s="418"/>
      <c r="L53" s="418"/>
      <c r="M53" s="418"/>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I31"/>
  <sheetViews>
    <sheetView zoomScale="85" zoomScaleNormal="85" workbookViewId="0">
      <pane xSplit="1" ySplit="4" topLeftCell="B5" activePane="bottomRight" state="frozen"/>
      <selection activeCell="B21" sqref="B21:B22"/>
      <selection pane="topRight" activeCell="B21" sqref="B21:B22"/>
      <selection pane="bottomLeft" activeCell="B21" sqref="B21:B22"/>
      <selection pane="bottomRight" activeCell="H25" sqref="H25"/>
    </sheetView>
  </sheetViews>
  <sheetFormatPr defaultColWidth="9.140625" defaultRowHeight="12.75"/>
  <cols>
    <col min="1" max="1" width="9.5703125" style="2" bestFit="1" customWidth="1"/>
    <col min="2" max="2" width="90" style="2" bestFit="1" customWidth="1"/>
    <col min="3" max="4" width="12.7109375" style="2" customWidth="1"/>
    <col min="5" max="7" width="12" style="13" bestFit="1" customWidth="1"/>
    <col min="8" max="11" width="9.7109375" style="13" customWidth="1"/>
    <col min="12" max="16384" width="9.140625" style="13"/>
  </cols>
  <sheetData>
    <row r="1" spans="1:9" ht="15">
      <c r="A1" s="18" t="s">
        <v>189</v>
      </c>
      <c r="B1" s="17" t="str">
        <f>Info!C2</f>
        <v>ფინკა ბანკი საქართველო სს</v>
      </c>
      <c r="C1" s="17"/>
      <c r="D1" s="303"/>
    </row>
    <row r="2" spans="1:9" ht="15">
      <c r="A2" s="18" t="s">
        <v>190</v>
      </c>
      <c r="B2" s="441">
        <v>44286</v>
      </c>
      <c r="C2" s="29"/>
      <c r="D2" s="19"/>
      <c r="E2" s="12"/>
      <c r="F2" s="12"/>
      <c r="G2" s="12"/>
      <c r="H2" s="12"/>
    </row>
    <row r="3" spans="1:9" ht="15">
      <c r="A3" s="18"/>
      <c r="B3" s="17"/>
      <c r="C3" s="29"/>
      <c r="D3" s="19"/>
      <c r="E3" s="12"/>
      <c r="F3" s="12"/>
      <c r="G3" s="12"/>
      <c r="H3" s="12"/>
    </row>
    <row r="4" spans="1:9" ht="15" customHeight="1" thickBot="1">
      <c r="A4" s="205" t="s">
        <v>333</v>
      </c>
      <c r="B4" s="206" t="s">
        <v>188</v>
      </c>
      <c r="C4" s="207" t="s">
        <v>94</v>
      </c>
    </row>
    <row r="5" spans="1:9" ht="15" customHeight="1">
      <c r="A5" s="588" t="s">
        <v>27</v>
      </c>
      <c r="B5" s="589"/>
      <c r="C5" s="383" t="str">
        <f>INT((MONTH($B$2))/3)&amp;"Q"&amp;"-"&amp;YEAR($B$2)</f>
        <v>1Q-2021</v>
      </c>
      <c r="D5" s="383" t="str">
        <f>IF(INT(MONTH($B$2))=3, "4"&amp;"Q"&amp;"-"&amp;YEAR($B$2)-1, IF(INT(MONTH($B$2))=6, "1"&amp;"Q"&amp;"-"&amp;YEAR($B$2), IF(INT(MONTH($B$2))=9, "2"&amp;"Q"&amp;"-"&amp;YEAR($B$2),IF(INT(MONTH($B$2))=12, "3"&amp;"Q"&amp;"-"&amp;YEAR($B$2), 0))))</f>
        <v>4Q-2020</v>
      </c>
      <c r="E5" s="383" t="str">
        <f>IF(INT(MONTH($B$2))=3, "3"&amp;"Q"&amp;"-"&amp;YEAR($B$2)-1, IF(INT(MONTH($B$2))=6, "4"&amp;"Q"&amp;"-"&amp;YEAR($B$2)-1, IF(INT(MONTH($B$2))=9, "1"&amp;"Q"&amp;"-"&amp;YEAR($B$2),IF(INT(MONTH($B$2))=12, "2"&amp;"Q"&amp;"-"&amp;YEAR($B$2), 0))))</f>
        <v>3Q-2020</v>
      </c>
      <c r="F5" s="383" t="str">
        <f>IF(INT(MONTH($B$2))=3, "2"&amp;"Q"&amp;"-"&amp;YEAR($B$2)-1, IF(INT(MONTH($B$2))=6, "3"&amp;"Q"&amp;"-"&amp;YEAR($B$2)-1, IF(INT(MONTH($B$2))=9, "4"&amp;"Q"&amp;"-"&amp;YEAR($B$2)-1,IF(INT(MONTH($B$2))=12, "1"&amp;"Q"&amp;"-"&amp;YEAR($B$2), 0))))</f>
        <v>2Q-2020</v>
      </c>
      <c r="G5" s="590" t="str">
        <f>IF(INT(MONTH($B$2))=3, "1"&amp;"Q"&amp;"-"&amp;YEAR($B$2)-1, IF(INT(MONTH($B$2))=6, "2"&amp;"Q"&amp;"-"&amp;YEAR($B$2)-1, IF(INT(MONTH($B$2))=9, "3"&amp;"Q"&amp;"-"&amp;YEAR($B$2)-1,IF(INT(MONTH($B$2))=12, "4"&amp;"Q"&amp;"-"&amp;YEAR($B$2)-1, 0))))</f>
        <v>1Q-2020</v>
      </c>
    </row>
    <row r="6" spans="1:9" ht="15" customHeight="1">
      <c r="A6" s="338">
        <v>1</v>
      </c>
      <c r="B6" s="368" t="s">
        <v>193</v>
      </c>
      <c r="C6" s="339">
        <f>C7+C9+C10</f>
        <v>237235891.97530001</v>
      </c>
      <c r="D6" s="371">
        <f>D7+D9+D10</f>
        <v>226401343.11204997</v>
      </c>
      <c r="E6" s="340">
        <f t="shared" ref="E6:G6" si="0">E7+E9+E10</f>
        <v>217877326.7673251</v>
      </c>
      <c r="F6" s="339">
        <f t="shared" si="0"/>
        <v>218702302.49625</v>
      </c>
      <c r="G6" s="372">
        <f t="shared" si="0"/>
        <v>219395356.26449996</v>
      </c>
      <c r="I6" s="456"/>
    </row>
    <row r="7" spans="1:9" ht="15" customHeight="1">
      <c r="A7" s="338">
        <v>1.1000000000000001</v>
      </c>
      <c r="B7" s="341" t="s">
        <v>479</v>
      </c>
      <c r="C7" s="342">
        <v>234343884.75545001</v>
      </c>
      <c r="D7" s="373">
        <v>224045996.33629996</v>
      </c>
      <c r="E7" s="342">
        <v>215384396.58982509</v>
      </c>
      <c r="F7" s="342">
        <v>216490020.27125001</v>
      </c>
      <c r="G7" s="374">
        <v>216699345.77749997</v>
      </c>
      <c r="I7" s="456"/>
    </row>
    <row r="8" spans="1:9" ht="25.5">
      <c r="A8" s="338" t="s">
        <v>253</v>
      </c>
      <c r="B8" s="343" t="s">
        <v>327</v>
      </c>
      <c r="C8" s="342">
        <v>702987.65</v>
      </c>
      <c r="D8" s="373">
        <v>664042.38</v>
      </c>
      <c r="E8" s="342">
        <v>617416.05000000005</v>
      </c>
      <c r="F8" s="342">
        <v>612106.80000000005</v>
      </c>
      <c r="G8" s="374">
        <v>577387.32999999996</v>
      </c>
      <c r="I8" s="456"/>
    </row>
    <row r="9" spans="1:9" ht="15" customHeight="1">
      <c r="A9" s="338">
        <v>1.2</v>
      </c>
      <c r="B9" s="341" t="s">
        <v>23</v>
      </c>
      <c r="C9" s="342">
        <v>2440733.21985</v>
      </c>
      <c r="D9" s="373">
        <v>2080295.77575</v>
      </c>
      <c r="E9" s="342">
        <v>2222197.1774999998</v>
      </c>
      <c r="F9" s="342">
        <v>1994330.2250000001</v>
      </c>
      <c r="G9" s="374">
        <v>2223142.4870000002</v>
      </c>
      <c r="I9" s="456"/>
    </row>
    <row r="10" spans="1:9" ht="15" customHeight="1">
      <c r="A10" s="338">
        <v>1.3</v>
      </c>
      <c r="B10" s="369" t="s">
        <v>78</v>
      </c>
      <c r="C10" s="344">
        <v>451274</v>
      </c>
      <c r="D10" s="373">
        <v>275051</v>
      </c>
      <c r="E10" s="344">
        <v>270733</v>
      </c>
      <c r="F10" s="342">
        <v>217952</v>
      </c>
      <c r="G10" s="375">
        <v>472868</v>
      </c>
      <c r="I10" s="456"/>
    </row>
    <row r="11" spans="1:9" ht="15" customHeight="1">
      <c r="A11" s="338">
        <v>2</v>
      </c>
      <c r="B11" s="368" t="s">
        <v>194</v>
      </c>
      <c r="C11" s="342">
        <v>142106.84020000001</v>
      </c>
      <c r="D11" s="373">
        <v>622406.715839996</v>
      </c>
      <c r="E11" s="342">
        <v>73869.821299999996</v>
      </c>
      <c r="F11" s="342">
        <v>171062.22700000001</v>
      </c>
      <c r="G11" s="374">
        <v>156520.25889999999</v>
      </c>
      <c r="I11" s="456"/>
    </row>
    <row r="12" spans="1:9" ht="15" customHeight="1">
      <c r="A12" s="355">
        <v>3</v>
      </c>
      <c r="B12" s="370" t="s">
        <v>192</v>
      </c>
      <c r="C12" s="344">
        <v>61372243.749937497</v>
      </c>
      <c r="D12" s="373">
        <v>61372243.674374998</v>
      </c>
      <c r="E12" s="344">
        <v>65581931.874937497</v>
      </c>
      <c r="F12" s="342">
        <v>65581931.874937497</v>
      </c>
      <c r="G12" s="375">
        <v>65581931.874937497</v>
      </c>
      <c r="I12" s="456"/>
    </row>
    <row r="13" spans="1:9" ht="15" customHeight="1" thickBot="1">
      <c r="A13" s="129">
        <v>4</v>
      </c>
      <c r="B13" s="378" t="s">
        <v>254</v>
      </c>
      <c r="C13" s="247">
        <f>C6+C11+C12</f>
        <v>298750242.5654375</v>
      </c>
      <c r="D13" s="376">
        <f>D6+D11+D12</f>
        <v>288395993.50226498</v>
      </c>
      <c r="E13" s="248">
        <f t="shared" ref="E13:G13" si="1">E6+E11+E12</f>
        <v>283533128.46356261</v>
      </c>
      <c r="F13" s="247">
        <f t="shared" si="1"/>
        <v>284455296.59818751</v>
      </c>
      <c r="G13" s="377">
        <f t="shared" si="1"/>
        <v>285133808.39833742</v>
      </c>
      <c r="I13" s="456"/>
    </row>
    <row r="14" spans="1:9">
      <c r="B14" s="24"/>
    </row>
    <row r="15" spans="1:9" ht="25.5">
      <c r="B15" s="102" t="s">
        <v>480</v>
      </c>
    </row>
    <row r="16" spans="1:9">
      <c r="B16" s="102"/>
      <c r="C16" s="419"/>
      <c r="D16" s="419"/>
      <c r="E16" s="419"/>
      <c r="F16" s="419"/>
      <c r="G16" s="419"/>
    </row>
    <row r="17" spans="2:7">
      <c r="B17" s="102"/>
      <c r="C17" s="419"/>
      <c r="D17" s="419"/>
      <c r="E17" s="419"/>
      <c r="F17" s="419"/>
      <c r="G17" s="419"/>
    </row>
    <row r="18" spans="2:7">
      <c r="B18" s="102"/>
    </row>
    <row r="31" spans="2:7" ht="15">
      <c r="B31" s="6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39"/>
  <sheetViews>
    <sheetView showGridLines="0" zoomScale="85" zoomScaleNormal="85" workbookViewId="0">
      <pane xSplit="1" ySplit="4" topLeftCell="B5" activePane="bottomRight" state="frozen"/>
      <selection activeCell="B21" sqref="B21:B22"/>
      <selection pane="topRight" activeCell="B21" sqref="B21:B22"/>
      <selection pane="bottomLeft" activeCell="B21" sqref="B21:B22"/>
      <selection pane="bottomRight" activeCell="I16" sqref="I16"/>
    </sheetView>
  </sheetViews>
  <sheetFormatPr defaultRowHeight="15.75"/>
  <cols>
    <col min="1" max="1" width="10.7109375" style="66" customWidth="1"/>
    <col min="2" max="2" width="67.5703125" style="66" customWidth="1"/>
    <col min="3" max="3" width="62.140625" style="66" customWidth="1"/>
    <col min="4" max="16384" width="9.140625" style="420"/>
  </cols>
  <sheetData>
    <row r="1" spans="1:8">
      <c r="A1" s="66" t="s">
        <v>189</v>
      </c>
      <c r="B1" s="66" t="str">
        <f>Info!C2</f>
        <v>ფინკა ბანკი საქართველო სს</v>
      </c>
    </row>
    <row r="2" spans="1:8">
      <c r="A2" s="66" t="s">
        <v>190</v>
      </c>
      <c r="B2" s="442">
        <f>'1. key ratios'!B2</f>
        <v>44286</v>
      </c>
    </row>
    <row r="4" spans="1:8" ht="30.75" thickBot="1">
      <c r="A4" s="218" t="s">
        <v>334</v>
      </c>
      <c r="B4" s="61" t="s">
        <v>150</v>
      </c>
      <c r="C4" s="14"/>
    </row>
    <row r="5" spans="1:8">
      <c r="A5" s="11"/>
      <c r="B5" s="364" t="s">
        <v>151</v>
      </c>
      <c r="C5" s="381" t="s">
        <v>491</v>
      </c>
    </row>
    <row r="6" spans="1:8">
      <c r="A6" s="15">
        <v>1</v>
      </c>
      <c r="B6" s="27" t="s">
        <v>500</v>
      </c>
      <c r="C6" s="379" t="s">
        <v>503</v>
      </c>
    </row>
    <row r="7" spans="1:8">
      <c r="A7" s="15">
        <v>2</v>
      </c>
      <c r="B7" s="27" t="s">
        <v>504</v>
      </c>
      <c r="C7" s="379" t="s">
        <v>505</v>
      </c>
    </row>
    <row r="8" spans="1:8">
      <c r="A8" s="15">
        <v>3</v>
      </c>
      <c r="B8" s="27" t="s">
        <v>506</v>
      </c>
      <c r="C8" s="379" t="s">
        <v>507</v>
      </c>
    </row>
    <row r="9" spans="1:8">
      <c r="A9" s="15">
        <v>4</v>
      </c>
      <c r="B9" s="27" t="s">
        <v>508</v>
      </c>
      <c r="C9" s="379" t="s">
        <v>505</v>
      </c>
    </row>
    <row r="10" spans="1:8">
      <c r="A10" s="15">
        <v>5</v>
      </c>
      <c r="B10" s="27" t="s">
        <v>509</v>
      </c>
      <c r="C10" s="379" t="s">
        <v>507</v>
      </c>
    </row>
    <row r="11" spans="1:8">
      <c r="A11" s="15">
        <v>6</v>
      </c>
      <c r="B11" s="27"/>
      <c r="C11" s="421"/>
    </row>
    <row r="12" spans="1:8">
      <c r="A12" s="15">
        <v>7</v>
      </c>
      <c r="B12" s="27"/>
      <c r="C12" s="421"/>
      <c r="H12" s="422"/>
    </row>
    <row r="13" spans="1:8">
      <c r="A13" s="15">
        <v>8</v>
      </c>
      <c r="B13" s="27"/>
      <c r="C13" s="421"/>
    </row>
    <row r="14" spans="1:8">
      <c r="A14" s="15">
        <v>9</v>
      </c>
      <c r="B14" s="27"/>
      <c r="C14" s="421"/>
    </row>
    <row r="15" spans="1:8">
      <c r="A15" s="15">
        <v>10</v>
      </c>
      <c r="B15" s="27"/>
      <c r="C15" s="421"/>
    </row>
    <row r="16" spans="1:8">
      <c r="A16" s="15"/>
      <c r="B16" s="553"/>
      <c r="C16" s="554"/>
    </row>
    <row r="17" spans="1:3" ht="30">
      <c r="A17" s="15"/>
      <c r="B17" s="407" t="s">
        <v>152</v>
      </c>
      <c r="C17" s="382" t="s">
        <v>492</v>
      </c>
    </row>
    <row r="18" spans="1:3">
      <c r="A18" s="15">
        <v>1</v>
      </c>
      <c r="B18" s="27" t="s">
        <v>501</v>
      </c>
      <c r="C18" s="379" t="s">
        <v>510</v>
      </c>
    </row>
    <row r="19" spans="1:3">
      <c r="A19" s="15">
        <v>2</v>
      </c>
      <c r="B19" s="27" t="s">
        <v>511</v>
      </c>
      <c r="C19" s="379" t="s">
        <v>512</v>
      </c>
    </row>
    <row r="20" spans="1:3">
      <c r="A20" s="15">
        <v>3</v>
      </c>
      <c r="B20" s="27" t="s">
        <v>513</v>
      </c>
      <c r="C20" s="379" t="s">
        <v>514</v>
      </c>
    </row>
    <row r="21" spans="1:3">
      <c r="A21" s="15">
        <v>4</v>
      </c>
      <c r="B21" s="27" t="s">
        <v>515</v>
      </c>
      <c r="C21" s="379" t="s">
        <v>516</v>
      </c>
    </row>
    <row r="22" spans="1:3">
      <c r="A22" s="15">
        <v>5</v>
      </c>
      <c r="B22" s="27"/>
      <c r="C22" s="379"/>
    </row>
    <row r="23" spans="1:3">
      <c r="A23" s="15">
        <v>6</v>
      </c>
      <c r="B23" s="27"/>
      <c r="C23" s="379"/>
    </row>
    <row r="24" spans="1:3">
      <c r="A24" s="15">
        <v>7</v>
      </c>
      <c r="B24" s="27"/>
      <c r="C24" s="379"/>
    </row>
    <row r="25" spans="1:3">
      <c r="A25" s="15">
        <v>8</v>
      </c>
      <c r="B25" s="27"/>
      <c r="C25" s="379"/>
    </row>
    <row r="26" spans="1:3">
      <c r="A26" s="15">
        <v>9</v>
      </c>
      <c r="B26" s="27"/>
      <c r="C26" s="379"/>
    </row>
    <row r="27" spans="1:3" ht="15.75" customHeight="1">
      <c r="A27" s="15">
        <v>10</v>
      </c>
      <c r="B27" s="27"/>
      <c r="C27" s="380"/>
    </row>
    <row r="28" spans="1:3" ht="15.75" customHeight="1">
      <c r="A28" s="15"/>
      <c r="B28" s="27"/>
      <c r="C28" s="28"/>
    </row>
    <row r="29" spans="1:3" ht="30" customHeight="1">
      <c r="A29" s="15"/>
      <c r="B29" s="555" t="s">
        <v>153</v>
      </c>
      <c r="C29" s="556"/>
    </row>
    <row r="30" spans="1:3">
      <c r="A30" s="15">
        <v>1</v>
      </c>
      <c r="B30" s="27" t="s">
        <v>517</v>
      </c>
      <c r="C30" s="423">
        <v>1</v>
      </c>
    </row>
    <row r="31" spans="1:3" ht="15.75" customHeight="1">
      <c r="A31" s="15"/>
      <c r="B31" s="534"/>
      <c r="C31" s="424"/>
    </row>
    <row r="32" spans="1:3" ht="29.25" customHeight="1">
      <c r="A32" s="15"/>
      <c r="B32" s="555" t="s">
        <v>274</v>
      </c>
      <c r="C32" s="556"/>
    </row>
    <row r="33" spans="1:3">
      <c r="A33" s="15">
        <v>1</v>
      </c>
      <c r="B33" s="27" t="s">
        <v>518</v>
      </c>
      <c r="C33" s="421" t="s">
        <v>519</v>
      </c>
    </row>
    <row r="34" spans="1:3">
      <c r="A34" s="15">
        <v>2</v>
      </c>
      <c r="B34" s="27" t="s">
        <v>520</v>
      </c>
      <c r="C34" s="421" t="s">
        <v>521</v>
      </c>
    </row>
    <row r="35" spans="1:3">
      <c r="A35" s="15">
        <v>3</v>
      </c>
      <c r="B35" s="27" t="s">
        <v>522</v>
      </c>
      <c r="C35" s="421" t="s">
        <v>523</v>
      </c>
    </row>
    <row r="36" spans="1:3">
      <c r="A36" s="15">
        <v>4</v>
      </c>
      <c r="B36" s="27" t="s">
        <v>524</v>
      </c>
      <c r="C36" s="421" t="s">
        <v>525</v>
      </c>
    </row>
    <row r="37" spans="1:3">
      <c r="A37" s="15">
        <v>5</v>
      </c>
      <c r="B37" s="27" t="s">
        <v>526</v>
      </c>
      <c r="C37" s="421" t="s">
        <v>527</v>
      </c>
    </row>
    <row r="38" spans="1:3">
      <c r="A38" s="15"/>
      <c r="B38" s="27"/>
      <c r="C38" s="421"/>
    </row>
    <row r="39" spans="1:3" ht="16.5" thickBot="1">
      <c r="A39" s="16"/>
      <c r="B39" s="425"/>
      <c r="C39" s="426"/>
    </row>
  </sheetData>
  <mergeCells count="3">
    <mergeCell ref="B16:C16"/>
    <mergeCell ref="B32:C32"/>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J37"/>
  <sheetViews>
    <sheetView zoomScale="85" zoomScaleNormal="85" workbookViewId="0">
      <pane xSplit="1" ySplit="5" topLeftCell="B6" activePane="bottomRight" state="frozen"/>
      <selection activeCell="B21" sqref="B21:B22"/>
      <selection pane="topRight" activeCell="B21" sqref="B21:B22"/>
      <selection pane="bottomLeft" activeCell="B21" sqref="B21:B22"/>
      <selection pane="bottomRight" activeCell="I27" sqref="I27"/>
    </sheetView>
  </sheetViews>
  <sheetFormatPr defaultRowHeight="15"/>
  <cols>
    <col min="1" max="1" width="9.5703125" style="2" bestFit="1" customWidth="1"/>
    <col min="2" max="2" width="86.8554687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10" ht="15.75">
      <c r="A1" s="18" t="s">
        <v>189</v>
      </c>
      <c r="B1" s="17" t="str">
        <f>Info!C2</f>
        <v>ფინკა ბანკი საქართველო სს</v>
      </c>
    </row>
    <row r="2" spans="1:10" s="22" customFormat="1" ht="15.75" customHeight="1">
      <c r="A2" s="22" t="s">
        <v>190</v>
      </c>
      <c r="B2" s="440">
        <f>'1. key ratios'!B2</f>
        <v>44286</v>
      </c>
    </row>
    <row r="3" spans="1:10" s="22" customFormat="1" ht="15.75" customHeight="1"/>
    <row r="4" spans="1:10" s="22" customFormat="1" ht="15.75" customHeight="1" thickBot="1">
      <c r="A4" s="219" t="s">
        <v>335</v>
      </c>
      <c r="B4" s="220" t="s">
        <v>264</v>
      </c>
      <c r="C4" s="184"/>
      <c r="D4" s="184"/>
      <c r="E4" s="185" t="s">
        <v>94</v>
      </c>
    </row>
    <row r="5" spans="1:10" s="117" customFormat="1" ht="17.45" customHeight="1">
      <c r="A5" s="307"/>
      <c r="B5" s="308"/>
      <c r="C5" s="183" t="s">
        <v>0</v>
      </c>
      <c r="D5" s="183" t="s">
        <v>1</v>
      </c>
      <c r="E5" s="309" t="s">
        <v>2</v>
      </c>
    </row>
    <row r="6" spans="1:10" s="153" customFormat="1" ht="14.45" customHeight="1">
      <c r="A6" s="310"/>
      <c r="B6" s="557" t="s">
        <v>232</v>
      </c>
      <c r="C6" s="557" t="s">
        <v>231</v>
      </c>
      <c r="D6" s="558" t="s">
        <v>230</v>
      </c>
      <c r="E6" s="559"/>
      <c r="G6"/>
    </row>
    <row r="7" spans="1:10" s="153" customFormat="1" ht="99.6" customHeight="1">
      <c r="A7" s="310"/>
      <c r="B7" s="557"/>
      <c r="C7" s="557"/>
      <c r="D7" s="305" t="s">
        <v>229</v>
      </c>
      <c r="E7" s="306" t="s">
        <v>397</v>
      </c>
      <c r="G7"/>
    </row>
    <row r="8" spans="1:10">
      <c r="A8" s="311">
        <v>1</v>
      </c>
      <c r="B8" s="312" t="s">
        <v>155</v>
      </c>
      <c r="C8" s="313">
        <v>12613866.890000001</v>
      </c>
      <c r="D8" s="313"/>
      <c r="E8" s="314">
        <f t="shared" ref="E8:E20" si="0">C8-D8</f>
        <v>12613866.890000001</v>
      </c>
      <c r="H8" s="6"/>
      <c r="I8" s="6"/>
      <c r="J8" s="6"/>
    </row>
    <row r="9" spans="1:10">
      <c r="A9" s="311">
        <v>2</v>
      </c>
      <c r="B9" s="312" t="s">
        <v>156</v>
      </c>
      <c r="C9" s="313">
        <v>10068347.699999999</v>
      </c>
      <c r="D9" s="313"/>
      <c r="E9" s="314">
        <f t="shared" si="0"/>
        <v>10068347.699999999</v>
      </c>
      <c r="H9" s="6"/>
      <c r="I9" s="6"/>
      <c r="J9" s="6"/>
    </row>
    <row r="10" spans="1:10">
      <c r="A10" s="311">
        <v>3</v>
      </c>
      <c r="B10" s="312" t="s">
        <v>228</v>
      </c>
      <c r="C10" s="313">
        <v>11592600.550000001</v>
      </c>
      <c r="D10" s="313"/>
      <c r="E10" s="314">
        <f t="shared" si="0"/>
        <v>11592600.550000001</v>
      </c>
      <c r="H10" s="6"/>
      <c r="I10" s="6"/>
      <c r="J10" s="6"/>
    </row>
    <row r="11" spans="1:10">
      <c r="A11" s="311">
        <v>4</v>
      </c>
      <c r="B11" s="312" t="s">
        <v>186</v>
      </c>
      <c r="C11" s="313">
        <v>0</v>
      </c>
      <c r="D11" s="313"/>
      <c r="E11" s="314">
        <f t="shared" si="0"/>
        <v>0</v>
      </c>
      <c r="H11" s="6"/>
      <c r="I11" s="6"/>
      <c r="J11" s="6"/>
    </row>
    <row r="12" spans="1:10">
      <c r="A12" s="311">
        <v>5</v>
      </c>
      <c r="B12" s="312" t="s">
        <v>158</v>
      </c>
      <c r="C12" s="313">
        <v>29067256.620000001</v>
      </c>
      <c r="D12" s="313"/>
      <c r="E12" s="314">
        <f t="shared" si="0"/>
        <v>29067256.620000001</v>
      </c>
      <c r="H12" s="6"/>
      <c r="I12" s="6"/>
      <c r="J12" s="6"/>
    </row>
    <row r="13" spans="1:10">
      <c r="A13" s="311">
        <v>6.1</v>
      </c>
      <c r="B13" s="312" t="s">
        <v>159</v>
      </c>
      <c r="C13" s="315">
        <v>209175747.03999731</v>
      </c>
      <c r="D13" s="313"/>
      <c r="E13" s="314">
        <f t="shared" si="0"/>
        <v>209175747.03999731</v>
      </c>
      <c r="H13" s="6"/>
      <c r="I13" s="6"/>
      <c r="J13" s="6"/>
    </row>
    <row r="14" spans="1:10">
      <c r="A14" s="311">
        <v>6.2</v>
      </c>
      <c r="B14" s="316" t="s">
        <v>160</v>
      </c>
      <c r="C14" s="315">
        <v>-13313969.910000032</v>
      </c>
      <c r="D14" s="313"/>
      <c r="E14" s="314">
        <f t="shared" si="0"/>
        <v>-13313969.910000032</v>
      </c>
      <c r="H14" s="6"/>
      <c r="I14" s="6"/>
      <c r="J14" s="6"/>
    </row>
    <row r="15" spans="1:10">
      <c r="A15" s="311">
        <v>6</v>
      </c>
      <c r="B15" s="312" t="s">
        <v>227</v>
      </c>
      <c r="C15" s="313">
        <v>195861777.12999728</v>
      </c>
      <c r="D15" s="313"/>
      <c r="E15" s="314">
        <f t="shared" si="0"/>
        <v>195861777.12999728</v>
      </c>
      <c r="H15" s="6"/>
      <c r="I15" s="6"/>
      <c r="J15" s="6"/>
    </row>
    <row r="16" spans="1:10">
      <c r="A16" s="311">
        <v>7</v>
      </c>
      <c r="B16" s="312" t="s">
        <v>162</v>
      </c>
      <c r="C16" s="313">
        <v>6859542.6700000009</v>
      </c>
      <c r="D16" s="313"/>
      <c r="E16" s="314">
        <f t="shared" si="0"/>
        <v>6859542.6700000009</v>
      </c>
      <c r="H16" s="6"/>
      <c r="I16" s="6"/>
      <c r="J16" s="6"/>
    </row>
    <row r="17" spans="1:10">
      <c r="A17" s="311">
        <v>8</v>
      </c>
      <c r="B17" s="312" t="s">
        <v>163</v>
      </c>
      <c r="C17" s="313">
        <v>261897.5</v>
      </c>
      <c r="D17" s="313"/>
      <c r="E17" s="314">
        <f t="shared" si="0"/>
        <v>261897.5</v>
      </c>
      <c r="F17" s="6"/>
      <c r="H17" s="6"/>
      <c r="I17" s="6"/>
      <c r="J17" s="6"/>
    </row>
    <row r="18" spans="1:10">
      <c r="A18" s="311">
        <v>9</v>
      </c>
      <c r="B18" s="312" t="s">
        <v>164</v>
      </c>
      <c r="C18" s="313">
        <v>0</v>
      </c>
      <c r="D18" s="313"/>
      <c r="E18" s="314">
        <f t="shared" si="0"/>
        <v>0</v>
      </c>
      <c r="H18" s="6"/>
      <c r="I18" s="6"/>
      <c r="J18" s="6"/>
    </row>
    <row r="19" spans="1:10">
      <c r="A19" s="311">
        <v>10</v>
      </c>
      <c r="B19" s="312" t="s">
        <v>165</v>
      </c>
      <c r="C19" s="313">
        <v>8897508.4099999964</v>
      </c>
      <c r="D19" s="313">
        <v>1220289.8600000001</v>
      </c>
      <c r="E19" s="314">
        <f t="shared" si="0"/>
        <v>7677218.5499999961</v>
      </c>
      <c r="H19" s="6"/>
      <c r="I19" s="6"/>
      <c r="J19" s="6"/>
    </row>
    <row r="20" spans="1:10">
      <c r="A20" s="311">
        <v>11</v>
      </c>
      <c r="B20" s="312" t="s">
        <v>166</v>
      </c>
      <c r="C20" s="313">
        <v>3635470.14</v>
      </c>
      <c r="D20" s="313">
        <v>207349.26</v>
      </c>
      <c r="E20" s="314">
        <f t="shared" si="0"/>
        <v>3428120.88</v>
      </c>
      <c r="H20" s="6"/>
      <c r="I20" s="6"/>
      <c r="J20" s="6"/>
    </row>
    <row r="21" spans="1:10" ht="26.25" thickBot="1">
      <c r="A21" s="317"/>
      <c r="B21" s="318" t="s">
        <v>370</v>
      </c>
      <c r="C21" s="298">
        <f>SUM(C8:C12, C15:C20)</f>
        <v>278858267.60999727</v>
      </c>
      <c r="D21" s="298">
        <f>SUM(D8:D12, D15:D20)</f>
        <v>1427639.12</v>
      </c>
      <c r="E21" s="319">
        <f>SUM(E8:E12, E15:E20)</f>
        <v>277430628.48999727</v>
      </c>
      <c r="H21" s="6"/>
      <c r="I21" s="6"/>
      <c r="J21" s="6"/>
    </row>
    <row r="22" spans="1:10">
      <c r="A22"/>
      <c r="B22"/>
      <c r="C22"/>
      <c r="D22"/>
      <c r="E22"/>
    </row>
    <row r="23" spans="1:10">
      <c r="A23"/>
      <c r="B23"/>
      <c r="C23"/>
      <c r="D23"/>
      <c r="E23"/>
    </row>
    <row r="25" spans="1:10" s="2" customFormat="1">
      <c r="B25" s="63"/>
      <c r="F25"/>
      <c r="G25"/>
    </row>
    <row r="26" spans="1:10" s="2" customFormat="1">
      <c r="B26" s="64"/>
      <c r="F26"/>
      <c r="G26"/>
    </row>
    <row r="27" spans="1:10" s="2" customFormat="1">
      <c r="B27" s="63"/>
      <c r="F27"/>
      <c r="G27"/>
    </row>
    <row r="28" spans="1:10" s="2" customFormat="1">
      <c r="B28" s="63"/>
      <c r="F28"/>
      <c r="G28"/>
    </row>
    <row r="29" spans="1:10" s="2" customFormat="1">
      <c r="B29" s="63"/>
      <c r="F29"/>
      <c r="G29"/>
    </row>
    <row r="30" spans="1:10" s="2" customFormat="1">
      <c r="B30" s="63"/>
      <c r="F30"/>
      <c r="G30"/>
    </row>
    <row r="31" spans="1:10" s="2" customFormat="1">
      <c r="B31" s="63"/>
      <c r="F31"/>
      <c r="G31"/>
    </row>
    <row r="32" spans="1:10" s="2" customFormat="1">
      <c r="B32" s="64"/>
      <c r="F32"/>
      <c r="G32"/>
    </row>
    <row r="33" spans="2:7" s="2" customFormat="1">
      <c r="B33" s="64"/>
      <c r="F33"/>
      <c r="G33"/>
    </row>
    <row r="34" spans="2:7" s="2" customFormat="1">
      <c r="B34" s="64"/>
      <c r="F34"/>
      <c r="G34"/>
    </row>
    <row r="35" spans="2:7" s="2" customFormat="1">
      <c r="B35" s="64"/>
      <c r="F35"/>
      <c r="G35"/>
    </row>
    <row r="36" spans="2:7" s="2" customFormat="1">
      <c r="B36" s="64"/>
      <c r="F36"/>
      <c r="G36"/>
    </row>
    <row r="37" spans="2:7" s="2" customFormat="1">
      <c r="B37" s="64"/>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B21" sqref="B21:B22"/>
      <selection pane="topRight" activeCell="B21" sqref="B21:B22"/>
      <selection pane="bottomLeft" activeCell="B21" sqref="B21:B22"/>
      <selection pane="bottomRight" activeCell="B21" sqref="B21:B22"/>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8" t="s">
        <v>189</v>
      </c>
      <c r="B1" s="17" t="str">
        <f>Info!C2</f>
        <v>ფინკა ბანკი საქართველო სს</v>
      </c>
    </row>
    <row r="2" spans="1:6" s="22" customFormat="1" ht="15.75" customHeight="1">
      <c r="A2" s="22" t="s">
        <v>190</v>
      </c>
      <c r="B2" s="440">
        <f>'1. key ratios'!B2</f>
        <v>44286</v>
      </c>
      <c r="C2"/>
      <c r="D2"/>
      <c r="E2"/>
      <c r="F2"/>
    </row>
    <row r="3" spans="1:6" s="22" customFormat="1" ht="15.75" customHeight="1">
      <c r="C3"/>
      <c r="D3"/>
      <c r="E3"/>
      <c r="F3"/>
    </row>
    <row r="4" spans="1:6" s="22" customFormat="1" ht="26.25" thickBot="1">
      <c r="A4" s="22" t="s">
        <v>336</v>
      </c>
      <c r="B4" s="191" t="s">
        <v>267</v>
      </c>
      <c r="C4" s="185" t="s">
        <v>94</v>
      </c>
      <c r="D4"/>
      <c r="E4"/>
      <c r="F4"/>
    </row>
    <row r="5" spans="1:6" ht="26.25">
      <c r="A5" s="186">
        <v>1</v>
      </c>
      <c r="B5" s="187" t="s">
        <v>343</v>
      </c>
      <c r="C5" s="249">
        <f>'7. LI1'!E21</f>
        <v>277430628.48999727</v>
      </c>
    </row>
    <row r="6" spans="1:6" s="176" customFormat="1">
      <c r="A6" s="116">
        <v>2.1</v>
      </c>
      <c r="B6" s="193" t="s">
        <v>268</v>
      </c>
      <c r="C6" s="250">
        <v>4888509.8817000007</v>
      </c>
    </row>
    <row r="7" spans="1:6" s="4" customFormat="1" ht="25.5" outlineLevel="1">
      <c r="A7" s="192">
        <v>2.2000000000000002</v>
      </c>
      <c r="B7" s="188" t="s">
        <v>269</v>
      </c>
      <c r="C7" s="251">
        <v>22563700</v>
      </c>
    </row>
    <row r="8" spans="1:6" s="4" customFormat="1" ht="26.25">
      <c r="A8" s="192">
        <v>3</v>
      </c>
      <c r="B8" s="189" t="s">
        <v>344</v>
      </c>
      <c r="C8" s="252">
        <f>SUM(C5:C7)</f>
        <v>304882838.37169725</v>
      </c>
    </row>
    <row r="9" spans="1:6" s="176" customFormat="1">
      <c r="A9" s="116">
        <v>4</v>
      </c>
      <c r="B9" s="196" t="s">
        <v>265</v>
      </c>
      <c r="C9" s="250">
        <v>3578154.8400000311</v>
      </c>
    </row>
    <row r="10" spans="1:6" s="4" customFormat="1" ht="25.5" outlineLevel="1">
      <c r="A10" s="192">
        <v>5.0999999999999996</v>
      </c>
      <c r="B10" s="188" t="s">
        <v>275</v>
      </c>
      <c r="C10" s="251">
        <v>-2447776.6618500007</v>
      </c>
    </row>
    <row r="11" spans="1:6" s="4" customFormat="1" ht="25.5" outlineLevel="1">
      <c r="A11" s="192">
        <v>5.2</v>
      </c>
      <c r="B11" s="188" t="s">
        <v>276</v>
      </c>
      <c r="C11" s="251">
        <v>-22112426</v>
      </c>
    </row>
    <row r="12" spans="1:6" s="4" customFormat="1">
      <c r="A12" s="192">
        <v>6</v>
      </c>
      <c r="B12" s="194" t="s">
        <v>481</v>
      </c>
      <c r="C12" s="320"/>
    </row>
    <row r="13" spans="1:6" s="4" customFormat="1" ht="15.75" thickBot="1">
      <c r="A13" s="195">
        <v>7</v>
      </c>
      <c r="B13" s="190" t="s">
        <v>266</v>
      </c>
      <c r="C13" s="253">
        <f>SUM(C8:C12)</f>
        <v>283900790.5498473</v>
      </c>
    </row>
    <row r="15" spans="1:6" ht="26.25">
      <c r="B15" s="24" t="s">
        <v>482</v>
      </c>
    </row>
    <row r="17" spans="2:9" s="2" customFormat="1">
      <c r="B17" s="65"/>
      <c r="C17"/>
      <c r="D17"/>
      <c r="E17"/>
      <c r="F17"/>
      <c r="G17"/>
      <c r="H17"/>
      <c r="I17"/>
    </row>
    <row r="18" spans="2:9" s="2" customFormat="1">
      <c r="B18" s="62"/>
      <c r="C18"/>
      <c r="D18"/>
      <c r="E18"/>
      <c r="F18"/>
      <c r="G18"/>
      <c r="H18"/>
      <c r="I18"/>
    </row>
    <row r="19" spans="2:9" s="2" customFormat="1">
      <c r="B19" s="62"/>
      <c r="C19"/>
      <c r="D19"/>
      <c r="E19"/>
      <c r="F19"/>
      <c r="G19"/>
      <c r="H19"/>
      <c r="I19"/>
    </row>
    <row r="20" spans="2:9" s="2" customFormat="1">
      <c r="B20" s="64"/>
      <c r="C20"/>
      <c r="D20"/>
      <c r="E20"/>
      <c r="F20"/>
      <c r="G20"/>
      <c r="H20"/>
      <c r="I20"/>
    </row>
    <row r="21" spans="2:9" s="2" customFormat="1">
      <c r="B21" s="63"/>
      <c r="C21"/>
      <c r="D21"/>
      <c r="E21"/>
      <c r="F21"/>
      <c r="G21"/>
      <c r="H21"/>
      <c r="I21"/>
    </row>
    <row r="22" spans="2:9" s="2" customFormat="1">
      <c r="B22" s="64"/>
      <c r="C22"/>
      <c r="D22"/>
      <c r="E22"/>
      <c r="F22"/>
      <c r="G22"/>
      <c r="H22"/>
      <c r="I22"/>
    </row>
    <row r="23" spans="2:9" s="2" customFormat="1">
      <c r="B23" s="63"/>
      <c r="C23"/>
      <c r="D23"/>
      <c r="E23"/>
      <c r="F23"/>
      <c r="G23"/>
      <c r="H23"/>
      <c r="I23"/>
    </row>
    <row r="24" spans="2:9" s="2" customFormat="1">
      <c r="B24" s="63"/>
      <c r="C24"/>
      <c r="D24"/>
      <c r="E24"/>
      <c r="F24"/>
      <c r="G24"/>
      <c r="H24"/>
      <c r="I24"/>
    </row>
    <row r="25" spans="2:9" s="2" customFormat="1">
      <c r="B25" s="63"/>
      <c r="C25"/>
      <c r="D25"/>
      <c r="E25"/>
      <c r="F25"/>
      <c r="G25"/>
      <c r="H25"/>
      <c r="I25"/>
    </row>
    <row r="26" spans="2:9" s="2" customFormat="1">
      <c r="B26" s="63"/>
      <c r="C26"/>
      <c r="D26"/>
      <c r="E26"/>
      <c r="F26"/>
      <c r="G26"/>
      <c r="H26"/>
      <c r="I26"/>
    </row>
    <row r="27" spans="2:9" s="2" customFormat="1">
      <c r="B27" s="63"/>
      <c r="C27"/>
      <c r="D27"/>
      <c r="E27"/>
      <c r="F27"/>
      <c r="G27"/>
      <c r="H27"/>
      <c r="I27"/>
    </row>
    <row r="28" spans="2:9" s="2" customFormat="1">
      <c r="B28" s="64"/>
      <c r="C28"/>
      <c r="D28"/>
      <c r="E28"/>
      <c r="F28"/>
      <c r="G28"/>
      <c r="H28"/>
      <c r="I28"/>
    </row>
    <row r="29" spans="2:9" s="2" customFormat="1">
      <c r="B29" s="64"/>
      <c r="C29"/>
      <c r="D29"/>
      <c r="E29"/>
      <c r="F29"/>
      <c r="G29"/>
      <c r="H29"/>
      <c r="I29"/>
    </row>
    <row r="30" spans="2:9" s="2" customFormat="1">
      <c r="B30" s="64"/>
      <c r="C30"/>
      <c r="D30"/>
      <c r="E30"/>
      <c r="F30"/>
      <c r="G30"/>
      <c r="H30"/>
      <c r="I30"/>
    </row>
    <row r="31" spans="2:9" s="2" customFormat="1">
      <c r="B31" s="63"/>
      <c r="C31"/>
      <c r="D31"/>
      <c r="E31"/>
      <c r="F31"/>
      <c r="G31"/>
      <c r="H31"/>
      <c r="I31"/>
    </row>
    <row r="32" spans="2:9" s="2" customFormat="1">
      <c r="B32" s="64"/>
      <c r="C32"/>
      <c r="D32"/>
      <c r="E32"/>
      <c r="F32"/>
      <c r="G32"/>
      <c r="H32"/>
      <c r="I32"/>
    </row>
    <row r="33" spans="2:9" s="2" customFormat="1">
      <c r="B33" s="64"/>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J38muaHZCuH5giFIB0QCFod2BV0AGtKmoTE0RtCHVaI=</DigestValue>
    </Reference>
    <Reference Type="http://www.w3.org/2000/09/xmldsig#Object" URI="#idOfficeObject">
      <DigestMethod Algorithm="http://www.w3.org/2001/04/xmlenc#sha256"/>
      <DigestValue>sW81/Zu03QzywcALZxAPHTt0npjGtrBW2DfBh5ABmlA=</DigestValue>
    </Reference>
    <Reference Type="http://uri.etsi.org/01903#SignedProperties" URI="#idSignedProperties">
      <Transforms>
        <Transform Algorithm="http://www.w3.org/TR/2001/REC-xml-c14n-20010315"/>
      </Transforms>
      <DigestMethod Algorithm="http://www.w3.org/2001/04/xmlenc#sha256"/>
      <DigestValue>/iEpsJH6xH1z0F/F3FtVh7Wa9nztW4uSNIZzXgUxU7Q=</DigestValue>
    </Reference>
  </SignedInfo>
  <SignatureValue>xGB2aV3myoFnEF0o7VCSvDIJ37eB0UxHsOccQcdDqb8MK6GF5ns8MVD5WuGrIh5nviumSOybIM1x
9F/iopQ3YA/TAoqGTseSkzbHVUISjaynpRLBQxIkqgsPgU5NU+IUnN/ug4Awxe3Lq4bZO3e9C6Lg
2Iyct3lMkF0jkqSf0BlKuflqAA4VKmQg1Eh4UZi3U5VgLZenxiApxjguc80owZnLVYSvqoQqIseu
dHDFXTkOPd4TKgFFdn8oCZJ+nKFoAOO7LLY7cG+R9NWmCEvhxPuy4TNGW/B7tea2eE3H1lXxmRcq
j/0V51lQU3x3oR3o/37LojXFnJHSut8P8QEG9g==</SignatureValue>
  <KeyInfo>
    <X509Data>
      <X509Certificate>MIIGRjCCBS6gAwIBAgIKFVhBgwACAAFL+zANBgkqhkiG9w0BAQsFADBKMRIwEAYKCZImiZPyLGQBGRYCZ2UxEzARBgoJkiaJk/IsZAEZFgNuYmcxHzAdBgNVBAMTFk5CRyBDbGFzcyAyIElOVCBTdWIgQ0EwHhcNMTkwOTA0MTMyODU4WhcNMjEwOTAzMTMyODU4WjBEMR8wHQYDVQQKExZGSU5DQSBCYW5rIEdlb3JnaWEgSlNDMSEwHwYDVQQDExhCRkcgLSBLZXRldmFuIE5hZGliYWlkemUwggEiMA0GCSqGSIb3DQEBAQUAA4IBDwAwggEKAoIBAQDQVifuSBYXCawYbOuKRkphcYwSIdn5/h2IktUzUIHk0q15sEk6n/XWIUKLsb1aNsrNRLft5RFlVEbo9sqV54OWwAEVM9r+K0o951Eyo+be2fOiuUppOGlKUAB47XmTJ1c6IEB3dJx4rd3SYqnvQvRqUESRIVoPveeebOfoIiGo5AsNFYk6pGcjuOekZ8bbCyDm6CDl9Htz88qXUaAWfLuId+Iq/UEmcdNq9xjDRMQ6FMyjem2okOzcYRw++rjFFQIHH+L2UvS9Em24S8RemX+63KxSL0+MJKxJfjd3rMJzaL+RWHDkWlv4AixtiH5eIh3iBUBcGYFnaxKSaXLIMrNzAgMBAAGjggMyMIIDLjA8BgkrBgEEAYI3FQcELzAtBiUrBgEEAYI3FQjmsmCDjfVEhoGZCYO4oUqDvoRxBIPEkTOEg4hdAgFkAgEjMB0GA1UdJQQWMBQGCCsGAQUFBwMCBggrBgEFBQcDBDALBgNVHQ8EBAMCB4AwJwYJKwYBBAGCNxUKBBowGDAKBggrBgEFBQcDAjAKBggrBgEFBQcDBDAdBgNVHQ4EFgQUbF++4gXLDrTonbV4FPqor/icKaE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yKS5jcnQwDQYJKoZIhvcNAQELBQADggEBADhPRJVJfkiiPpNecHLshkMgiNlVYfZa5OmZKzKX1aG248JLW+MpgmXUn0VM6vwpkJgSttarJZuRsw7jQvHKCQLmgLWFnaYyeXsmpb0UQxEySz0/bnq31qmKp4IORBT00d1orUWVQ0j1KUS5hSPBi3+UILKnPn9tHvifcc5r4z263X3BK90SS45E1VDPcdNwsC/6IUUwSjnMysVKPUCeqLQCXdKdn61Nkzrkgu6gWjhzjoZOsxVJ/hRXNQz1oMCYT06bi+3XhSKInDTrDE8ai4QUXnTGrFeSpRAoTv9ftAtRb+uecjW41aVbtVvVtFT+3yN1x+fsR1r3LeSz1kgyCc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C7dyIqpRgtiAzJMvj0538YfjycRWRYfPvMKPR7Qxllg=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NLMWUjMjc/ZLddocUDMUKKSxlzoz7N6qnMEhXPte/ME=</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wMvF8i/ip9QhCP14nEaQtYiYHR3Ud1yrH45bx9HEahw=</DigestValue>
      </Reference>
      <Reference URI="/xl/styles.xml?ContentType=application/vnd.openxmlformats-officedocument.spreadsheetml.styles+xml">
        <DigestMethod Algorithm="http://www.w3.org/2001/04/xmlenc#sha256"/>
        <DigestValue>MPNkdCqyNMS9k0bSoXa1kKHsWDw1JhTKCw5zH0kRb0s=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KF1vjPP9+lRMxO/FXVSLYcWPbDcBJPNMnprybzlbuVM=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ypKdyAlWx0MU8nSThrtCEn6gpa7BSVyb7n5zSE5C4P8=</DigestValue>
      </Reference>
      <Reference URI="/xl/worksheets/sheet10.xml?ContentType=application/vnd.openxmlformats-officedocument.spreadsheetml.worksheet+xml">
        <DigestMethod Algorithm="http://www.w3.org/2001/04/xmlenc#sha256"/>
        <DigestValue>Yk3fpvT9kKGXg1i1OoIQp+2omlrn3Oc8YiN1/oKhUKs=</DigestValue>
      </Reference>
      <Reference URI="/xl/worksheets/sheet11.xml?ContentType=application/vnd.openxmlformats-officedocument.spreadsheetml.worksheet+xml">
        <DigestMethod Algorithm="http://www.w3.org/2001/04/xmlenc#sha256"/>
        <DigestValue>jABoO9a7Sz+jo5+TyN/S454BOBjHSOfsvXkx2w1VogM=</DigestValue>
      </Reference>
      <Reference URI="/xl/worksheets/sheet12.xml?ContentType=application/vnd.openxmlformats-officedocument.spreadsheetml.worksheet+xml">
        <DigestMethod Algorithm="http://www.w3.org/2001/04/xmlenc#sha256"/>
        <DigestValue>8HYhI30Gu0SieUQMFsyvjnWA/1mmJXBVzx+SlzyLzkE=</DigestValue>
      </Reference>
      <Reference URI="/xl/worksheets/sheet13.xml?ContentType=application/vnd.openxmlformats-officedocument.spreadsheetml.worksheet+xml">
        <DigestMethod Algorithm="http://www.w3.org/2001/04/xmlenc#sha256"/>
        <DigestValue>rd4hp6cOGilfILtDkAul2m0b2ZpOo49DqJ+LKD1zt8E=</DigestValue>
      </Reference>
      <Reference URI="/xl/worksheets/sheet14.xml?ContentType=application/vnd.openxmlformats-officedocument.spreadsheetml.worksheet+xml">
        <DigestMethod Algorithm="http://www.w3.org/2001/04/xmlenc#sha256"/>
        <DigestValue>/i0xglBHEZzWcUqYa3I7tKb7ci/OzqI/9ag/NVJZE1I=</DigestValue>
      </Reference>
      <Reference URI="/xl/worksheets/sheet15.xml?ContentType=application/vnd.openxmlformats-officedocument.spreadsheetml.worksheet+xml">
        <DigestMethod Algorithm="http://www.w3.org/2001/04/xmlenc#sha256"/>
        <DigestValue>oqt8G5Jk1n3AX0tVfovpEoLgs5X2of575F2K1Bt76qM=</DigestValue>
      </Reference>
      <Reference URI="/xl/worksheets/sheet16.xml?ContentType=application/vnd.openxmlformats-officedocument.spreadsheetml.worksheet+xml">
        <DigestMethod Algorithm="http://www.w3.org/2001/04/xmlenc#sha256"/>
        <DigestValue>IfbLJdkVvd/sanoetkEI413LQH2uQwYb4JVFnNdGICI=</DigestValue>
      </Reference>
      <Reference URI="/xl/worksheets/sheet17.xml?ContentType=application/vnd.openxmlformats-officedocument.spreadsheetml.worksheet+xml">
        <DigestMethod Algorithm="http://www.w3.org/2001/04/xmlenc#sha256"/>
        <DigestValue>1DhJ07cwD6R0z0JWr/10PfkeEnLtCkOs9HWsiYERYNw=</DigestValue>
      </Reference>
      <Reference URI="/xl/worksheets/sheet18.xml?ContentType=application/vnd.openxmlformats-officedocument.spreadsheetml.worksheet+xml">
        <DigestMethod Algorithm="http://www.w3.org/2001/04/xmlenc#sha256"/>
        <DigestValue>9GOTs9OSZ/asRSWtDvRTSz7y9kztXUyubB+IYoz/jiM=</DigestValue>
      </Reference>
      <Reference URI="/xl/worksheets/sheet2.xml?ContentType=application/vnd.openxmlformats-officedocument.spreadsheetml.worksheet+xml">
        <DigestMethod Algorithm="http://www.w3.org/2001/04/xmlenc#sha256"/>
        <DigestValue>kImgmmZOy5KZC+amYqIUHTYxgkFlI1An4HGHCi5eMl8=</DigestValue>
      </Reference>
      <Reference URI="/xl/worksheets/sheet3.xml?ContentType=application/vnd.openxmlformats-officedocument.spreadsheetml.worksheet+xml">
        <DigestMethod Algorithm="http://www.w3.org/2001/04/xmlenc#sha256"/>
        <DigestValue>wGh863n0gSGX/9C0audnIqaf9nwpA6LIGpHMaTpTQ00=</DigestValue>
      </Reference>
      <Reference URI="/xl/worksheets/sheet4.xml?ContentType=application/vnd.openxmlformats-officedocument.spreadsheetml.worksheet+xml">
        <DigestMethod Algorithm="http://www.w3.org/2001/04/xmlenc#sha256"/>
        <DigestValue>bPLbGOsEKOwxo4VhAhYxBH91xmA2JP4Ipx79ClTKhOg=</DigestValue>
      </Reference>
      <Reference URI="/xl/worksheets/sheet5.xml?ContentType=application/vnd.openxmlformats-officedocument.spreadsheetml.worksheet+xml">
        <DigestMethod Algorithm="http://www.w3.org/2001/04/xmlenc#sha256"/>
        <DigestValue>h+/yANSuwQWke0gqQk4c8v22YZf00xfXbYqpvMRSyoM=</DigestValue>
      </Reference>
      <Reference URI="/xl/worksheets/sheet6.xml?ContentType=application/vnd.openxmlformats-officedocument.spreadsheetml.worksheet+xml">
        <DigestMethod Algorithm="http://www.w3.org/2001/04/xmlenc#sha256"/>
        <DigestValue>YyAdgN4WC1KDSVrBx3tB9n9LhLAewUOjUj7UMl7TjCg=</DigestValue>
      </Reference>
      <Reference URI="/xl/worksheets/sheet7.xml?ContentType=application/vnd.openxmlformats-officedocument.spreadsheetml.worksheet+xml">
        <DigestMethod Algorithm="http://www.w3.org/2001/04/xmlenc#sha256"/>
        <DigestValue>aWsdOnP/P9AM+l94d2KsjDoEWiBJQ4Bl27rSyzHO86s=</DigestValue>
      </Reference>
      <Reference URI="/xl/worksheets/sheet8.xml?ContentType=application/vnd.openxmlformats-officedocument.spreadsheetml.worksheet+xml">
        <DigestMethod Algorithm="http://www.w3.org/2001/04/xmlenc#sha256"/>
        <DigestValue>LDD5v4LzsH3mYa1Ysjgp0sd9zyAAAKgztS2yG/IQd1M=</DigestValue>
      </Reference>
      <Reference URI="/xl/worksheets/sheet9.xml?ContentType=application/vnd.openxmlformats-officedocument.spreadsheetml.worksheet+xml">
        <DigestMethod Algorithm="http://www.w3.org/2001/04/xmlenc#sha256"/>
        <DigestValue>4dffjhAS6ApxAvhoE6d7OfPKw4QcVAgOlivsbXjh9Z4=</DigestValue>
      </Reference>
    </Manifest>
    <SignatureProperties>
      <SignatureProperty Id="idSignatureTime" Target="#idPackageSignature">
        <mdssi:SignatureTime xmlns:mdssi="http://schemas.openxmlformats.org/package/2006/digital-signature">
          <mdssi:Format>YYYY-MM-DDThh:mm:ssTZD</mdssi:Format>
          <mdssi:Value>2021-05-04T14:20:08Z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2021-05-04T14:20:08Z</xd:SigningTime>
          <xd:SigningCertificate>
            <xd:Cert>
              <xd:CertDigest>
                <DigestMethod Algorithm="http://www.w3.org/2001/04/xmlenc#sha256"/>
                <DigestValue>CHFjBRPokXhwBXXrHfvm6Ei+LbO34U691gNCRqo1y2Y=</DigestValue>
              </xd:CertDigest>
              <xd:IssuerSerial>
                <X509IssuerName>CN=NBG Class 2 INT Sub CA, DC=nbg, DC=ge</X509IssuerName>
                <X509SerialNumber>100797730235591994461179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KG9zEQcA6Xlb5rBjGNngiTMZ2vRJoqOxwkfxN2F9jaM=</DigestValue>
    </Reference>
    <Reference Type="http://www.w3.org/2000/09/xmldsig#Object" URI="#idOfficeObject">
      <DigestMethod Algorithm="http://www.w3.org/2001/04/xmlenc#sha256"/>
      <DigestValue>sW81/Zu03QzywcALZxAPHTt0npjGtrBW2DfBh5ABmlA=</DigestValue>
    </Reference>
    <Reference Type="http://uri.etsi.org/01903#SignedProperties" URI="#idSignedProperties">
      <Transforms>
        <Transform Algorithm="http://www.w3.org/TR/2001/REC-xml-c14n-20010315"/>
      </Transforms>
      <DigestMethod Algorithm="http://www.w3.org/2001/04/xmlenc#sha256"/>
      <DigestValue>xClsXoFqkXhBTocJXD2Nejyf5oKpTIS+tbjpUBgpnSM=</DigestValue>
    </Reference>
  </SignedInfo>
  <SignatureValue>GNsndg8F63t+dgS/bzh1e8H8DgchMSu2JN+39I5gnwNvvEBcGcEbp20cZWamqPTlb73tAwKMuFcK
1WlBiqTxRSv/nQ0soEtXHTcaH265S/MOcgnKI3mTOTpyTrDmSsJ+/2LTmLkKu1zfcw19etBHALjD
xgScQ0BNZ0JrTxMiENxJfliz17gPEXjO9ZH7gCYz05yxNhW9sxl4kpR4BTYgwvcz/67F10oIsqex
2gINLN0n+0jE5zRg1kzJ+sXyVFDBB6pxVxyD24rbEHgEGP76b0JO53gBl1YNpXWOXd8gervvjEy2
AOm3wzx/hHRKIOtEFn1sQ/Svhv2EBK6enWVRjA==</SignatureValue>
  <KeyInfo>
    <X509Data>
      <X509Certificate>MIIGQjCCBSqgAwIBAgIKFVxw/AACAAFL/DANBgkqhkiG9w0BAQsFADBKMRIwEAYKCZImiZPyLGQBGRYCZ2UxEzARBgoJkiaJk/IsZAEZFgNuYmcxHzAdBgNVBAMTFk5CRyBDbGFzcyAyIElOVCBTdWIgQ0EwHhcNMTkwOTA0MTMzMzMyWhcNMjEwOTAzMTMzMzMyWjBAMR8wHQYDVQQKExZGSU5DQSBCYW5rIEdlb3JnaWEgSlNDMR0wGwYDVQQDExRCRkcgLSBBbmkgRGlhc2FtaWR6ZTCCASIwDQYJKoZIhvcNAQEBBQADggEPADCCAQoCggEBAN7U7W2Fcw7aW0uEkN2S+k5vqqDfEVd1rVe63jvFX+HqlKV4LCqplSZyNeV6r0406cIZjmEHbBoqFqxG5PGLtQIE2WdlAJL9ag/NKpOJ+xUM/SnND+DsQFN0AEsAn2e/PSK7DJZGgleM+muo94eYbmdPIeUuLN0z+2r+Q7Zeksx88tWFKt/kwPEA/qmMlt2I4WOSn5PiaIZmKHlbEd3QrWcNwSODJvcAjgZGpjvursPbcCofDvDoYJC44nUlpe6rD/7+14TQ/KBKwvtXlwpmND8aydBpxvKCbrWXHb1l0pY4OKsFkmUdRpDCMHOS9HTdnXHS+ePUm1X9oX8OfJrh5mcCAwEAAaOCAzIwggMuMDwGCSsGAQQBgjcVBwQvMC0GJSsGAQQBgjcVCOayYION9USGgZkJg7ihSoO+hHEEg8SRM4SDiF0CAWQCASMwHQYDVR0lBBYwFAYIKwYBBQUHAwIGCCsGAQUFBwMEMAsGA1UdDwQEAwIHgDAnBgkrBgEEAYI3FQoEGjAYMAoGCCsGAQUFBwMCMAoGCCsGAQUFBwMEMB0GA1UdDgQWBBTIOxgTFIgz5eRnDWNWSqPTa4ll+D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lUNB1qdmdJ/ms8oW2DFZZawyM1s7WBHFcbL2d+hE+RdZcLb6MkVn5f2d516RFV5TTbLexl9+hgbT2PMAcDELZzyWqRvd1o7auFG/jB2VqOfvOe9t6wPcsyDaqzpiP50z/lKqmQbLMifdSpO0RkknZNlNzv4IwDCiR6E0v49kwInR8im0BF+S3uPBhQAeHWxr0gVquUIeFHlKaqU7JA221tGnw+uzmw3G0c9sSrJNG4MrdVG2Ac3Lju+1XuJwlgNRQT1mGxhy5zd+Lf5+2JHH6MLc0qPH5NV29/MNPwOdNwjoWpIscxL/gnXOpXv2pbYZF7t5MU+CqBuqDR2T4cgXd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21"/>
          </Transform>
          <Transform Algorithm="http://www.w3.org/TR/2001/REC-xml-c14n-20010315"/>
        </Transforms>
        <DigestMethod Algorithm="http://www.w3.org/2001/04/xmlenc#sha256"/>
        <DigestValue>675qxKD1a87GfzjVx8tuTdCVD1T7a1FzAaZmYJ4Pyos=</DigestValue>
      </Reference>
      <Reference URI="/xl/calcChain.xml?ContentType=application/vnd.openxmlformats-officedocument.spreadsheetml.calcChain+xml">
        <DigestMethod Algorithm="http://www.w3.org/2001/04/xmlenc#sha256"/>
        <DigestValue>C7dyIqpRgtiAzJMvj0538YfjycRWRYfPvMKPR7Qxllg=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p15fOjzmBTLGI8Klf+TI4woTVTHX8Q0l14vNf+jwiuE=</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NLMWUjMjc/ZLddocUDMUKKSxlzoz7N6qnMEhXPte/ME=</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wMvF8i/ip9QhCP14nEaQtYiYHR3Ud1yrH45bx9HEahw=</DigestValue>
      </Reference>
      <Reference URI="/xl/styles.xml?ContentType=application/vnd.openxmlformats-officedocument.spreadsheetml.styles+xml">
        <DigestMethod Algorithm="http://www.w3.org/2001/04/xmlenc#sha256"/>
        <DigestValue>MPNkdCqyNMS9k0bSoXa1kKHsWDw1JhTKCw5zH0kRb0s=</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KF1vjPP9+lRMxO/FXVSLYcWPbDcBJPNMnprybzlbuVM=</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ypKdyAlWx0MU8nSThrtCEn6gpa7BSVyb7n5zSE5C4P8=</DigestValue>
      </Reference>
      <Reference URI="/xl/worksheets/sheet10.xml?ContentType=application/vnd.openxmlformats-officedocument.spreadsheetml.worksheet+xml">
        <DigestMethod Algorithm="http://www.w3.org/2001/04/xmlenc#sha256"/>
        <DigestValue>Yk3fpvT9kKGXg1i1OoIQp+2omlrn3Oc8YiN1/oKhUKs=</DigestValue>
      </Reference>
      <Reference URI="/xl/worksheets/sheet11.xml?ContentType=application/vnd.openxmlformats-officedocument.spreadsheetml.worksheet+xml">
        <DigestMethod Algorithm="http://www.w3.org/2001/04/xmlenc#sha256"/>
        <DigestValue>jABoO9a7Sz+jo5+TyN/S454BOBjHSOfsvXkx2w1VogM=</DigestValue>
      </Reference>
      <Reference URI="/xl/worksheets/sheet12.xml?ContentType=application/vnd.openxmlformats-officedocument.spreadsheetml.worksheet+xml">
        <DigestMethod Algorithm="http://www.w3.org/2001/04/xmlenc#sha256"/>
        <DigestValue>8HYhI30Gu0SieUQMFsyvjnWA/1mmJXBVzx+SlzyLzkE=</DigestValue>
      </Reference>
      <Reference URI="/xl/worksheets/sheet13.xml?ContentType=application/vnd.openxmlformats-officedocument.spreadsheetml.worksheet+xml">
        <DigestMethod Algorithm="http://www.w3.org/2001/04/xmlenc#sha256"/>
        <DigestValue>rd4hp6cOGilfILtDkAul2m0b2ZpOo49DqJ+LKD1zt8E=</DigestValue>
      </Reference>
      <Reference URI="/xl/worksheets/sheet14.xml?ContentType=application/vnd.openxmlformats-officedocument.spreadsheetml.worksheet+xml">
        <DigestMethod Algorithm="http://www.w3.org/2001/04/xmlenc#sha256"/>
        <DigestValue>/i0xglBHEZzWcUqYa3I7tKb7ci/OzqI/9ag/NVJZE1I=</DigestValue>
      </Reference>
      <Reference URI="/xl/worksheets/sheet15.xml?ContentType=application/vnd.openxmlformats-officedocument.spreadsheetml.worksheet+xml">
        <DigestMethod Algorithm="http://www.w3.org/2001/04/xmlenc#sha256"/>
        <DigestValue>oqt8G5Jk1n3AX0tVfovpEoLgs5X2of575F2K1Bt76qM=</DigestValue>
      </Reference>
      <Reference URI="/xl/worksheets/sheet16.xml?ContentType=application/vnd.openxmlformats-officedocument.spreadsheetml.worksheet+xml">
        <DigestMethod Algorithm="http://www.w3.org/2001/04/xmlenc#sha256"/>
        <DigestValue>IfbLJdkVvd/sanoetkEI413LQH2uQwYb4JVFnNdGICI=</DigestValue>
      </Reference>
      <Reference URI="/xl/worksheets/sheet17.xml?ContentType=application/vnd.openxmlformats-officedocument.spreadsheetml.worksheet+xml">
        <DigestMethod Algorithm="http://www.w3.org/2001/04/xmlenc#sha256"/>
        <DigestValue>1DhJ07cwD6R0z0JWr/10PfkeEnLtCkOs9HWsiYERYNw=</DigestValue>
      </Reference>
      <Reference URI="/xl/worksheets/sheet18.xml?ContentType=application/vnd.openxmlformats-officedocument.spreadsheetml.worksheet+xml">
        <DigestMethod Algorithm="http://www.w3.org/2001/04/xmlenc#sha256"/>
        <DigestValue>9GOTs9OSZ/asRSWtDvRTSz7y9kztXUyubB+IYoz/jiM=</DigestValue>
      </Reference>
      <Reference URI="/xl/worksheets/sheet2.xml?ContentType=application/vnd.openxmlformats-officedocument.spreadsheetml.worksheet+xml">
        <DigestMethod Algorithm="http://www.w3.org/2001/04/xmlenc#sha256"/>
        <DigestValue>kImgmmZOy5KZC+amYqIUHTYxgkFlI1An4HGHCi5eMl8=</DigestValue>
      </Reference>
      <Reference URI="/xl/worksheets/sheet3.xml?ContentType=application/vnd.openxmlformats-officedocument.spreadsheetml.worksheet+xml">
        <DigestMethod Algorithm="http://www.w3.org/2001/04/xmlenc#sha256"/>
        <DigestValue>wGh863n0gSGX/9C0audnIqaf9nwpA6LIGpHMaTpTQ00=</DigestValue>
      </Reference>
      <Reference URI="/xl/worksheets/sheet4.xml?ContentType=application/vnd.openxmlformats-officedocument.spreadsheetml.worksheet+xml">
        <DigestMethod Algorithm="http://www.w3.org/2001/04/xmlenc#sha256"/>
        <DigestValue>bPLbGOsEKOwxo4VhAhYxBH91xmA2JP4Ipx79ClTKhOg=</DigestValue>
      </Reference>
      <Reference URI="/xl/worksheets/sheet5.xml?ContentType=application/vnd.openxmlformats-officedocument.spreadsheetml.worksheet+xml">
        <DigestMethod Algorithm="http://www.w3.org/2001/04/xmlenc#sha256"/>
        <DigestValue>h+/yANSuwQWke0gqQk4c8v22YZf00xfXbYqpvMRSyoM=</DigestValue>
      </Reference>
      <Reference URI="/xl/worksheets/sheet6.xml?ContentType=application/vnd.openxmlformats-officedocument.spreadsheetml.worksheet+xml">
        <DigestMethod Algorithm="http://www.w3.org/2001/04/xmlenc#sha256"/>
        <DigestValue>YyAdgN4WC1KDSVrBx3tB9n9LhLAewUOjUj7UMl7TjCg=</DigestValue>
      </Reference>
      <Reference URI="/xl/worksheets/sheet7.xml?ContentType=application/vnd.openxmlformats-officedocument.spreadsheetml.worksheet+xml">
        <DigestMethod Algorithm="http://www.w3.org/2001/04/xmlenc#sha256"/>
        <DigestValue>aWsdOnP/P9AM+l94d2KsjDoEWiBJQ4Bl27rSyzHO86s=</DigestValue>
      </Reference>
      <Reference URI="/xl/worksheets/sheet8.xml?ContentType=application/vnd.openxmlformats-officedocument.spreadsheetml.worksheet+xml">
        <DigestMethod Algorithm="http://www.w3.org/2001/04/xmlenc#sha256"/>
        <DigestValue>LDD5v4LzsH3mYa1Ysjgp0sd9zyAAAKgztS2yG/IQd1M=</DigestValue>
      </Reference>
      <Reference URI="/xl/worksheets/sheet9.xml?ContentType=application/vnd.openxmlformats-officedocument.spreadsheetml.worksheet+xml">
        <DigestMethod Algorithm="http://www.w3.org/2001/04/xmlenc#sha256"/>
        <DigestValue>4dffjhAS6ApxAvhoE6d7OfPKw4QcVAgOlivsbXjh9Z4=</DigestValue>
      </Reference>
    </Manifest>
    <SignatureProperties>
      <SignatureProperty Id="idSignatureTime" Target="#idPackageSignature">
        <mdssi:SignatureTime xmlns:mdssi="http://schemas.openxmlformats.org/package/2006/digital-signature">
          <mdssi:Format>YYYY-MM-DDThh:mm:ssTZD</mdssi:Format>
          <mdssi:Value>2021-05-04T14:20:57Z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ციფრული ხელმოწერა</SignatureComments>
          <WindowsVersion>10.0</WindowsVersion>
          <OfficeVersion>16.0.13127/21</OfficeVersion>
          <ApplicationVersion>16.0.13127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2021-05-04T14:20:57Z</xd:SigningTime>
          <xd:SigningCertificate>
            <xd:Cert>
              <xd:CertDigest>
                <DigestMethod Algorithm="http://www.w3.org/2001/04/xmlenc#sha256"/>
                <DigestValue>bFayYOxD8LmHsEsnXjXJPZ7JDF60ZIvEXGY2PqSUhQw=</DigestValue>
              </xd:CertDigest>
              <xd:IssuerSerial>
                <X509IssuerName>CN=NBG Class 2 INT Sub CA, DC=nbg, DC=ge</X509IssuerName>
                <X509SerialNumber>100874937977278797270012</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Qualifiers>
              <xd:CommitmentTypeQualifier>ციფრული ხელმოწერა</xd:CommitmentTypeQualifier>
            </xd:CommitmentTypeQualifiers>
          </xd:CommitmentTypeIndication>
        </xd:SignedDataObject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2021-05-04T14:19:38Z</dcterms:modified>
</cp:coreProperties>
</file>