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defaultThemeVersion="124226"/>
  <xr:revisionPtr revIDLastSave="0" documentId="13_ncr:201_{5CFDFB1A-FA45-44D5-B9E1-FCBEFE65D9DF}" xr6:coauthVersionLast="47" xr6:coauthVersionMax="47" xr10:uidLastSave="{00000000-0000-0000-0000-000000000000}"/>
  <bookViews>
    <workbookView xWindow="-120" yWindow="-120" windowWidth="29040" windowHeight="15840" tabRatio="919" activeTab="10"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acctype">[2]Validation!$C$8:$C$15</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 localSheetId="28">[4]Sheet2!$H$5:$H$31</definedName>
    <definedName name="Sheet">[5]Sheet2!$H$5:$H$31</definedName>
    <definedName name="sub">[2]Validation!$D$8:$D$9</definedName>
    <definedName name="საკრედიტო" localSheetId="28">[4]Sheet2!$B$6:$B$8</definedName>
    <definedName name="საკრედიტო">[5]Sheet2!$B$6:$B$8</definedName>
    <definedName name="ფაილი" localSheetId="28">[4]Sheet2!$B$2:$B$3</definedName>
    <definedName name="ფაილი">[5]Sheet2!$B$2:$B$3</definedName>
    <definedName name="ცვლილება_კორექტირება_რეგულაციაში" localSheetId="28">[4]Sheet2!$K$5:$K$9</definedName>
    <definedName name="ცვლილება_კორექტირება_რეგულაციაში">[5]Sheet2!$K$5:$K$9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77" l="1"/>
  <c r="C20" i="77"/>
  <c r="C19" i="77"/>
  <c r="B2" i="91"/>
  <c r="B2" i="71" l="1"/>
  <c r="H60" i="53" l="1"/>
  <c r="H59" i="53"/>
  <c r="H58" i="53"/>
  <c r="E58" i="53" l="1"/>
  <c r="E59" i="53" l="1"/>
  <c r="E60" i="53"/>
  <c r="C22" i="74" l="1"/>
  <c r="C21" i="82" l="1"/>
  <c r="D22" i="81"/>
  <c r="E22" i="81"/>
  <c r="F22" i="81"/>
  <c r="G22" i="81"/>
  <c r="C22" i="81"/>
  <c r="B3" i="89" l="1"/>
  <c r="B3" i="88"/>
  <c r="B3" i="87"/>
  <c r="B3" i="86"/>
  <c r="B3" i="85"/>
  <c r="B3" i="84"/>
  <c r="B3" i="83"/>
  <c r="B3" i="82"/>
  <c r="B3" i="81"/>
  <c r="C10" i="85" l="1"/>
  <c r="C19" i="85" s="1"/>
  <c r="D12" i="84"/>
  <c r="C12" i="84"/>
  <c r="D7" i="84"/>
  <c r="C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C19" i="84"/>
  <c r="H22" i="81"/>
  <c r="I34" i="83"/>
  <c r="I21" i="82"/>
  <c r="B2" i="80"/>
  <c r="B1" i="80"/>
  <c r="B1" i="81" s="1"/>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37" i="80" l="1"/>
  <c r="G21" i="80"/>
  <c r="B2" i="79"/>
  <c r="B2" i="37"/>
  <c r="B2" i="36"/>
  <c r="B2" i="74"/>
  <c r="B2" i="64"/>
  <c r="B2" i="35"/>
  <c r="B2" i="69"/>
  <c r="B2" i="77"/>
  <c r="B2" i="28"/>
  <c r="B2" i="73"/>
  <c r="B2" i="72"/>
  <c r="B2" i="52"/>
  <c r="B2" i="75"/>
  <c r="B2" i="53"/>
  <c r="B2" i="62"/>
  <c r="G39" i="80" l="1"/>
  <c r="C5" i="6"/>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B1" i="91" l="1"/>
  <c r="B1" i="89"/>
  <c r="B1" i="88"/>
  <c r="B1" i="84"/>
  <c r="B1" i="83"/>
  <c r="B1" i="87"/>
  <c r="B1" i="86"/>
  <c r="B1" i="82"/>
  <c r="B1" i="85"/>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H7" i="37"/>
  <c r="G7" i="37"/>
  <c r="F7" i="37"/>
  <c r="C7" i="37"/>
  <c r="F21" i="37" l="1"/>
  <c r="G21" i="37"/>
  <c r="H21" i="37"/>
  <c r="I21" i="37"/>
  <c r="J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F61" i="53" l="1"/>
  <c r="H61" i="53" s="1"/>
  <c r="C61" i="53"/>
  <c r="E61" i="53" s="1"/>
  <c r="G53" i="53"/>
  <c r="F53" i="53"/>
  <c r="D53" i="53"/>
  <c r="C53" i="53"/>
  <c r="G34" i="53"/>
  <c r="G45" i="53" s="1"/>
  <c r="F34" i="53"/>
  <c r="F45" i="53" s="1"/>
  <c r="F54" i="53" s="1"/>
  <c r="D34" i="53"/>
  <c r="D45" i="53" s="1"/>
  <c r="D54" i="53" s="1"/>
  <c r="C34" i="53"/>
  <c r="C45" i="53" s="1"/>
  <c r="C54" i="53" s="1"/>
  <c r="G54" i="53" l="1"/>
  <c r="G30" i="53"/>
  <c r="F30" i="53"/>
  <c r="D30" i="53"/>
  <c r="C30" i="53"/>
  <c r="G9" i="53"/>
  <c r="G22" i="53" s="1"/>
  <c r="F9" i="53"/>
  <c r="F22" i="53" s="1"/>
  <c r="D9" i="53"/>
  <c r="D22" i="53" s="1"/>
  <c r="C9" i="53"/>
  <c r="C22" i="53" s="1"/>
  <c r="D31" i="62"/>
  <c r="D41" i="62" s="1"/>
  <c r="C31" i="62"/>
  <c r="C41" i="62" s="1"/>
  <c r="C14" i="62"/>
  <c r="C20" i="62" s="1"/>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14" i="62"/>
  <c r="F20" i="62" s="1"/>
  <c r="G14" i="62"/>
  <c r="G20" i="62" s="1"/>
  <c r="D14" i="62"/>
  <c r="D20" i="62" s="1"/>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1" i="62"/>
  <c r="E12" i="62"/>
  <c r="E13" i="62"/>
  <c r="E14" i="62"/>
  <c r="E15" i="62"/>
  <c r="E16" i="62"/>
  <c r="E17" i="62"/>
  <c r="E18" i="62"/>
  <c r="E19" i="62"/>
  <c r="E20" i="62"/>
  <c r="E7" i="62"/>
  <c r="C45" i="69" l="1"/>
  <c r="C37" i="69"/>
  <c r="C25" i="69"/>
</calcChain>
</file>

<file path=xl/sharedStrings.xml><?xml version="1.0" encoding="utf-8"?>
<sst xmlns="http://schemas.openxmlformats.org/spreadsheetml/2006/main" count="1168" uniqueCount="764">
  <si>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</si>
  <si>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</si>
  <si>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</si>
  <si>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</si>
  <si>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</si>
  <si>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</si>
  <si>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</si>
  <si>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</si>
  <si>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</si>
  <si>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</si>
  <si>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</si>
  <si>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</si>
  <si>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</si>
  <si>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</si>
  <si>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</si>
  <si>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</si>
  <si>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</si>
  <si>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</si>
  <si>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</si>
  <si>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</si>
  <si>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</si>
  <si>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</si>
  <si>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</si>
  <si>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</si>
  <si>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</si>
  <si>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</si>
  <si>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</si>
  <si>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</si>
  <si>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</si>
  <si>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</si>
  <si>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</si>
  <si>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</si>
  <si>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</si>
  <si>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</si>
  <si>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</si>
  <si>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</si>
  <si>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</si>
  <si>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</si>
  <si>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</si>
  <si>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</si>
  <si>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</si>
  <si>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</si>
  <si>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</si>
  <si>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</si>
  <si>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</si>
  <si>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</si>
  <si>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</si>
  <si>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</si>
  <si>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</si>
  <si>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</si>
  <si>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</si>
  <si>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</si>
  <si>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</si>
  <si>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</si>
  <si>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</si>
  <si>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</si>
  <si>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</si>
  <si>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</si>
  <si>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</si>
  <si>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</si>
  <si>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</si>
  <si>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</si>
  <si>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</si>
  <si>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</si>
  <si>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</si>
  <si>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</si>
  <si>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</si>
  <si>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</si>
  <si>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</si>
  <si>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</si>
  <si>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</si>
  <si>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</si>
  <si>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</si>
  <si>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</si>
  <si>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</si>
  <si>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</si>
  <si>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</si>
  <si>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</si>
  <si>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</si>
  <si>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</si>
  <si>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</si>
  <si>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</si>
  <si>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</si>
  <si>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</si>
  <si>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</si>
  <si>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</si>
  <si>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</si>
  <si>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</si>
  <si>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</si>
  <si>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</si>
  <si>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</si>
  <si>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</si>
  <si>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</si>
  <si>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</si>
  <si>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</si>
  <si>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</si>
  <si>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</si>
  <si>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</si>
  <si>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</si>
  <si>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</si>
  <si>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</si>
  <si>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</si>
  <si>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</si>
  <si>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</si>
  <si>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</si>
  <si>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</si>
  <si>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</si>
  <si>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</si>
  <si>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</si>
  <si>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</si>
  <si>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</si>
  <si>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</si>
  <si>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</si>
  <si>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</si>
  <si>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</si>
  <si>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</si>
  <si>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</si>
  <si>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</si>
  <si>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</si>
  <si>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</si>
  <si>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</si>
  <si>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</si>
  <si>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</si>
  <si>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</si>
  <si>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</si>
  <si>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</si>
  <si>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</si>
  <si>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</si>
  <si>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</si>
  <si>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</si>
  <si>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</si>
  <si>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</si>
  <si>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</si>
  <si>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</si>
  <si>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</si>
  <si>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</si>
  <si>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</si>
  <si>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</si>
  <si>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</si>
  <si>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</si>
  <si>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</si>
  <si>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</si>
  <si>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</si>
  <si>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</si>
  <si>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</si>
  <si>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</si>
  <si>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</si>
  <si>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</si>
  <si>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</si>
  <si>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</si>
  <si>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</si>
  <si>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</si>
  <si>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</si>
  <si>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</si>
  <si>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</si>
  <si>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</si>
  <si>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</si>
  <si>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</si>
  <si>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</si>
  <si>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</si>
  <si>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</si>
  <si>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</si>
  <si>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</si>
  <si>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</si>
  <si>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</si>
  <si>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</si>
  <si>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</si>
  <si>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</si>
  <si>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</si>
  <si>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</si>
  <si>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</si>
  <si>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</si>
  <si>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</si>
  <si>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</si>
  <si>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</si>
  <si>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</si>
  <si>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</si>
  <si>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</si>
  <si>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</si>
  <si>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</si>
  <si>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</si>
  <si>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</si>
  <si>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</si>
  <si>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</si>
  <si>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</si>
  <si>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</si>
  <si>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</si>
  <si>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</si>
  <si>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</si>
  <si>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</si>
  <si>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</si>
  <si>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</si>
  <si>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</si>
  <si>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</si>
  <si>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</si>
  <si>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</si>
  <si>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</si>
  <si>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</si>
  <si>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</si>
  <si>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</si>
  <si>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</si>
  <si>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</si>
  <si>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</si>
  <si>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</si>
  <si>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</si>
  <si>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</si>
  <si>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</si>
  <si>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</si>
  <si>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</si>
  <si>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</si>
  <si>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</si>
  <si>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</si>
  <si>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</si>
  <si>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</si>
  <si>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</si>
  <si>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</si>
  <si>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</si>
  <si>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</si>
  <si>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</si>
  <si>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</si>
  <si>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</si>
  <si>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</si>
  <si>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</si>
  <si>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</si>
  <si>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</si>
  <si>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</si>
  <si>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</si>
  <si>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</si>
  <si>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</si>
  <si>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</si>
  <si>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</si>
  <si>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</si>
  <si>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</si>
  <si>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</si>
  <si>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</si>
  <si>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</si>
  <si>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</si>
  <si>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</si>
  <si>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</si>
  <si>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</si>
  <si>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</si>
  <si>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</si>
  <si>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</si>
  <si>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</si>
  <si>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</si>
  <si>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</si>
  <si>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</si>
  <si>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</si>
  <si>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</si>
  <si>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</si>
  <si>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</si>
  <si>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</si>
  <si>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</si>
  <si>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</si>
  <si>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</si>
  <si>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</si>
  <si>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</si>
  <si>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</si>
  <si>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</si>
  <si>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</si>
  <si>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</si>
  <si>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</si>
  <si>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</si>
  <si>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</si>
  <si>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</si>
  <si>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</si>
  <si>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</si>
  <si>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</si>
  <si>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</si>
  <si>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</si>
  <si>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</si>
  <si>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</si>
  <si>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</si>
  <si>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</si>
  <si>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</si>
  <si>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</si>
  <si>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</si>
  <si>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</si>
  <si>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</si>
  <si>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</si>
  <si>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</si>
  <si>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</si>
  <si>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</si>
  <si>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</si>
  <si>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</si>
  <si>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</si>
  <si>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</si>
  <si>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</si>
  <si>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</si>
  <si>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</si>
  <si>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</si>
  <si>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</si>
  <si>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</si>
  <si>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</si>
  <si>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</si>
  <si>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</si>
  <si>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</si>
  <si>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</si>
  <si>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</si>
  <si>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</si>
  <si>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</si>
  <si>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</si>
  <si>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</si>
  <si>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</si>
  <si>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</si>
  <si>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</si>
  <si>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</si>
  <si>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</si>
  <si>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</si>
  <si>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</si>
  <si>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</si>
  <si>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</si>
  <si>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</si>
  <si>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</si>
  <si>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</si>
  <si>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</si>
  <si>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</si>
  <si>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</si>
  <si>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</si>
  <si>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</si>
  <si>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</si>
  <si>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</si>
  <si>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</si>
  <si>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</si>
  <si>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</si>
  <si>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</si>
  <si>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</si>
  <si>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</si>
  <si>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</si>
  <si>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</si>
  <si>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</si>
  <si>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</si>
  <si>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</si>
  <si>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</si>
  <si>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</si>
  <si>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</si>
  <si>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</si>
  <si>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</si>
  <si>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</si>
  <si>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</si>
  <si>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</si>
  <si>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</si>
  <si>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</si>
  <si>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</si>
  <si>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</si>
  <si>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</si>
  <si>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</si>
  <si>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</si>
  <si>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</si>
  <si>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</si>
  <si>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</si>
  <si>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</si>
  <si>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</si>
  <si>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</si>
  <si>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</si>
  <si>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</si>
  <si>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</si>
  <si>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</si>
  <si>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</si>
  <si>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</si>
  <si>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</si>
  <si>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</si>
  <si>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</si>
  <si>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</si>
  <si>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</si>
  <si>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</si>
  <si>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</si>
  <si>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</si>
  <si>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</si>
  <si>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</si>
  <si>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</si>
  <si>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</si>
  <si>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</si>
  <si>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</si>
  <si>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</si>
  <si>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</si>
  <si>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</si>
  <si>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</si>
  <si>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</si>
  <si>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</si>
  <si>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</si>
  <si>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</si>
  <si>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</si>
  <si>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</si>
  <si>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</si>
  <si>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</si>
  <si>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</si>
  <si>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</si>
  <si>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</si>
  <si>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</si>
  <si>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</si>
  <si>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</si>
  <si>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</si>
  <si>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</si>
  <si>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</si>
  <si>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</si>
  <si>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</si>
  <si>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</si>
  <si>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</si>
  <si>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</si>
  <si>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</si>
  <si>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</si>
  <si>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</si>
  <si>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</si>
  <si>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</si>
  <si>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</si>
  <si>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</si>
  <si>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</si>
  <si>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</si>
  <si>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</si>
  <si>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</si>
  <si>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</si>
  <si>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</si>
  <si>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</si>
  <si>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</si>
  <si>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</si>
  <si>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</si>
  <si>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</si>
  <si>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</si>
  <si>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</si>
  <si>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</si>
  <si>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</si>
  <si>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</si>
  <si>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</si>
  <si>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</si>
  <si>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</si>
  <si>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</si>
  <si>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</si>
  <si>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</si>
  <si>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</si>
  <si>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</si>
  <si>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</si>
  <si>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</si>
  <si>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</si>
  <si>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</si>
  <si>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</si>
  <si>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</si>
  <si>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</si>
  <si>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</si>
  <si>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</si>
  <si>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</si>
  <si>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</si>
  <si>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</si>
  <si>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</si>
  <si>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</si>
  <si>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</si>
  <si>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</si>
  <si>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</si>
  <si>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</si>
  <si>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</si>
  <si>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</si>
  <si>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</si>
  <si>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</si>
  <si>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</si>
  <si>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</si>
  <si>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</si>
  <si>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</si>
  <si>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</si>
  <si>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</si>
  <si>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</si>
  <si>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</si>
  <si>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</si>
  <si>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</si>
  <si>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</si>
  <si>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</si>
  <si>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</si>
  <si>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</si>
  <si>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</si>
  <si>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</si>
  <si>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</si>
  <si>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</si>
  <si>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</si>
  <si>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</si>
  <si>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</si>
  <si>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</si>
  <si>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</si>
  <si>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</si>
  <si>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</si>
  <si>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</si>
  <si>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</si>
  <si>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</si>
  <si>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</si>
  <si>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</si>
  <si>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</si>
  <si>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</si>
  <si>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</si>
  <si>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</si>
  <si>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</si>
  <si>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</si>
  <si>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</si>
  <si>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</si>
  <si>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</si>
  <si>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</si>
  <si>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</si>
  <si>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</si>
  <si>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</si>
  <si>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</si>
  <si>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</si>
  <si>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</si>
  <si>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</si>
  <si>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</si>
  <si>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</si>
  <si>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</si>
  <si>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</si>
  <si>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</si>
  <si>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</si>
  <si>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</si>
  <si>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</si>
  <si>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</si>
  <si>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</si>
  <si>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</si>
  <si>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</si>
  <si>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</si>
  <si>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</si>
  <si>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</si>
  <si>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</si>
  <si>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</si>
  <si>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</si>
  <si>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</si>
  <si>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</si>
  <si>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</si>
  <si>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</si>
  <si>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</si>
  <si>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</si>
  <si>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</si>
  <si>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</si>
  <si>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</si>
  <si>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</si>
  <si>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</si>
  <si>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</si>
  <si>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</si>
  <si>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</si>
  <si>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</si>
  <si>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</si>
  <si>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</si>
  <si>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</si>
  <si>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</si>
  <si>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</si>
  <si>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</si>
  <si>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</si>
  <si>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</si>
  <si>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</si>
  <si>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</si>
  <si>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</si>
  <si>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</si>
  <si>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</si>
  <si>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</si>
  <si>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</si>
  <si>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</si>
  <si>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</si>
  <si>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</si>
  <si>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</si>
  <si>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</si>
  <si>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</si>
  <si>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</si>
  <si>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</si>
  <si>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</si>
  <si>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</si>
  <si>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</si>
  <si>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</si>
  <si>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</si>
  <si>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</si>
  <si>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</si>
  <si>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</si>
  <si>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</si>
  <si>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</si>
  <si>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</si>
  <si>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</si>
  <si>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</si>
  <si>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</si>
  <si>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</si>
  <si>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</si>
  <si>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</si>
  <si>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</si>
  <si>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</si>
  <si>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</si>
  <si>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</si>
  <si>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</si>
  <si>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</si>
  <si>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</si>
  <si>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</si>
  <si>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</si>
  <si>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</si>
  <si>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</si>
  <si>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</si>
  <si>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</si>
  <si>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</si>
  <si>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</si>
  <si>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</si>
  <si>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</si>
  <si>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</si>
  <si>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</si>
  <si>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</si>
  <si>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</si>
  <si>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</si>
  <si>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</si>
  <si>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</si>
  <si>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</si>
  <si>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</si>
  <si>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</si>
  <si>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</si>
  <si>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</si>
  <si>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</si>
  <si>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</si>
  <si>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</si>
  <si>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</si>
  <si>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</si>
  <si>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</si>
  <si>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</si>
  <si>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</si>
  <si>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</si>
  <si>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</si>
  <si>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</si>
  <si>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</si>
  <si>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</si>
  <si>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</si>
  <si>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</si>
  <si>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</si>
  <si>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</si>
  <si>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</si>
  <si>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</si>
  <si>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</si>
  <si>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</si>
  <si>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</si>
  <si>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</si>
  <si>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</si>
  <si>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</si>
  <si>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</si>
  <si>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</si>
  <si>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</si>
  <si>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</si>
  <si>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</si>
  <si>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</si>
  <si>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</si>
  <si>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</si>
  <si>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</si>
  <si>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</si>
  <si>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</si>
  <si>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</si>
  <si>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</si>
  <si>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</si>
  <si>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</si>
  <si>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</si>
  <si>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</si>
  <si>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</si>
  <si>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</si>
  <si>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</si>
  <si>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</si>
  <si>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</si>
  <si>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</si>
  <si>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</si>
  <si>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</si>
  <si>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</si>
  <si>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</si>
  <si>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</si>
  <si>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</si>
  <si>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</si>
  <si>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</si>
  <si>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</si>
  <si>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</si>
  <si>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</si>
  <si>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</si>
  <si>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</si>
  <si>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</si>
  <si>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</si>
  <si>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</si>
  <si>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</si>
  <si>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</si>
  <si>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</si>
  <si>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</si>
  <si>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</si>
  <si>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</si>
  <si>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</si>
  <si>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</si>
  <si>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</si>
  <si>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</si>
  <si>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</si>
  <si>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</si>
  <si>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</si>
  <si>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</si>
  <si>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</si>
  <si>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</si>
  <si>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</si>
  <si>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</si>
  <si>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</si>
  <si>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</si>
  <si>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</si>
  <si>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</si>
  <si>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</si>
  <si>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</si>
  <si>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</si>
  <si>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</si>
  <si>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</si>
  <si>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</si>
  <si>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</si>
  <si>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</si>
  <si>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</si>
  <si>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</si>
  <si>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</si>
  <si>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</si>
  <si>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</si>
  <si>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</si>
  <si>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</si>
  <si>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</si>
  <si>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</si>
  <si>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</si>
  <si>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</si>
  <si>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</si>
  <si>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</si>
  <si>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</si>
  <si>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</si>
  <si>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</si>
  <si>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</si>
  <si>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</si>
  <si>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ს.ს. "ტერაბანკი"</t>
  </si>
  <si>
    <t>შეიხი ნაჰაიან მაბარაკ ალ ნაჰაიანი</t>
  </si>
  <si>
    <t>თეა ლორთქიფანიძე</t>
  </si>
  <si>
    <t>www.terabank.ge</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</si>
  <si>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</si>
  <si>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</si>
  <si>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</si>
  <si>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</si>
  <si>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</si>
  <si>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</si>
  <si>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</si>
  <si>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</si>
  <si>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</si>
  <si>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</si>
  <si>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</si>
  <si>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</si>
  <si>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</si>
  <si>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</si>
  <si>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</si>
  <si>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</si>
  <si>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</si>
  <si>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</si>
  <si>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</si>
  <si>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</si>
  <si>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</si>
  <si>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</si>
  <si>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</si>
  <si>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</si>
  <si>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</si>
  <si>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</si>
  <si>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აბჰიჯით ჩოუდური</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</si>
  <si>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</si>
  <si>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</si>
  <si>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</si>
  <si>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</si>
  <si>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</si>
  <si>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</si>
  <si>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</si>
  <si>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</si>
  <si>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</si>
  <si>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</si>
  <si>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</si>
  <si>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</si>
  <si>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</si>
  <si>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</si>
  <si>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</si>
  <si>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</si>
  <si>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</si>
  <si>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</si>
  <si>
    <t>კაპიტალის კონსერვაციის ბუფერი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</si>
</sst>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0"/>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9"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88" fontId="2" fillId="70" borderId="88" applyFont="0">
      <alignment horizontal="right" vertical="center"/>
    </xf>
    <xf numFmtId="3" fontId="2" fillId="70" borderId="88" applyFont="0">
      <alignment horizontal="right" vertical="center"/>
    </xf>
    <xf numFmtId="0" fontId="85"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9"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3" fontId="2" fillId="72" borderId="88" applyFont="0">
      <alignment horizontal="right" vertical="center"/>
      <protection locked="0"/>
    </xf>
    <xf numFmtId="0" fontId="68"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9"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4" fillId="70" borderId="89" applyFont="0" applyBorder="0">
      <alignment horizontal="center" wrapText="1"/>
    </xf>
    <xf numFmtId="168" fontId="56" fillId="0" borderId="86">
      <alignment horizontal="left" vertical="center"/>
    </xf>
    <xf numFmtId="0" fontId="56" fillId="0" borderId="86">
      <alignment horizontal="left" vertical="center"/>
    </xf>
    <xf numFmtId="0" fontId="56" fillId="0" borderId="86">
      <alignment horizontal="left" vertical="center"/>
    </xf>
    <xf numFmtId="0" fontId="2" fillId="69" borderId="88" applyNumberFormat="0" applyFont="0" applyBorder="0" applyProtection="0">
      <alignment horizontal="center" vertical="center"/>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40"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9"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30">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36" borderId="17" xfId="0" applyNumberFormat="1" applyFont="1" applyFill="1" applyBorder="1" applyAlignment="1">
      <alignment vertical="center"/>
    </xf>
    <xf numFmtId="193" fontId="24" fillId="36" borderId="64" xfId="0" applyNumberFormat="1" applyFont="1" applyFill="1" applyBorder="1" applyAlignment="1">
      <alignment vertical="center"/>
    </xf>
    <xf numFmtId="193" fontId="4" fillId="36" borderId="2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9" fillId="0" borderId="3" xfId="1"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4" fillId="0" borderId="23" xfId="0" applyNumberFormat="1" applyFont="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1" xfId="20" applyBorder="1"/>
    <xf numFmtId="0" fontId="4" fillId="0" borderId="7" xfId="0" applyFont="1" applyBorder="1" applyAlignment="1">
      <alignment vertical="center"/>
    </xf>
    <xf numFmtId="0" fontId="4" fillId="0" borderId="88" xfId="0" applyFont="1" applyBorder="1" applyAlignment="1">
      <alignment vertical="center"/>
    </xf>
    <xf numFmtId="0" fontId="6" fillId="0" borderId="88" xfId="0" applyFont="1" applyBorder="1" applyAlignment="1">
      <alignment vertical="center"/>
    </xf>
    <xf numFmtId="0" fontId="4" fillId="0" borderId="20" xfId="0" applyFont="1" applyBorder="1" applyAlignment="1">
      <alignment vertical="center"/>
    </xf>
    <xf numFmtId="0" fontId="4" fillId="0" borderId="83" xfId="0" applyFont="1" applyBorder="1" applyAlignment="1">
      <alignment vertical="center"/>
    </xf>
    <xf numFmtId="0" fontId="4" fillId="0" borderId="85" xfId="0" applyFont="1" applyBorder="1" applyAlignment="1">
      <alignment vertical="center"/>
    </xf>
    <xf numFmtId="0" fontId="4" fillId="0" borderId="19"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169" fontId="28" fillId="37" borderId="34" xfId="20" applyBorder="1"/>
    <xf numFmtId="169" fontId="28" fillId="37" borderId="100" xfId="20" applyBorder="1"/>
    <xf numFmtId="169" fontId="28" fillId="37" borderId="9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Alignment="1">
      <alignment vertical="center"/>
    </xf>
    <xf numFmtId="0" fontId="4" fillId="0" borderId="78" xfId="0" applyFont="1" applyBorder="1" applyAlignment="1">
      <alignment horizontal="center" vertical="center"/>
    </xf>
    <xf numFmtId="0" fontId="4" fillId="3" borderId="86" xfId="0" applyFont="1" applyFill="1" applyBorder="1" applyAlignment="1">
      <alignment vertical="center"/>
    </xf>
    <xf numFmtId="0" fontId="14" fillId="3" borderId="101" xfId="0" applyFont="1" applyFill="1" applyBorder="1" applyAlignment="1">
      <alignment horizontal="left"/>
    </xf>
    <xf numFmtId="0" fontId="14" fillId="3" borderId="102" xfId="0" applyFont="1" applyFill="1" applyBorder="1" applyAlignment="1">
      <alignment horizontal="left"/>
    </xf>
    <xf numFmtId="0" fontId="4" fillId="0" borderId="88" xfId="0" applyFont="1" applyBorder="1" applyAlignment="1">
      <alignment horizontal="center" vertical="center" wrapText="1"/>
    </xf>
    <xf numFmtId="0" fontId="4" fillId="0" borderId="103" xfId="0" applyFont="1" applyBorder="1" applyAlignment="1">
      <alignment horizontal="center" vertical="center" wrapText="1"/>
    </xf>
    <xf numFmtId="0" fontId="6" fillId="3" borderId="104" xfId="0" applyFont="1" applyFill="1" applyBorder="1" applyAlignment="1">
      <alignment vertical="center"/>
    </xf>
    <xf numFmtId="0" fontId="4" fillId="3" borderId="24" xfId="0" applyFont="1" applyFill="1" applyBorder="1" applyAlignment="1">
      <alignment vertical="center"/>
    </xf>
    <xf numFmtId="0" fontId="4" fillId="0" borderId="105"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67" fontId="4" fillId="0" borderId="88" xfId="0" applyNumberFormat="1" applyFont="1" applyBorder="1" applyAlignment="1">
      <alignment horizontal="center" vertical="center"/>
    </xf>
    <xf numFmtId="167" fontId="4" fillId="0" borderId="103" xfId="0" applyNumberFormat="1" applyFont="1" applyBorder="1" applyAlignment="1">
      <alignment horizontal="center" vertical="center"/>
    </xf>
    <xf numFmtId="167" fontId="14" fillId="0" borderId="88" xfId="0" applyNumberFormat="1" applyFont="1" applyBorder="1" applyAlignment="1">
      <alignment horizontal="center" vertical="center"/>
    </xf>
    <xf numFmtId="0" fontId="14" fillId="0" borderId="87" xfId="0" applyFont="1" applyBorder="1" applyAlignment="1">
      <alignment vertical="center" wrapText="1"/>
    </xf>
    <xf numFmtId="0" fontId="0" fillId="0" borderId="25" xfId="0" applyBorder="1"/>
    <xf numFmtId="0" fontId="6" fillId="36" borderId="10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5" xfId="0" applyFont="1" applyFill="1" applyBorder="1" applyAlignment="1">
      <alignment horizontal="left" vertical="center" wrapText="1"/>
    </xf>
    <xf numFmtId="0" fontId="6" fillId="36" borderId="8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4" fillId="0" borderId="105" xfId="0" applyFont="1" applyBorder="1" applyAlignment="1">
      <alignment horizontal="right" vertical="center" wrapText="1"/>
    </xf>
    <xf numFmtId="0" fontId="4" fillId="0" borderId="88" xfId="0" applyFont="1" applyBorder="1" applyAlignment="1">
      <alignment horizontal="left" vertical="center" wrapText="1"/>
    </xf>
    <xf numFmtId="0" fontId="108" fillId="0" borderId="105" xfId="0" applyFont="1" applyBorder="1" applyAlignment="1">
      <alignment horizontal="right" vertical="center" wrapText="1"/>
    </xf>
    <xf numFmtId="0" fontId="108" fillId="0" borderId="88" xfId="0" applyFont="1" applyBorder="1" applyAlignment="1">
      <alignment horizontal="left" vertical="center" wrapText="1"/>
    </xf>
    <xf numFmtId="0" fontId="6" fillId="0" borderId="10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5" xfId="0" applyFont="1" applyBorder="1" applyAlignment="1">
      <alignment horizontal="center" vertical="center" wrapText="1"/>
    </xf>
    <xf numFmtId="3" fontId="23" fillId="36" borderId="88" xfId="0" applyNumberFormat="1" applyFont="1" applyFill="1" applyBorder="1" applyAlignment="1">
      <alignment vertical="center" wrapText="1"/>
    </xf>
    <xf numFmtId="3" fontId="23" fillId="36" borderId="103" xfId="0" applyNumberFormat="1" applyFont="1" applyFill="1" applyBorder="1" applyAlignment="1">
      <alignment vertical="center" wrapText="1"/>
    </xf>
    <xf numFmtId="14" fontId="7" fillId="3" borderId="88" xfId="8" quotePrefix="1" applyNumberFormat="1" applyFont="1" applyFill="1" applyBorder="1" applyAlignment="1" applyProtection="1">
      <alignment horizontal="left" vertical="center" wrapText="1" indent="2"/>
      <protection locked="0"/>
    </xf>
    <xf numFmtId="3" fontId="23" fillId="0" borderId="88" xfId="0" applyNumberFormat="1" applyFont="1" applyBorder="1" applyAlignment="1">
      <alignment vertical="center" wrapText="1"/>
    </xf>
    <xf numFmtId="14" fontId="7" fillId="3" borderId="88" xfId="8" quotePrefix="1" applyNumberFormat="1" applyFont="1" applyFill="1" applyBorder="1" applyAlignment="1" applyProtection="1">
      <alignment horizontal="left" vertical="center" wrapText="1" indent="3"/>
      <protection locked="0"/>
    </xf>
    <xf numFmtId="0" fontId="11" fillId="0" borderId="88" xfId="17" applyFill="1" applyBorder="1" applyAlignment="1" applyProtection="1"/>
    <xf numFmtId="49" fontId="108" fillId="0" borderId="105" xfId="0" applyNumberFormat="1" applyFont="1" applyBorder="1" applyAlignment="1">
      <alignment horizontal="right" vertical="center" wrapText="1"/>
    </xf>
    <xf numFmtId="0" fontId="7" fillId="3" borderId="88" xfId="20960" applyFont="1" applyFill="1" applyBorder="1"/>
    <xf numFmtId="0" fontId="105" fillId="0" borderId="88" xfId="20960" applyFont="1" applyBorder="1" applyAlignment="1">
      <alignment horizontal="center" vertical="center"/>
    </xf>
    <xf numFmtId="0" fontId="4" fillId="0" borderId="88" xfId="0" applyFont="1" applyBorder="1"/>
    <xf numFmtId="0" fontId="11" fillId="0" borderId="88" xfId="17" applyFill="1" applyBorder="1" applyAlignment="1" applyProtection="1">
      <alignment horizontal="left" vertical="center" wrapText="1"/>
    </xf>
    <xf numFmtId="49" fontId="108" fillId="0" borderId="88" xfId="0" applyNumberFormat="1" applyFont="1" applyBorder="1" applyAlignment="1">
      <alignment horizontal="right" vertical="center" wrapText="1"/>
    </xf>
    <xf numFmtId="0" fontId="11" fillId="0" borderId="88" xfId="17" applyFill="1" applyBorder="1" applyAlignment="1" applyProtection="1">
      <alignment horizontal="left" vertical="center"/>
    </xf>
    <xf numFmtId="0" fontId="11" fillId="0" borderId="88" xfId="17" applyBorder="1" applyAlignment="1" applyProtection="1"/>
    <xf numFmtId="0" fontId="111" fillId="77" borderId="89" xfId="21412" applyFont="1" applyFill="1" applyBorder="1" applyAlignment="1" applyProtection="1">
      <alignment vertical="center" wrapText="1"/>
      <protection locked="0"/>
    </xf>
    <xf numFmtId="0" fontId="112" fillId="70" borderId="83" xfId="21412" applyFont="1" applyFill="1" applyBorder="1" applyAlignment="1" applyProtection="1">
      <alignment horizontal="center" vertical="center"/>
      <protection locked="0"/>
    </xf>
    <xf numFmtId="0" fontId="111" fillId="78" borderId="88" xfId="21412" applyFont="1" applyFill="1" applyBorder="1" applyAlignment="1" applyProtection="1">
      <alignment horizontal="center" vertical="center"/>
      <protection locked="0"/>
    </xf>
    <xf numFmtId="0" fontId="111" fillId="77" borderId="89" xfId="21412" applyFont="1" applyFill="1" applyBorder="1" applyProtection="1">
      <alignment vertical="center"/>
      <protection locked="0"/>
    </xf>
    <xf numFmtId="0" fontId="113" fillId="70" borderId="83" xfId="21412" applyFont="1" applyFill="1" applyBorder="1" applyAlignment="1" applyProtection="1">
      <alignment horizontal="center" vertical="center"/>
      <protection locked="0"/>
    </xf>
    <xf numFmtId="0" fontId="113" fillId="3" borderId="83" xfId="21412" applyFont="1" applyFill="1" applyBorder="1" applyAlignment="1" applyProtection="1">
      <alignment horizontal="center" vertical="center"/>
      <protection locked="0"/>
    </xf>
    <xf numFmtId="0" fontId="113" fillId="0" borderId="83" xfId="21412" applyFont="1" applyBorder="1" applyAlignment="1" applyProtection="1">
      <alignment horizontal="center" vertical="center"/>
      <protection locked="0"/>
    </xf>
    <xf numFmtId="0" fontId="114"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horizontal="center" vertical="center"/>
      <protection locked="0"/>
    </xf>
    <xf numFmtId="0" fontId="64" fillId="77" borderId="89"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38" fillId="70" borderId="88" xfId="21412" applyFont="1" applyFill="1" applyBorder="1" applyAlignment="1" applyProtection="1">
      <alignment horizontal="center" vertical="center"/>
      <protection locked="0"/>
    </xf>
    <xf numFmtId="0" fontId="64" fillId="77" borderId="87" xfId="21412" applyFont="1" applyFill="1" applyBorder="1" applyProtection="1">
      <alignment vertical="center"/>
      <protection locked="0"/>
    </xf>
    <xf numFmtId="0" fontId="112" fillId="0" borderId="87" xfId="21412" applyFont="1" applyBorder="1" applyAlignment="1" applyProtection="1">
      <alignment horizontal="left" vertical="center" wrapText="1"/>
      <protection locked="0"/>
    </xf>
    <xf numFmtId="164" fontId="112" fillId="0" borderId="88" xfId="948" applyNumberFormat="1" applyFont="1" applyFill="1" applyBorder="1" applyAlignment="1" applyProtection="1">
      <alignment horizontal="right" vertical="center"/>
      <protection locked="0"/>
    </xf>
    <xf numFmtId="0" fontId="111" fillId="78" borderId="87" xfId="21412" applyFont="1" applyFill="1" applyBorder="1" applyAlignment="1" applyProtection="1">
      <alignment vertical="top" wrapText="1"/>
      <protection locked="0"/>
    </xf>
    <xf numFmtId="164" fontId="112" fillId="78" borderId="88" xfId="948" applyNumberFormat="1" applyFont="1" applyFill="1" applyBorder="1" applyAlignment="1" applyProtection="1">
      <alignment horizontal="right" vertical="center"/>
    </xf>
    <xf numFmtId="164" fontId="64" fillId="77" borderId="87" xfId="948" applyNumberFormat="1" applyFont="1" applyFill="1" applyBorder="1" applyAlignment="1" applyProtection="1">
      <alignment horizontal="right" vertical="center"/>
      <protection locked="0"/>
    </xf>
    <xf numFmtId="0" fontId="112" fillId="70" borderId="87" xfId="21412" applyFont="1" applyFill="1" applyBorder="1" applyAlignment="1" applyProtection="1">
      <alignment vertical="center" wrapText="1"/>
      <protection locked="0"/>
    </xf>
    <xf numFmtId="0" fontId="112" fillId="70" borderId="87" xfId="21412" applyFont="1" applyFill="1" applyBorder="1" applyAlignment="1" applyProtection="1">
      <alignment horizontal="left" vertical="center" wrapText="1"/>
      <protection locked="0"/>
    </xf>
    <xf numFmtId="0" fontId="112" fillId="0" borderId="87" xfId="21412" applyFont="1" applyBorder="1" applyAlignment="1" applyProtection="1">
      <alignment vertical="center" wrapText="1"/>
      <protection locked="0"/>
    </xf>
    <xf numFmtId="0" fontId="112" fillId="3" borderId="87" xfId="21412" applyFont="1" applyFill="1" applyBorder="1" applyAlignment="1" applyProtection="1">
      <alignment horizontal="left" vertical="center" wrapText="1"/>
      <protection locked="0"/>
    </xf>
    <xf numFmtId="0" fontId="111" fillId="78" borderId="87" xfId="21412" applyFont="1" applyFill="1" applyBorder="1" applyAlignment="1" applyProtection="1">
      <alignment vertical="center" wrapText="1"/>
      <protection locked="0"/>
    </xf>
    <xf numFmtId="164" fontId="111" fillId="77" borderId="87" xfId="948" applyNumberFormat="1" applyFont="1" applyFill="1" applyBorder="1" applyAlignment="1" applyProtection="1">
      <alignment horizontal="right" vertical="center"/>
      <protection locked="0"/>
    </xf>
    <xf numFmtId="10" fontId="7"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left" vertical="center" wrapText="1"/>
    </xf>
    <xf numFmtId="10" fontId="108" fillId="0" borderId="88" xfId="20961" applyNumberFormat="1" applyFont="1" applyFill="1" applyBorder="1" applyAlignment="1">
      <alignment horizontal="left" vertical="center" wrapText="1"/>
    </xf>
    <xf numFmtId="10" fontId="6" fillId="36"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5" xfId="0" applyFont="1" applyBorder="1" applyAlignment="1">
      <alignment horizontal="right" vertical="center" wrapText="1"/>
    </xf>
    <xf numFmtId="0" fontId="7" fillId="0" borderId="88"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left" vertical="center" wrapText="1" indent="2"/>
    </xf>
    <xf numFmtId="3" fontId="23" fillId="36" borderId="8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9"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3" xfId="0" applyFont="1" applyBorder="1"/>
    <xf numFmtId="0" fontId="4" fillId="0" borderId="27" xfId="0" applyFont="1" applyBorder="1"/>
    <xf numFmtId="0" fontId="9" fillId="0" borderId="103" xfId="0" applyFont="1" applyBorder="1"/>
    <xf numFmtId="0" fontId="10" fillId="0" borderId="21" xfId="0" applyFont="1" applyBorder="1" applyAlignment="1">
      <alignment horizontal="center"/>
    </xf>
    <xf numFmtId="0" fontId="10" fillId="0" borderId="103"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5" xfId="0" applyFont="1" applyBorder="1" applyAlignment="1">
      <alignment horizontal="center" vertical="center" wrapText="1"/>
    </xf>
    <xf numFmtId="0" fontId="15" fillId="0" borderId="88" xfId="0" applyFont="1" applyBorder="1" applyAlignment="1">
      <alignment horizontal="center" vertical="center" wrapText="1"/>
    </xf>
    <xf numFmtId="0" fontId="16" fillId="0" borderId="88" xfId="0" applyFont="1" applyBorder="1" applyAlignment="1">
      <alignment horizontal="left" vertical="center" wrapText="1"/>
    </xf>
    <xf numFmtId="193" fontId="7" fillId="0" borderId="88" xfId="0" applyNumberFormat="1" applyFont="1" applyBorder="1" applyAlignment="1" applyProtection="1">
      <alignment vertical="center" wrapText="1"/>
      <protection locked="0"/>
    </xf>
    <xf numFmtId="193" fontId="4" fillId="0" borderId="88" xfId="0" applyNumberFormat="1" applyFont="1" applyBorder="1" applyAlignment="1" applyProtection="1">
      <alignment vertical="center" wrapText="1"/>
      <protection locked="0"/>
    </xf>
    <xf numFmtId="193" fontId="4" fillId="0" borderId="103" xfId="0" applyNumberFormat="1" applyFont="1" applyBorder="1" applyAlignment="1" applyProtection="1">
      <alignment vertical="center" wrapText="1"/>
      <protection locked="0"/>
    </xf>
    <xf numFmtId="0" fontId="9" fillId="2" borderId="105"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15" fillId="0" borderId="105" xfId="0" applyFont="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6" fillId="3" borderId="11" xfId="0" applyFont="1" applyFill="1" applyBorder="1" applyAlignment="1">
      <alignment horizontal="center" wrapText="1"/>
    </xf>
    <xf numFmtId="0" fontId="4" fillId="0" borderId="88" xfId="0" applyFont="1" applyBorder="1" applyAlignment="1">
      <alignment horizontal="center"/>
    </xf>
    <xf numFmtId="0" fontId="4" fillId="3" borderId="7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4" fontId="4" fillId="0" borderId="88" xfId="7" applyNumberFormat="1" applyFont="1" applyBorder="1"/>
    <xf numFmtId="164" fontId="4" fillId="0" borderId="103" xfId="7" applyNumberFormat="1" applyFont="1" applyBorder="1"/>
    <xf numFmtId="0" fontId="14" fillId="0" borderId="88" xfId="0" applyFont="1" applyBorder="1" applyAlignment="1">
      <alignment horizontal="left" wrapText="1" indent="2"/>
    </xf>
    <xf numFmtId="169" fontId="28" fillId="37" borderId="88" xfId="20" applyBorder="1"/>
    <xf numFmtId="164" fontId="4" fillId="0" borderId="88" xfId="7" applyNumberFormat="1" applyFont="1" applyBorder="1" applyAlignment="1">
      <alignment vertical="center"/>
    </xf>
    <xf numFmtId="0" fontId="6" fillId="0" borderId="105" xfId="0" applyFont="1" applyBorder="1"/>
    <xf numFmtId="0" fontId="6" fillId="0" borderId="88" xfId="0" applyFont="1" applyBorder="1" applyAlignment="1">
      <alignment wrapText="1"/>
    </xf>
    <xf numFmtId="164" fontId="6" fillId="0" borderId="10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1" xfId="7" applyNumberFormat="1" applyFont="1" applyFill="1" applyBorder="1"/>
    <xf numFmtId="164" fontId="4" fillId="0" borderId="88" xfId="7" applyNumberFormat="1" applyFont="1" applyFill="1" applyBorder="1"/>
    <xf numFmtId="164" fontId="4" fillId="0" borderId="88" xfId="7" applyNumberFormat="1" applyFont="1" applyFill="1" applyBorder="1" applyAlignment="1">
      <alignment vertical="center"/>
    </xf>
    <xf numFmtId="0" fontId="14" fillId="0" borderId="8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1" xfId="0" applyFont="1" applyFill="1" applyBorder="1"/>
    <xf numFmtId="0" fontId="6" fillId="0" borderId="25" xfId="0" applyFont="1" applyBorder="1"/>
    <xf numFmtId="0" fontId="6" fillId="0" borderId="26" xfId="0" applyFont="1" applyBorder="1" applyAlignment="1">
      <alignment wrapText="1"/>
    </xf>
    <xf numFmtId="169" fontId="28" fillId="37" borderId="106" xfId="20" applyBorder="1"/>
    <xf numFmtId="10" fontId="6" fillId="0" borderId="27" xfId="20961" applyNumberFormat="1" applyFont="1" applyBorder="1"/>
    <xf numFmtId="0" fontId="9" fillId="2" borderId="96" xfId="0" applyFont="1" applyFill="1" applyBorder="1" applyAlignment="1">
      <alignment horizontal="right" vertical="center"/>
    </xf>
    <xf numFmtId="0" fontId="9" fillId="2" borderId="83" xfId="0" applyFont="1" applyFill="1" applyBorder="1" applyAlignment="1">
      <alignment vertical="center"/>
    </xf>
    <xf numFmtId="0" fontId="9" fillId="0" borderId="88"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protection locked="0"/>
    </xf>
    <xf numFmtId="0" fontId="120" fillId="3" borderId="88" xfId="13" applyFont="1" applyFill="1" applyBorder="1" applyAlignment="1" applyProtection="1">
      <alignment horizontal="left" vertical="center" wrapText="1"/>
      <protection locked="0"/>
    </xf>
    <xf numFmtId="0" fontId="119" fillId="0" borderId="88" xfId="0" applyFont="1" applyBorder="1"/>
    <xf numFmtId="0" fontId="120" fillId="0" borderId="88" xfId="13" applyFont="1" applyBorder="1" applyAlignment="1" applyProtection="1">
      <alignment horizontal="left" vertical="center" wrapText="1"/>
      <protection locked="0"/>
    </xf>
    <xf numFmtId="49" fontId="120" fillId="0" borderId="88" xfId="5" applyNumberFormat="1" applyFont="1" applyBorder="1" applyAlignment="1" applyProtection="1">
      <alignment horizontal="right" vertical="center"/>
      <protection locked="0"/>
    </xf>
    <xf numFmtId="49" fontId="121" fillId="0" borderId="88"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8" xfId="0" applyFont="1" applyBorder="1" applyAlignment="1">
      <alignment horizontal="center" vertical="center"/>
    </xf>
    <xf numFmtId="0" fontId="116"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wrapText="1"/>
      <protection locked="0"/>
    </xf>
    <xf numFmtId="0" fontId="116" fillId="0" borderId="88" xfId="0" applyFont="1" applyBorder="1"/>
    <xf numFmtId="49" fontId="120" fillId="0" borderId="88" xfId="5" applyNumberFormat="1" applyFont="1" applyBorder="1" applyAlignment="1" applyProtection="1">
      <alignment horizontal="right" vertical="center" wrapText="1"/>
      <protection locked="0"/>
    </xf>
    <xf numFmtId="49" fontId="121" fillId="0" borderId="88" xfId="5" applyNumberFormat="1" applyFont="1" applyBorder="1" applyAlignment="1" applyProtection="1">
      <alignment horizontal="right" vertical="center" wrapText="1"/>
      <protection locked="0"/>
    </xf>
    <xf numFmtId="0" fontId="119" fillId="0" borderId="0" xfId="0" applyFont="1"/>
    <xf numFmtId="0" fontId="116" fillId="0" borderId="88" xfId="0" applyFont="1" applyBorder="1" applyAlignment="1">
      <alignment wrapText="1"/>
    </xf>
    <xf numFmtId="0" fontId="116" fillId="0" borderId="88" xfId="0" applyFont="1" applyBorder="1" applyAlignment="1">
      <alignment horizontal="left" indent="8"/>
    </xf>
    <xf numFmtId="0" fontId="115" fillId="0" borderId="88" xfId="0" applyFont="1" applyBorder="1" applyAlignment="1">
      <alignment horizontal="left" vertical="center" wrapText="1"/>
    </xf>
    <xf numFmtId="0" fontId="116" fillId="0" borderId="0" xfId="0" applyFont="1" applyAlignment="1">
      <alignment horizontal="left"/>
    </xf>
    <xf numFmtId="0" fontId="118" fillId="0" borderId="88" xfId="0" applyFont="1" applyBorder="1" applyAlignment="1">
      <alignment horizontal="left" indent="1"/>
    </xf>
    <xf numFmtId="0" fontId="118" fillId="0" borderId="88" xfId="0" applyFont="1" applyBorder="1" applyAlignment="1">
      <alignment horizontal="left" wrapText="1" indent="1"/>
    </xf>
    <xf numFmtId="0" fontId="115" fillId="0" borderId="88" xfId="0" applyFont="1" applyBorder="1" applyAlignment="1">
      <alignment horizontal="left" indent="1"/>
    </xf>
    <xf numFmtId="0" fontId="115" fillId="0" borderId="88" xfId="0" applyFont="1" applyBorder="1" applyAlignment="1">
      <alignment horizontal="left" wrapText="1" indent="2"/>
    </xf>
    <xf numFmtId="0" fontId="118" fillId="0" borderId="88" xfId="0" applyFont="1" applyBorder="1" applyAlignment="1">
      <alignment horizontal="left" vertical="center" indent="1"/>
    </xf>
    <xf numFmtId="0" fontId="116" fillId="79" borderId="88" xfId="0" applyFont="1" applyFill="1" applyBorder="1"/>
    <xf numFmtId="0" fontId="116" fillId="0" borderId="88" xfId="0" applyFont="1" applyBorder="1" applyAlignment="1">
      <alignment horizontal="left" wrapText="1"/>
    </xf>
    <xf numFmtId="0" fontId="116" fillId="0" borderId="88" xfId="0" applyFont="1" applyBorder="1" applyAlignment="1">
      <alignment horizontal="left" wrapText="1" indent="2"/>
    </xf>
    <xf numFmtId="0" fontId="119" fillId="0" borderId="7" xfId="0" applyFont="1" applyBorder="1"/>
    <xf numFmtId="0" fontId="119" fillId="79" borderId="88"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8" xfId="0" applyNumberFormat="1" applyFont="1" applyBorder="1" applyAlignment="1">
      <alignment horizontal="center" vertical="center" wrapText="1"/>
    </xf>
    <xf numFmtId="0" fontId="116" fillId="0" borderId="88" xfId="0" applyFont="1" applyBorder="1" applyAlignment="1">
      <alignment horizontal="center"/>
    </xf>
    <xf numFmtId="0" fontId="116" fillId="0" borderId="88" xfId="0" applyFont="1" applyBorder="1" applyAlignment="1">
      <alignment horizontal="left" indent="1"/>
    </xf>
    <xf numFmtId="0" fontId="116" fillId="80" borderId="88" xfId="0" applyFont="1" applyFill="1" applyBorder="1"/>
    <xf numFmtId="0" fontId="116" fillId="0" borderId="7" xfId="0" applyFont="1" applyBorder="1"/>
    <xf numFmtId="0" fontId="116" fillId="0" borderId="88" xfId="0" applyFont="1" applyBorder="1" applyAlignment="1">
      <alignment horizontal="left" indent="2"/>
    </xf>
    <xf numFmtId="49" fontId="116" fillId="0" borderId="88" xfId="0" applyNumberFormat="1" applyFont="1" applyBorder="1" applyAlignment="1">
      <alignment horizontal="left" indent="3"/>
    </xf>
    <xf numFmtId="49" fontId="116" fillId="0" borderId="88" xfId="0" applyNumberFormat="1" applyFont="1" applyBorder="1" applyAlignment="1">
      <alignment horizontal="left" indent="1"/>
    </xf>
    <xf numFmtId="0" fontId="116" fillId="81" borderId="88" xfId="0" applyFont="1" applyFill="1" applyBorder="1"/>
    <xf numFmtId="49" fontId="116" fillId="0" borderId="88" xfId="0" applyNumberFormat="1" applyFont="1" applyBorder="1" applyAlignment="1">
      <alignment horizontal="left" wrapText="1" indent="2"/>
    </xf>
    <xf numFmtId="49" fontId="116" fillId="0" borderId="88" xfId="0" applyNumberFormat="1" applyFont="1" applyBorder="1" applyAlignment="1">
      <alignment horizontal="left" vertical="top" wrapText="1" indent="2"/>
    </xf>
    <xf numFmtId="49" fontId="116" fillId="0" borderId="88" xfId="0" applyNumberFormat="1" applyFont="1" applyBorder="1" applyAlignment="1">
      <alignment horizontal="left" wrapText="1" indent="3"/>
    </xf>
    <xf numFmtId="0" fontId="116" fillId="0" borderId="88" xfId="0" applyFont="1" applyBorder="1" applyAlignment="1">
      <alignment horizontal="left" wrapText="1" indent="1"/>
    </xf>
    <xf numFmtId="0" fontId="118" fillId="0" borderId="119" xfId="0" applyFont="1" applyBorder="1" applyAlignment="1">
      <alignment horizontal="left" vertical="center" wrapText="1"/>
    </xf>
    <xf numFmtId="0" fontId="116" fillId="0" borderId="83" xfId="0" applyFont="1" applyBorder="1" applyAlignment="1">
      <alignment horizontal="center" vertical="center" wrapText="1"/>
    </xf>
    <xf numFmtId="0" fontId="118" fillId="0" borderId="88"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8" xfId="17" applyFill="1" applyBorder="1" applyAlignment="1" applyProtection="1">
      <alignment wrapText="1"/>
    </xf>
    <xf numFmtId="49" fontId="116" fillId="0" borderId="88" xfId="0" applyNumberFormat="1" applyFont="1" applyBorder="1" applyAlignment="1">
      <alignment horizontal="left" wrapText="1" indent="1"/>
    </xf>
    <xf numFmtId="0" fontId="116" fillId="0" borderId="0" xfId="0" applyFont="1" applyAlignment="1">
      <alignment horizontal="left" vertical="top" wrapText="1"/>
    </xf>
    <xf numFmtId="0" fontId="122" fillId="0" borderId="88" xfId="13" applyFont="1" applyBorder="1" applyAlignment="1" applyProtection="1">
      <alignment horizontal="left" vertical="center" wrapText="1"/>
      <protection locked="0"/>
    </xf>
    <xf numFmtId="10" fontId="4" fillId="0" borderId="88" xfId="20961" applyNumberFormat="1" applyFont="1" applyFill="1" applyBorder="1" applyAlignment="1" applyProtection="1">
      <alignment horizontal="right" vertical="center" wrapText="1"/>
    </xf>
    <xf numFmtId="10" fontId="4" fillId="0" borderId="88" xfId="20961" applyNumberFormat="1" applyFont="1" applyBorder="1" applyAlignment="1" applyProtection="1">
      <alignment vertical="center" wrapText="1"/>
    </xf>
    <xf numFmtId="10" fontId="4" fillId="0" borderId="103" xfId="20961" applyNumberFormat="1" applyFont="1" applyBorder="1" applyAlignment="1" applyProtection="1">
      <alignment vertical="center" wrapText="1"/>
    </xf>
    <xf numFmtId="10" fontId="17" fillId="2" borderId="88" xfId="20961" applyNumberFormat="1" applyFont="1" applyFill="1" applyBorder="1" applyAlignment="1" applyProtection="1">
      <alignment vertical="center"/>
    </xf>
    <xf numFmtId="10" fontId="17" fillId="2" borderId="103" xfId="20961" applyNumberFormat="1" applyFont="1" applyFill="1" applyBorder="1" applyAlignment="1" applyProtection="1">
      <alignment vertical="center"/>
    </xf>
    <xf numFmtId="10" fontId="9" fillId="2" borderId="88" xfId="20961" applyNumberFormat="1" applyFont="1" applyFill="1" applyBorder="1" applyAlignment="1" applyProtection="1">
      <alignment vertical="center"/>
    </xf>
    <xf numFmtId="193" fontId="7" fillId="0" borderId="88" xfId="0" applyNumberFormat="1" applyFont="1" applyBorder="1" applyAlignment="1">
      <alignment vertical="center" wrapText="1"/>
    </xf>
    <xf numFmtId="193" fontId="4" fillId="0" borderId="88" xfId="0" applyNumberFormat="1" applyFont="1" applyBorder="1" applyAlignment="1">
      <alignment vertical="center" wrapText="1"/>
    </xf>
    <xf numFmtId="193" fontId="7" fillId="0" borderId="88" xfId="0" applyNumberFormat="1" applyFont="1" applyBorder="1" applyAlignment="1">
      <alignment horizontal="right" vertical="center" wrapText="1"/>
    </xf>
    <xf numFmtId="164" fontId="4" fillId="0" borderId="88" xfId="7" applyNumberFormat="1" applyFont="1" applyFill="1" applyBorder="1" applyAlignment="1" applyProtection="1">
      <alignment vertical="center" wrapText="1"/>
    </xf>
    <xf numFmtId="164" fontId="4" fillId="0" borderId="103" xfId="7" applyNumberFormat="1" applyFont="1" applyFill="1" applyBorder="1" applyAlignment="1" applyProtection="1">
      <alignment vertical="center" wrapText="1"/>
    </xf>
    <xf numFmtId="10" fontId="28" fillId="37" borderId="0" xfId="20961" applyNumberFormat="1" applyFont="1" applyFill="1" applyBorder="1" applyProtection="1"/>
    <xf numFmtId="10" fontId="28" fillId="37" borderId="81" xfId="20961" applyNumberFormat="1" applyFont="1" applyFill="1" applyBorder="1" applyProtection="1"/>
    <xf numFmtId="10" fontId="9" fillId="2" borderId="103" xfId="20961" applyNumberFormat="1" applyFont="1" applyFill="1" applyBorder="1" applyAlignment="1" applyProtection="1">
      <alignment vertical="center"/>
    </xf>
    <xf numFmtId="193" fontId="9" fillId="0" borderId="88" xfId="0" applyNumberFormat="1" applyFont="1" applyBorder="1" applyAlignment="1">
      <alignment vertical="center"/>
    </xf>
    <xf numFmtId="193" fontId="9" fillId="0" borderId="103" xfId="0" applyNumberFormat="1" applyFont="1" applyBorder="1" applyAlignment="1">
      <alignment vertical="center"/>
    </xf>
    <xf numFmtId="193" fontId="17" fillId="0" borderId="88" xfId="0" applyNumberFormat="1" applyFont="1" applyBorder="1" applyAlignment="1">
      <alignment vertical="center"/>
    </xf>
    <xf numFmtId="193" fontId="17" fillId="0" borderId="103" xfId="0" applyNumberFormat="1" applyFont="1" applyBorder="1" applyAlignment="1">
      <alignment vertical="center"/>
    </xf>
    <xf numFmtId="165" fontId="9" fillId="2" borderId="88" xfId="20961" applyNumberFormat="1" applyFont="1" applyFill="1" applyBorder="1" applyAlignment="1" applyProtection="1">
      <alignment vertical="center"/>
      <protection locked="0"/>
    </xf>
    <xf numFmtId="165" fontId="17" fillId="2" borderId="88" xfId="20961" applyNumberFormat="1" applyFont="1" applyFill="1" applyBorder="1" applyAlignment="1" applyProtection="1">
      <alignment vertical="center"/>
      <protection locked="0"/>
    </xf>
    <xf numFmtId="165" fontId="17" fillId="2" borderId="103" xfId="20961" applyNumberFormat="1" applyFont="1" applyFill="1" applyBorder="1" applyAlignment="1" applyProtection="1">
      <alignment vertical="center"/>
      <protection locked="0"/>
    </xf>
    <xf numFmtId="10" fontId="17" fillId="0" borderId="27" xfId="20961" applyNumberFormat="1" applyFont="1" applyFill="1" applyBorder="1" applyAlignment="1" applyProtection="1">
      <alignment vertical="center"/>
      <protection locked="0"/>
    </xf>
    <xf numFmtId="193" fontId="17" fillId="0" borderId="88" xfId="0" applyNumberFormat="1" applyFont="1" applyBorder="1" applyAlignment="1" applyProtection="1">
      <alignment vertical="center"/>
      <protection locked="0"/>
    </xf>
    <xf numFmtId="193" fontId="17" fillId="0" borderId="103" xfId="0" applyNumberFormat="1" applyFont="1" applyBorder="1" applyAlignment="1" applyProtection="1">
      <alignment vertical="center"/>
      <protection locked="0"/>
    </xf>
    <xf numFmtId="10" fontId="17" fillId="0" borderId="26" xfId="20961" applyNumberFormat="1" applyFont="1" applyFill="1" applyBorder="1" applyAlignment="1" applyProtection="1">
      <alignment vertical="center"/>
      <protection locked="0"/>
    </xf>
    <xf numFmtId="164" fontId="9" fillId="36" borderId="88" xfId="7" applyNumberFormat="1" applyFont="1" applyFill="1" applyBorder="1" applyAlignment="1" applyProtection="1">
      <alignment horizontal="right"/>
    </xf>
    <xf numFmtId="164" fontId="9" fillId="36" borderId="103" xfId="7" applyNumberFormat="1" applyFont="1" applyFill="1" applyBorder="1" applyAlignment="1" applyProtection="1">
      <alignment horizontal="right"/>
    </xf>
    <xf numFmtId="164" fontId="20" fillId="36" borderId="88" xfId="7" applyNumberFormat="1" applyFont="1" applyFill="1" applyBorder="1" applyAlignment="1" applyProtection="1">
      <alignment horizontal="right"/>
    </xf>
    <xf numFmtId="0" fontId="9" fillId="0" borderId="105" xfId="0" applyFont="1" applyBorder="1" applyAlignment="1">
      <alignment vertical="center"/>
    </xf>
    <xf numFmtId="0" fontId="13" fillId="0" borderId="89" xfId="0" applyFont="1" applyBorder="1" applyAlignment="1">
      <alignment wrapText="1"/>
    </xf>
    <xf numFmtId="9" fontId="25" fillId="0" borderId="24" xfId="0" applyNumberFormat="1" applyFont="1" applyBorder="1"/>
    <xf numFmtId="0" fontId="9" fillId="0" borderId="96" xfId="0" applyFont="1" applyBorder="1" applyAlignment="1">
      <alignment vertical="center"/>
    </xf>
    <xf numFmtId="0" fontId="13" fillId="0" borderId="84" xfId="0" applyFont="1" applyBorder="1" applyAlignment="1">
      <alignment wrapText="1"/>
    </xf>
    <xf numFmtId="0" fontId="4" fillId="0" borderId="97" xfId="0" applyFont="1" applyBorder="1"/>
    <xf numFmtId="9" fontId="25" fillId="0" borderId="123" xfId="0" applyNumberFormat="1" applyFont="1" applyBorder="1"/>
    <xf numFmtId="164" fontId="108" fillId="0" borderId="103" xfId="7" applyNumberFormat="1" applyFont="1" applyFill="1" applyBorder="1" applyAlignment="1">
      <alignment horizontal="right" vertical="center" wrapText="1"/>
    </xf>
    <xf numFmtId="43" fontId="6" fillId="36" borderId="103" xfId="7" applyFont="1" applyFill="1" applyBorder="1" applyAlignment="1">
      <alignment horizontal="right" vertical="center" wrapText="1"/>
    </xf>
    <xf numFmtId="43" fontId="6" fillId="36" borderId="103" xfId="7" applyFont="1" applyFill="1" applyBorder="1" applyAlignment="1">
      <alignment horizontal="center" vertical="center" wrapText="1"/>
    </xf>
    <xf numFmtId="164" fontId="4" fillId="0" borderId="103"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25" fillId="0" borderId="35" xfId="7" applyNumberFormat="1" applyFont="1" applyBorder="1" applyAlignment="1">
      <alignment vertical="center"/>
    </xf>
    <xf numFmtId="164" fontId="25" fillId="0" borderId="14" xfId="7" applyNumberFormat="1" applyFont="1" applyBorder="1" applyAlignment="1">
      <alignment vertical="center"/>
    </xf>
    <xf numFmtId="164" fontId="19" fillId="0" borderId="14" xfId="7" applyNumberFormat="1" applyFont="1" applyBorder="1" applyAlignment="1">
      <alignment vertical="center"/>
    </xf>
    <xf numFmtId="164" fontId="25" fillId="36" borderId="14" xfId="7" applyNumberFormat="1" applyFont="1" applyFill="1" applyBorder="1" applyAlignment="1">
      <alignment vertical="center"/>
    </xf>
    <xf numFmtId="164" fontId="25" fillId="0" borderId="15" xfId="7" applyNumberFormat="1" applyFont="1" applyBorder="1" applyAlignment="1">
      <alignment vertical="center"/>
    </xf>
    <xf numFmtId="164" fontId="25" fillId="0" borderId="18" xfId="7" applyNumberFormat="1" applyFont="1" applyBorder="1" applyAlignment="1">
      <alignment vertical="center"/>
    </xf>
    <xf numFmtId="164" fontId="19" fillId="0" borderId="15" xfId="7"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4" fontId="4" fillId="0" borderId="22" xfId="7" applyNumberFormat="1" applyFont="1" applyBorder="1" applyAlignment="1"/>
    <xf numFmtId="164" fontId="4" fillId="0" borderId="23"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36" borderId="57" xfId="7" applyNumberFormat="1" applyFont="1" applyFill="1" applyBorder="1" applyAlignment="1"/>
    <xf numFmtId="164" fontId="4" fillId="36" borderId="25" xfId="7" applyNumberFormat="1" applyFont="1" applyFill="1" applyBorder="1"/>
    <xf numFmtId="164" fontId="4" fillId="36" borderId="26" xfId="7" applyNumberFormat="1" applyFont="1" applyFill="1" applyBorder="1"/>
    <xf numFmtId="164" fontId="4" fillId="36" borderId="58"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84" xfId="7" applyNumberFormat="1" applyFont="1" applyFill="1" applyBorder="1" applyAlignment="1">
      <alignment vertical="center"/>
    </xf>
    <xf numFmtId="164" fontId="4" fillId="0" borderId="97" xfId="7" applyNumberFormat="1" applyFont="1" applyFill="1" applyBorder="1" applyAlignment="1">
      <alignment vertical="center"/>
    </xf>
    <xf numFmtId="164" fontId="4" fillId="0" borderId="89"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86" xfId="7" applyNumberFormat="1" applyFont="1" applyFill="1" applyBorder="1" applyAlignment="1">
      <alignment vertical="center"/>
    </xf>
    <xf numFmtId="164" fontId="4" fillId="3" borderId="24" xfId="7" applyNumberFormat="1" applyFont="1" applyFill="1" applyBorder="1" applyAlignment="1">
      <alignment vertical="center"/>
    </xf>
    <xf numFmtId="165" fontId="4" fillId="0" borderId="82" xfId="20961" applyNumberFormat="1" applyFont="1" applyFill="1" applyBorder="1" applyAlignment="1">
      <alignmen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164" fontId="9" fillId="3" borderId="3" xfId="7" applyNumberFormat="1" applyFont="1" applyFill="1" applyBorder="1" applyProtection="1">
      <protection locked="0"/>
    </xf>
    <xf numFmtId="164" fontId="9" fillId="36"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9" fillId="36" borderId="23" xfId="7" applyNumberFormat="1" applyFont="1" applyFill="1" applyBorder="1" applyProtection="1">
      <protection locked="0"/>
    </xf>
    <xf numFmtId="164" fontId="10" fillId="36" borderId="27" xfId="7" applyNumberFormat="1" applyFont="1" applyFill="1" applyBorder="1" applyAlignment="1" applyProtection="1">
      <protection locked="0"/>
    </xf>
    <xf numFmtId="0" fontId="104" fillId="0" borderId="88" xfId="0" applyFont="1" applyBorder="1"/>
    <xf numFmtId="164" fontId="112" fillId="0" borderId="88" xfId="7" applyNumberFormat="1" applyFont="1" applyFill="1" applyBorder="1" applyAlignment="1" applyProtection="1">
      <alignment horizontal="right" vertical="center"/>
      <protection locked="0"/>
    </xf>
    <xf numFmtId="164" fontId="112" fillId="3" borderId="88" xfId="7" applyNumberFormat="1" applyFont="1" applyFill="1" applyBorder="1" applyAlignment="1" applyProtection="1">
      <alignment horizontal="right" vertical="center"/>
      <protection locked="0"/>
    </xf>
    <xf numFmtId="10" fontId="112" fillId="0" borderId="88" xfId="20626" applyNumberFormat="1" applyFont="1" applyFill="1" applyBorder="1" applyAlignment="1" applyProtection="1">
      <alignment horizontal="right" vertical="center"/>
      <protection locked="0"/>
    </xf>
    <xf numFmtId="164" fontId="119" fillId="0" borderId="88" xfId="7" applyNumberFormat="1" applyFont="1" applyBorder="1"/>
    <xf numFmtId="164" fontId="116" fillId="0" borderId="88" xfId="7" applyNumberFormat="1" applyFont="1" applyBorder="1"/>
    <xf numFmtId="164" fontId="116" fillId="0" borderId="88" xfId="7" applyNumberFormat="1" applyFont="1" applyFill="1" applyBorder="1"/>
    <xf numFmtId="164" fontId="115" fillId="36" borderId="88" xfId="7" applyNumberFormat="1" applyFont="1" applyFill="1" applyBorder="1"/>
    <xf numFmtId="164" fontId="116" fillId="0" borderId="88" xfId="7" applyNumberFormat="1" applyFont="1" applyBorder="1" applyAlignment="1">
      <alignment horizontal="left" indent="1"/>
    </xf>
    <xf numFmtId="164" fontId="119" fillId="0" borderId="7" xfId="7" applyNumberFormat="1" applyFont="1" applyBorder="1"/>
    <xf numFmtId="164" fontId="116" fillId="0" borderId="88" xfId="7" applyNumberFormat="1" applyFont="1" applyBorder="1" applyAlignment="1">
      <alignment horizontal="left" indent="2"/>
    </xf>
    <xf numFmtId="164" fontId="116" fillId="0" borderId="88" xfId="7" applyNumberFormat="1" applyFont="1" applyFill="1" applyBorder="1" applyAlignment="1">
      <alignment horizontal="left" indent="3"/>
    </xf>
    <xf numFmtId="164" fontId="116" fillId="0" borderId="88" xfId="7" applyNumberFormat="1" applyFont="1" applyFill="1" applyBorder="1" applyAlignment="1">
      <alignment horizontal="left" indent="1"/>
    </xf>
    <xf numFmtId="164" fontId="116" fillId="0" borderId="88" xfId="7" applyNumberFormat="1" applyFont="1" applyFill="1" applyBorder="1" applyAlignment="1">
      <alignment horizontal="left" vertical="top" wrapText="1" indent="2"/>
    </xf>
    <xf numFmtId="164" fontId="116" fillId="0" borderId="88" xfId="7" applyNumberFormat="1" applyFont="1" applyFill="1" applyBorder="1" applyAlignment="1">
      <alignment horizontal="left" wrapText="1" indent="3"/>
    </xf>
    <xf numFmtId="164" fontId="116" fillId="0" borderId="88" xfId="7" applyNumberFormat="1" applyFont="1" applyFill="1" applyBorder="1" applyAlignment="1">
      <alignment horizontal="left" wrapText="1" indent="2"/>
    </xf>
    <xf numFmtId="164" fontId="116" fillId="0" borderId="88" xfId="7" applyNumberFormat="1" applyFont="1" applyFill="1" applyBorder="1" applyAlignment="1">
      <alignment horizontal="left" wrapText="1" indent="1"/>
    </xf>
    <xf numFmtId="164" fontId="115" fillId="0" borderId="88" xfId="7" applyNumberFormat="1" applyFont="1" applyFill="1" applyBorder="1" applyAlignment="1">
      <alignment horizontal="left" vertical="center" wrapText="1"/>
    </xf>
    <xf numFmtId="164" fontId="116" fillId="0" borderId="88" xfId="7" applyNumberFormat="1" applyFont="1" applyBorder="1" applyAlignment="1">
      <alignment horizontal="center" vertical="center" wrapText="1"/>
    </xf>
    <xf numFmtId="164" fontId="116" fillId="0" borderId="88" xfId="7" applyNumberFormat="1" applyFont="1" applyBorder="1" applyAlignment="1">
      <alignment horizontal="center" vertical="center"/>
    </xf>
    <xf numFmtId="164" fontId="118" fillId="0" borderId="88" xfId="7" applyNumberFormat="1" applyFont="1" applyFill="1" applyBorder="1" applyAlignment="1">
      <alignment horizontal="left" vertical="center" wrapText="1"/>
    </xf>
    <xf numFmtId="164" fontId="9" fillId="0" borderId="88" xfId="0" applyNumberFormat="1" applyFont="1" applyBorder="1" applyAlignment="1">
      <alignment horizontal="left" vertical="center" wrapText="1"/>
    </xf>
    <xf numFmtId="164" fontId="25" fillId="0" borderId="88" xfId="7" applyNumberFormat="1" applyFont="1" applyFill="1" applyBorder="1"/>
    <xf numFmtId="164" fontId="25" fillId="0" borderId="88" xfId="0" applyNumberFormat="1" applyFont="1" applyBorder="1"/>
    <xf numFmtId="164" fontId="119" fillId="0" borderId="88" xfId="7" applyNumberFormat="1" applyFont="1" applyBorder="1" applyAlignment="1">
      <alignment horizontal="center" vertical="center"/>
    </xf>
    <xf numFmtId="164" fontId="119" fillId="0" borderId="88" xfId="7" applyNumberFormat="1" applyFont="1" applyFill="1" applyBorder="1"/>
    <xf numFmtId="0" fontId="0" fillId="0" borderId="7" xfId="0" applyBorder="1"/>
    <xf numFmtId="0" fontId="124" fillId="0" borderId="88" xfId="0" applyFont="1" applyBorder="1" applyAlignment="1">
      <alignment horizontal="left" indent="2"/>
    </xf>
    <xf numFmtId="0" fontId="126" fillId="0" borderId="124" xfId="0" applyFont="1" applyBorder="1" applyAlignment="1">
      <alignment vertical="center" wrapText="1" readingOrder="1"/>
    </xf>
    <xf numFmtId="164" fontId="124" fillId="0" borderId="88" xfId="7" applyNumberFormat="1" applyFont="1" applyBorder="1"/>
    <xf numFmtId="10" fontId="124" fillId="0" borderId="88" xfId="20961" applyNumberFormat="1" applyFont="1" applyBorder="1"/>
    <xf numFmtId="164" fontId="0" fillId="0" borderId="0" xfId="0" applyNumberFormat="1"/>
    <xf numFmtId="164" fontId="0" fillId="0" borderId="0" xfId="7" applyNumberFormat="1" applyFont="1"/>
    <xf numFmtId="2" fontId="0" fillId="0" borderId="0" xfId="7" applyNumberFormat="1" applyFont="1"/>
    <xf numFmtId="173" fontId="0" fillId="0" borderId="0" xfId="0" applyNumberFormat="1"/>
    <xf numFmtId="194" fontId="0" fillId="0" borderId="0" xfId="0" applyNumberFormat="1"/>
    <xf numFmtId="9" fontId="0" fillId="0" borderId="0" xfId="0" applyNumberFormat="1"/>
    <xf numFmtId="165" fontId="0" fillId="0" borderId="0" xfId="0" applyNumberFormat="1"/>
    <xf numFmtId="43" fontId="116" fillId="0" borderId="0" xfId="0" applyNumberFormat="1" applyFont="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xf>
    <xf numFmtId="0" fontId="4" fillId="0" borderId="24" xfId="0" applyFont="1" applyBorder="1" applyAlignment="1">
      <alignment horizontal="center"/>
    </xf>
    <xf numFmtId="0" fontId="6" fillId="36" borderId="10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8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9" xfId="1" applyNumberFormat="1" applyFont="1" applyFill="1" applyBorder="1" applyAlignment="1" applyProtection="1">
      <alignment horizontal="center" vertical="center" wrapText="1"/>
      <protection locked="0"/>
    </xf>
    <xf numFmtId="164" fontId="15" fillId="0" borderId="80" xfId="1" applyNumberFormat="1" applyFont="1" applyFill="1" applyBorder="1" applyAlignment="1" applyProtection="1">
      <alignment horizontal="center" vertical="center" wrapText="1"/>
      <protection locked="0"/>
    </xf>
    <xf numFmtId="0" fontId="4" fillId="0" borderId="7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5"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7" xfId="0" applyFont="1" applyBorder="1" applyAlignment="1">
      <alignment horizontal="left" vertical="center" wrapText="1"/>
    </xf>
    <xf numFmtId="0" fontId="119" fillId="0" borderId="84"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8" xfId="0" applyFont="1" applyBorder="1" applyAlignment="1">
      <alignment horizontal="center" vertical="center" wrapText="1"/>
    </xf>
    <xf numFmtId="0" fontId="123" fillId="0" borderId="88" xfId="0" applyFont="1" applyBorder="1" applyAlignment="1">
      <alignment horizontal="center" vertical="center"/>
    </xf>
    <xf numFmtId="0" fontId="123" fillId="0" borderId="84" xfId="0" applyFont="1" applyBorder="1" applyAlignment="1">
      <alignment horizontal="center" vertical="center"/>
    </xf>
    <xf numFmtId="0" fontId="123" fillId="0" borderId="112"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8"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19" xfId="0" applyFont="1" applyBorder="1" applyAlignment="1">
      <alignment horizontal="center" vertical="center" wrapText="1"/>
    </xf>
    <xf numFmtId="0" fontId="116" fillId="0" borderId="89" xfId="0" applyFont="1" applyBorder="1" applyAlignment="1">
      <alignment horizontal="center" vertical="center" wrapText="1"/>
    </xf>
    <xf numFmtId="0" fontId="116" fillId="0" borderId="86" xfId="0" applyFont="1" applyBorder="1" applyAlignment="1">
      <alignment horizontal="center" vertical="center" wrapText="1"/>
    </xf>
    <xf numFmtId="0" fontId="116" fillId="0" borderId="87"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0" xfId="0" applyFont="1" applyBorder="1" applyAlignment="1">
      <alignment horizontal="center" vertical="center" wrapText="1"/>
    </xf>
    <xf numFmtId="0" fontId="116" fillId="0" borderId="118" xfId="0" applyFont="1" applyBorder="1" applyAlignment="1">
      <alignment horizontal="center" vertical="center" wrapText="1"/>
    </xf>
    <xf numFmtId="0" fontId="116" fillId="0" borderId="0" xfId="0" applyFont="1" applyAlignment="1">
      <alignment horizontal="center" vertical="center" wrapText="1"/>
    </xf>
    <xf numFmtId="0" fontId="116" fillId="0" borderId="119"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4" xfId="0" applyFont="1" applyBorder="1" applyAlignment="1">
      <alignment horizontal="left" vertical="top" wrapText="1"/>
    </xf>
    <xf numFmtId="0" fontId="118" fillId="0" borderId="112" xfId="0" applyFont="1" applyBorder="1" applyAlignment="1">
      <alignment horizontal="left"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4" xfId="0" applyFont="1" applyBorder="1" applyAlignment="1">
      <alignment horizontal="center" vertical="center"/>
    </xf>
    <xf numFmtId="0" fontId="116" fillId="0" borderId="102" xfId="0" applyFont="1" applyBorder="1" applyAlignment="1">
      <alignment horizontal="center" vertical="center"/>
    </xf>
    <xf numFmtId="0" fontId="116" fillId="0" borderId="112" xfId="0" applyFont="1" applyBorder="1" applyAlignment="1">
      <alignment horizontal="center" vertical="center"/>
    </xf>
    <xf numFmtId="0" fontId="116" fillId="0" borderId="84"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84" xfId="0" applyFont="1" applyBorder="1" applyAlignment="1">
      <alignment horizontal="center" vertical="top" wrapText="1"/>
    </xf>
    <xf numFmtId="0" fontId="116" fillId="0" borderId="102" xfId="0" applyFont="1" applyBorder="1" applyAlignment="1">
      <alignment horizontal="center" vertical="top" wrapText="1"/>
    </xf>
    <xf numFmtId="0" fontId="116" fillId="0" borderId="112" xfId="0" applyFont="1" applyBorder="1" applyAlignment="1">
      <alignment horizontal="center" vertical="top" wrapText="1"/>
    </xf>
    <xf numFmtId="0" fontId="116" fillId="0" borderId="86" xfId="0" applyFont="1" applyBorder="1" applyAlignment="1">
      <alignment horizontal="center" vertical="top" wrapText="1"/>
    </xf>
    <xf numFmtId="0" fontId="116" fillId="0" borderId="87" xfId="0" applyFont="1" applyBorder="1" applyAlignment="1">
      <alignment horizontal="center" vertical="top" wrapText="1"/>
    </xf>
    <xf numFmtId="0" fontId="116" fillId="0" borderId="83" xfId="0" applyFont="1" applyBorder="1" applyAlignment="1">
      <alignment horizontal="center" vertical="top" wrapText="1"/>
    </xf>
    <xf numFmtId="0" fontId="116" fillId="0" borderId="7" xfId="0" applyFont="1" applyBorder="1" applyAlignment="1">
      <alignment horizontal="center" vertical="top" wrapText="1"/>
    </xf>
    <xf numFmtId="0" fontId="118" fillId="0" borderId="121" xfId="0" applyFont="1" applyBorder="1" applyAlignment="1">
      <alignment horizontal="left" vertical="top" wrapText="1"/>
    </xf>
    <xf numFmtId="0" fontId="118" fillId="0" borderId="122" xfId="0" applyFont="1" applyBorder="1" applyAlignment="1">
      <alignment horizontal="left" vertical="top" wrapText="1"/>
    </xf>
    <xf numFmtId="0" fontId="124" fillId="0" borderId="88" xfId="0" applyFont="1" applyBorder="1" applyAlignment="1">
      <alignment horizontal="center" vertical="center" wrapText="1"/>
    </xf>
    <xf numFmtId="0" fontId="125" fillId="0" borderId="88" xfId="0" applyFont="1" applyBorder="1" applyAlignment="1">
      <alignment horizontal="center" vertical="center"/>
    </xf>
    <xf numFmtId="0" fontId="124" fillId="0" borderId="83"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7</xdr:row>
      <xdr:rowOff>0</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21/06/Workings/Pillar%203/FRM-BKS-MM-20201231W_Pillar.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Check-A-G"/>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CICR list"/>
      <sheetName val="შორენასგან"/>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 val="CICR Buffer_ChecK"/>
      <sheetName val="Lim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4"/>
      <sheetData sheetId="65">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6">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7"/>
      <sheetData sheetId="68"/>
      <sheetData sheetId="69">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9" t="s">
        <v>254</v>
      </c>
      <c r="C1" s="84"/>
    </row>
    <row r="2" spans="1:3" s="166" customFormat="1" ht="15.75">
      <c r="A2" s="210">
        <v>1</v>
      </c>
      <c r="B2" s="167" t="s">
        <v>255</v>
      </c>
      <c r="C2" s="586" t="s">
        <v>714</v>
      </c>
    </row>
    <row r="3" spans="1:3" s="166" customFormat="1" ht="15.75">
      <c r="A3" s="210">
        <v>2</v>
      </c>
      <c r="B3" s="168" t="s">
        <v>256</v>
      </c>
      <c r="C3" s="586" t="s">
        <v>715</v>
      </c>
    </row>
    <row r="4" spans="1:3" s="166" customFormat="1" ht="15.75">
      <c r="A4" s="210">
        <v>3</v>
      </c>
      <c r="B4" s="168" t="s">
        <v>257</v>
      </c>
      <c r="C4" s="586" t="s">
        <v>716</v>
      </c>
    </row>
    <row r="5" spans="1:3" s="166" customFormat="1" ht="15.75">
      <c r="A5" s="211">
        <v>4</v>
      </c>
      <c r="B5" s="171" t="s">
        <v>258</v>
      </c>
      <c r="C5" s="338" t="s">
        <v>717</v>
      </c>
    </row>
    <row r="6" spans="1:3" s="170" customFormat="1" ht="65.25" customHeight="1">
      <c r="A6" s="625" t="s">
        <v>373</v>
      </c>
      <c r="B6" s="626"/>
      <c r="C6" s="626"/>
    </row>
    <row r="7" spans="1:3">
      <c r="A7" s="332" t="s">
        <v>327</v>
      </c>
      <c r="B7" s="333" t="s">
        <v>259</v>
      </c>
    </row>
    <row r="8" spans="1:3">
      <c r="A8" s="334">
        <v>1</v>
      </c>
      <c r="B8" s="330" t="s">
        <v>223</v>
      </c>
    </row>
    <row r="9" spans="1:3">
      <c r="A9" s="334">
        <v>2</v>
      </c>
      <c r="B9" s="330" t="s">
        <v>260</v>
      </c>
    </row>
    <row r="10" spans="1:3">
      <c r="A10" s="334">
        <v>3</v>
      </c>
      <c r="B10" s="330" t="s">
        <v>261</v>
      </c>
    </row>
    <row r="11" spans="1:3">
      <c r="A11" s="334">
        <v>4</v>
      </c>
      <c r="B11" s="330" t="s">
        <v>262</v>
      </c>
    </row>
    <row r="12" spans="1:3">
      <c r="A12" s="334">
        <v>5</v>
      </c>
      <c r="B12" s="330" t="s">
        <v>187</v>
      </c>
    </row>
    <row r="13" spans="1:3">
      <c r="A13" s="334">
        <v>6</v>
      </c>
      <c r="B13" s="335" t="s">
        <v>149</v>
      </c>
    </row>
    <row r="14" spans="1:3">
      <c r="A14" s="334">
        <v>7</v>
      </c>
      <c r="B14" s="330" t="s">
        <v>263</v>
      </c>
    </row>
    <row r="15" spans="1:3">
      <c r="A15" s="334">
        <v>8</v>
      </c>
      <c r="B15" s="330" t="s">
        <v>266</v>
      </c>
    </row>
    <row r="16" spans="1:3">
      <c r="A16" s="334">
        <v>9</v>
      </c>
      <c r="B16" s="330" t="s">
        <v>88</v>
      </c>
    </row>
    <row r="17" spans="1:2">
      <c r="A17" s="336" t="s">
        <v>420</v>
      </c>
      <c r="B17" s="330" t="s">
        <v>400</v>
      </c>
    </row>
    <row r="18" spans="1:2">
      <c r="A18" s="334">
        <v>10</v>
      </c>
      <c r="B18" s="330" t="s">
        <v>269</v>
      </c>
    </row>
    <row r="19" spans="1:2">
      <c r="A19" s="334">
        <v>11</v>
      </c>
      <c r="B19" s="335" t="s">
        <v>250</v>
      </c>
    </row>
    <row r="20" spans="1:2">
      <c r="A20" s="334">
        <v>12</v>
      </c>
      <c r="B20" s="335" t="s">
        <v>247</v>
      </c>
    </row>
    <row r="21" spans="1:2">
      <c r="A21" s="334">
        <v>13</v>
      </c>
      <c r="B21" s="337" t="s">
        <v>363</v>
      </c>
    </row>
    <row r="22" spans="1:2">
      <c r="A22" s="334">
        <v>14</v>
      </c>
      <c r="B22" s="338" t="s">
        <v>394</v>
      </c>
    </row>
    <row r="23" spans="1:2">
      <c r="A23" s="334">
        <v>15</v>
      </c>
      <c r="B23" s="335" t="s">
        <v>77</v>
      </c>
    </row>
    <row r="24" spans="1:2">
      <c r="A24" s="334">
        <v>15.1</v>
      </c>
      <c r="B24" s="330" t="s">
        <v>429</v>
      </c>
    </row>
    <row r="25" spans="1:2">
      <c r="A25" s="334">
        <v>16</v>
      </c>
      <c r="B25" s="330" t="s">
        <v>494</v>
      </c>
    </row>
    <row r="26" spans="1:2">
      <c r="A26" s="334">
        <v>17</v>
      </c>
      <c r="B26" s="330" t="s">
        <v>703</v>
      </c>
    </row>
    <row r="27" spans="1:2">
      <c r="A27" s="334">
        <v>18</v>
      </c>
      <c r="B27" s="330" t="s">
        <v>712</v>
      </c>
    </row>
    <row r="28" spans="1:2">
      <c r="A28" s="334">
        <v>19</v>
      </c>
      <c r="B28" s="330" t="s">
        <v>713</v>
      </c>
    </row>
    <row r="29" spans="1:2">
      <c r="A29" s="334">
        <v>20</v>
      </c>
      <c r="B29" s="338" t="s">
        <v>589</v>
      </c>
    </row>
    <row r="30" spans="1:2">
      <c r="A30" s="334">
        <v>21</v>
      </c>
      <c r="B30" s="330" t="s">
        <v>607</v>
      </c>
    </row>
    <row r="31" spans="1:2">
      <c r="A31" s="334">
        <v>22</v>
      </c>
      <c r="B31" s="497" t="s">
        <v>624</v>
      </c>
    </row>
    <row r="32" spans="1:2" ht="26.25">
      <c r="A32" s="334">
        <v>23</v>
      </c>
      <c r="B32" s="497" t="s">
        <v>704</v>
      </c>
    </row>
    <row r="33" spans="1:2">
      <c r="A33" s="334">
        <v>24</v>
      </c>
      <c r="B33" s="330" t="s">
        <v>705</v>
      </c>
    </row>
    <row r="34" spans="1:2">
      <c r="A34" s="334">
        <v>25</v>
      </c>
      <c r="B34" s="330" t="s">
        <v>706</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50" activePane="bottomRight" state="frozen"/>
      <selection pane="topRight" activeCell="B1" sqref="B1"/>
      <selection pane="bottomLeft" activeCell="A5" sqref="A5"/>
      <selection pane="bottomRight" activeCell="B56" sqref="B56"/>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"ტერაბანკი"</v>
      </c>
      <c r="D1" s="1"/>
      <c r="E1" s="1"/>
      <c r="F1" s="1"/>
    </row>
    <row r="2" spans="1:6" s="14" customFormat="1" ht="15.75" customHeight="1">
      <c r="A2" s="14" t="s">
        <v>189</v>
      </c>
      <c r="B2" s="403">
        <f>'1. key ratios'!B2</f>
        <v>44926</v>
      </c>
    </row>
    <row r="3" spans="1:6" s="14" customFormat="1" ht="15.75" customHeight="1"/>
    <row r="4" spans="1:6" ht="15.75" thickBot="1">
      <c r="A4" s="1" t="s">
        <v>336</v>
      </c>
      <c r="B4" s="52" t="s">
        <v>88</v>
      </c>
    </row>
    <row r="5" spans="1:6">
      <c r="A5" s="123" t="s">
        <v>26</v>
      </c>
      <c r="B5" s="124"/>
      <c r="C5" s="125" t="s">
        <v>27</v>
      </c>
    </row>
    <row r="6" spans="1:6">
      <c r="A6" s="126">
        <v>1</v>
      </c>
      <c r="B6" s="73" t="s">
        <v>28</v>
      </c>
      <c r="C6" s="241">
        <f>SUM(C7:C11)</f>
        <v>183358819.0999999</v>
      </c>
    </row>
    <row r="7" spans="1:6">
      <c r="A7" s="126">
        <v>2</v>
      </c>
      <c r="B7" s="70" t="s">
        <v>29</v>
      </c>
      <c r="C7" s="242">
        <v>121372000.00000001</v>
      </c>
    </row>
    <row r="8" spans="1:6">
      <c r="A8" s="126">
        <v>3</v>
      </c>
      <c r="B8" s="65" t="s">
        <v>30</v>
      </c>
      <c r="C8" s="242">
        <v>0</v>
      </c>
    </row>
    <row r="9" spans="1:6">
      <c r="A9" s="126">
        <v>4</v>
      </c>
      <c r="B9" s="65" t="s">
        <v>31</v>
      </c>
      <c r="C9" s="242">
        <v>0</v>
      </c>
    </row>
    <row r="10" spans="1:6">
      <c r="A10" s="126">
        <v>5</v>
      </c>
      <c r="B10" s="65" t="s">
        <v>32</v>
      </c>
      <c r="C10" s="242">
        <v>0</v>
      </c>
    </row>
    <row r="11" spans="1:6">
      <c r="A11" s="126">
        <v>6</v>
      </c>
      <c r="B11" s="71" t="s">
        <v>33</v>
      </c>
      <c r="C11" s="242">
        <v>61986819.099999875</v>
      </c>
    </row>
    <row r="12" spans="1:6" s="2" customFormat="1">
      <c r="A12" s="126">
        <v>7</v>
      </c>
      <c r="B12" s="73" t="s">
        <v>34</v>
      </c>
      <c r="C12" s="243">
        <f>SUM(C13:C27)</f>
        <v>24383047</v>
      </c>
    </row>
    <row r="13" spans="1:6" s="2" customFormat="1">
      <c r="A13" s="126">
        <v>8</v>
      </c>
      <c r="B13" s="72" t="s">
        <v>35</v>
      </c>
      <c r="C13" s="244">
        <v>0</v>
      </c>
    </row>
    <row r="14" spans="1:6" s="2" customFormat="1" ht="25.5">
      <c r="A14" s="126">
        <v>9</v>
      </c>
      <c r="B14" s="66" t="s">
        <v>36</v>
      </c>
      <c r="C14" s="244">
        <v>0</v>
      </c>
    </row>
    <row r="15" spans="1:6" s="2" customFormat="1">
      <c r="A15" s="126">
        <v>10</v>
      </c>
      <c r="B15" s="67" t="s">
        <v>37</v>
      </c>
      <c r="C15" s="244">
        <v>24383047</v>
      </c>
    </row>
    <row r="16" spans="1:6" s="2" customFormat="1">
      <c r="A16" s="126">
        <v>11</v>
      </c>
      <c r="B16" s="68" t="s">
        <v>38</v>
      </c>
      <c r="C16" s="244">
        <v>0</v>
      </c>
    </row>
    <row r="17" spans="1:3" s="2" customFormat="1">
      <c r="A17" s="126">
        <v>12</v>
      </c>
      <c r="B17" s="67" t="s">
        <v>39</v>
      </c>
      <c r="C17" s="244">
        <v>0</v>
      </c>
    </row>
    <row r="18" spans="1:3" s="2" customFormat="1">
      <c r="A18" s="126">
        <v>13</v>
      </c>
      <c r="B18" s="67" t="s">
        <v>40</v>
      </c>
      <c r="C18" s="244">
        <v>0</v>
      </c>
    </row>
    <row r="19" spans="1:3" s="2" customFormat="1">
      <c r="A19" s="126">
        <v>14</v>
      </c>
      <c r="B19" s="67" t="s">
        <v>41</v>
      </c>
      <c r="C19" s="244">
        <v>0</v>
      </c>
    </row>
    <row r="20" spans="1:3" s="2" customFormat="1" ht="25.5">
      <c r="A20" s="126">
        <v>15</v>
      </c>
      <c r="B20" s="67" t="s">
        <v>42</v>
      </c>
      <c r="C20" s="244">
        <v>0</v>
      </c>
    </row>
    <row r="21" spans="1:3" s="2" customFormat="1" ht="25.5">
      <c r="A21" s="126">
        <v>16</v>
      </c>
      <c r="B21" s="66" t="s">
        <v>43</v>
      </c>
      <c r="C21" s="244">
        <v>0</v>
      </c>
    </row>
    <row r="22" spans="1:3" s="2" customFormat="1">
      <c r="A22" s="126">
        <v>17</v>
      </c>
      <c r="B22" s="127" t="s">
        <v>44</v>
      </c>
      <c r="C22" s="244">
        <v>0</v>
      </c>
    </row>
    <row r="23" spans="1:3" s="2" customFormat="1" ht="25.5">
      <c r="A23" s="126">
        <v>18</v>
      </c>
      <c r="B23" s="66" t="s">
        <v>45</v>
      </c>
      <c r="C23" s="244">
        <v>0</v>
      </c>
    </row>
    <row r="24" spans="1:3" s="2" customFormat="1" ht="25.5">
      <c r="A24" s="126">
        <v>19</v>
      </c>
      <c r="B24" s="66" t="s">
        <v>46</v>
      </c>
      <c r="C24" s="244">
        <v>0</v>
      </c>
    </row>
    <row r="25" spans="1:3" s="2" customFormat="1" ht="25.5">
      <c r="A25" s="126">
        <v>20</v>
      </c>
      <c r="B25" s="68" t="s">
        <v>47</v>
      </c>
      <c r="C25" s="244">
        <v>0</v>
      </c>
    </row>
    <row r="26" spans="1:3" s="2" customFormat="1">
      <c r="A26" s="126">
        <v>21</v>
      </c>
      <c r="B26" s="68" t="s">
        <v>48</v>
      </c>
      <c r="C26" s="244">
        <v>0</v>
      </c>
    </row>
    <row r="27" spans="1:3" s="2" customFormat="1" ht="25.5">
      <c r="A27" s="126">
        <v>22</v>
      </c>
      <c r="B27" s="68" t="s">
        <v>49</v>
      </c>
      <c r="C27" s="244">
        <v>0</v>
      </c>
    </row>
    <row r="28" spans="1:3" s="2" customFormat="1">
      <c r="A28" s="126">
        <v>23</v>
      </c>
      <c r="B28" s="74" t="s">
        <v>23</v>
      </c>
      <c r="C28" s="243">
        <f>C6-C12</f>
        <v>158975772.0999999</v>
      </c>
    </row>
    <row r="29" spans="1:3" s="2" customFormat="1">
      <c r="A29" s="128"/>
      <c r="B29" s="69"/>
      <c r="C29" s="244"/>
    </row>
    <row r="30" spans="1:3" s="2" customFormat="1">
      <c r="A30" s="128">
        <v>24</v>
      </c>
      <c r="B30" s="74" t="s">
        <v>50</v>
      </c>
      <c r="C30" s="243">
        <f>C31+C34</f>
        <v>17563000</v>
      </c>
    </row>
    <row r="31" spans="1:3" s="2" customFormat="1">
      <c r="A31" s="128">
        <v>25</v>
      </c>
      <c r="B31" s="65" t="s">
        <v>51</v>
      </c>
      <c r="C31" s="245">
        <f>C32+C33</f>
        <v>17563000</v>
      </c>
    </row>
    <row r="32" spans="1:3" s="2" customFormat="1">
      <c r="A32" s="128">
        <v>26</v>
      </c>
      <c r="B32" s="164" t="s">
        <v>52</v>
      </c>
      <c r="C32" s="244">
        <v>0</v>
      </c>
    </row>
    <row r="33" spans="1:3" s="2" customFormat="1">
      <c r="A33" s="128">
        <v>27</v>
      </c>
      <c r="B33" s="164" t="s">
        <v>53</v>
      </c>
      <c r="C33" s="244">
        <v>17563000</v>
      </c>
    </row>
    <row r="34" spans="1:3" s="2" customFormat="1">
      <c r="A34" s="128">
        <v>28</v>
      </c>
      <c r="B34" s="65" t="s">
        <v>54</v>
      </c>
      <c r="C34" s="244">
        <v>0</v>
      </c>
    </row>
    <row r="35" spans="1:3" s="2" customFormat="1">
      <c r="A35" s="128">
        <v>29</v>
      </c>
      <c r="B35" s="74" t="s">
        <v>55</v>
      </c>
      <c r="C35" s="243">
        <f>SUM(C36:C40)</f>
        <v>0</v>
      </c>
    </row>
    <row r="36" spans="1:3" s="2" customFormat="1">
      <c r="A36" s="128">
        <v>30</v>
      </c>
      <c r="B36" s="66" t="s">
        <v>56</v>
      </c>
      <c r="C36" s="244">
        <v>0</v>
      </c>
    </row>
    <row r="37" spans="1:3" s="2" customFormat="1">
      <c r="A37" s="128">
        <v>31</v>
      </c>
      <c r="B37" s="67" t="s">
        <v>57</v>
      </c>
      <c r="C37" s="244">
        <v>0</v>
      </c>
    </row>
    <row r="38" spans="1:3" s="2" customFormat="1" ht="25.5">
      <c r="A38" s="128">
        <v>32</v>
      </c>
      <c r="B38" s="66" t="s">
        <v>58</v>
      </c>
      <c r="C38" s="244">
        <v>0</v>
      </c>
    </row>
    <row r="39" spans="1:3" s="2" customFormat="1" ht="25.5">
      <c r="A39" s="128">
        <v>33</v>
      </c>
      <c r="B39" s="66" t="s">
        <v>46</v>
      </c>
      <c r="C39" s="244">
        <v>0</v>
      </c>
    </row>
    <row r="40" spans="1:3" s="2" customFormat="1" ht="25.5">
      <c r="A40" s="128">
        <v>34</v>
      </c>
      <c r="B40" s="68" t="s">
        <v>59</v>
      </c>
      <c r="C40" s="244">
        <v>0</v>
      </c>
    </row>
    <row r="41" spans="1:3" s="2" customFormat="1">
      <c r="A41" s="128">
        <v>35</v>
      </c>
      <c r="B41" s="74" t="s">
        <v>24</v>
      </c>
      <c r="C41" s="243">
        <f>C30-C35</f>
        <v>17563000</v>
      </c>
    </row>
    <row r="42" spans="1:3" s="2" customFormat="1">
      <c r="A42" s="128"/>
      <c r="B42" s="69"/>
      <c r="C42" s="244"/>
    </row>
    <row r="43" spans="1:3" s="2" customFormat="1">
      <c r="A43" s="128">
        <v>36</v>
      </c>
      <c r="B43" s="75" t="s">
        <v>60</v>
      </c>
      <c r="C43" s="243">
        <f>SUM(C44:C46)</f>
        <v>48409452.984182231</v>
      </c>
    </row>
    <row r="44" spans="1:3" s="2" customFormat="1">
      <c r="A44" s="128">
        <v>37</v>
      </c>
      <c r="B44" s="65" t="s">
        <v>61</v>
      </c>
      <c r="C44" s="244">
        <v>34503594.039999999</v>
      </c>
    </row>
    <row r="45" spans="1:3" s="2" customFormat="1">
      <c r="A45" s="128">
        <v>38</v>
      </c>
      <c r="B45" s="65" t="s">
        <v>62</v>
      </c>
      <c r="C45" s="244">
        <v>0</v>
      </c>
    </row>
    <row r="46" spans="1:3" s="2" customFormat="1">
      <c r="A46" s="128">
        <v>39</v>
      </c>
      <c r="B46" s="65" t="s">
        <v>63</v>
      </c>
      <c r="C46" s="244">
        <v>13905858.94418223</v>
      </c>
    </row>
    <row r="47" spans="1:3" s="2" customFormat="1">
      <c r="A47" s="128">
        <v>40</v>
      </c>
      <c r="B47" s="75" t="s">
        <v>64</v>
      </c>
      <c r="C47" s="243">
        <f>SUM(C48:C51)</f>
        <v>0</v>
      </c>
    </row>
    <row r="48" spans="1:3" s="2" customFormat="1">
      <c r="A48" s="128">
        <v>41</v>
      </c>
      <c r="B48" s="66" t="s">
        <v>65</v>
      </c>
      <c r="C48" s="244">
        <v>0</v>
      </c>
    </row>
    <row r="49" spans="1:3" s="2" customFormat="1">
      <c r="A49" s="128">
        <v>42</v>
      </c>
      <c r="B49" s="67" t="s">
        <v>66</v>
      </c>
      <c r="C49" s="244">
        <v>0</v>
      </c>
    </row>
    <row r="50" spans="1:3" s="2" customFormat="1" ht="25.5">
      <c r="A50" s="128">
        <v>43</v>
      </c>
      <c r="B50" s="66" t="s">
        <v>67</v>
      </c>
      <c r="C50" s="244">
        <v>0</v>
      </c>
    </row>
    <row r="51" spans="1:3" s="2" customFormat="1" ht="25.5">
      <c r="A51" s="128">
        <v>44</v>
      </c>
      <c r="B51" s="66" t="s">
        <v>46</v>
      </c>
      <c r="C51" s="244">
        <v>0</v>
      </c>
    </row>
    <row r="52" spans="1:3" s="2" customFormat="1" ht="15.75" thickBot="1">
      <c r="A52" s="129">
        <v>45</v>
      </c>
      <c r="B52" s="130" t="s">
        <v>25</v>
      </c>
      <c r="C52" s="246">
        <f>C43-C47</f>
        <v>48409452.984182231</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tabSelected="1" workbookViewId="0">
      <selection activeCell="D11" sqref="D11"/>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"ტერაბანკი"</v>
      </c>
    </row>
    <row r="2" spans="1:4" s="14" customFormat="1" ht="15.75" customHeight="1">
      <c r="A2" s="14" t="s">
        <v>189</v>
      </c>
      <c r="B2" s="403">
        <f>'1. key ratios'!B2</f>
        <v>44926</v>
      </c>
    </row>
    <row r="3" spans="1:4" s="14" customFormat="1" ht="15.75" customHeight="1"/>
    <row r="4" spans="1:4" ht="13.5" thickBot="1">
      <c r="A4" s="1" t="s">
        <v>399</v>
      </c>
      <c r="B4" s="319" t="s">
        <v>400</v>
      </c>
    </row>
    <row r="5" spans="1:4" s="60" customFormat="1">
      <c r="A5" s="644" t="s">
        <v>401</v>
      </c>
      <c r="B5" s="645"/>
      <c r="C5" s="309" t="s">
        <v>402</v>
      </c>
      <c r="D5" s="310" t="s">
        <v>403</v>
      </c>
    </row>
    <row r="6" spans="1:4" s="320" customFormat="1">
      <c r="A6" s="311">
        <v>1</v>
      </c>
      <c r="B6" s="312" t="s">
        <v>404</v>
      </c>
      <c r="C6" s="312"/>
      <c r="D6" s="313"/>
    </row>
    <row r="7" spans="1:4" s="320" customFormat="1">
      <c r="A7" s="314" t="s">
        <v>405</v>
      </c>
      <c r="B7" s="315" t="s">
        <v>406</v>
      </c>
      <c r="C7" s="363">
        <v>4.4999999999999998E-2</v>
      </c>
      <c r="D7" s="539">
        <v>55709763.794193514</v>
      </c>
    </row>
    <row r="8" spans="1:4" s="320" customFormat="1">
      <c r="A8" s="314" t="s">
        <v>407</v>
      </c>
      <c r="B8" s="315" t="s">
        <v>408</v>
      </c>
      <c r="C8" s="364">
        <v>0.06</v>
      </c>
      <c r="D8" s="539">
        <v>74279685.058924675</v>
      </c>
    </row>
    <row r="9" spans="1:4" s="320" customFormat="1">
      <c r="A9" s="314" t="s">
        <v>409</v>
      </c>
      <c r="B9" s="315" t="s">
        <v>410</v>
      </c>
      <c r="C9" s="364">
        <v>0.08</v>
      </c>
      <c r="D9" s="539">
        <v>99039580.078566253</v>
      </c>
    </row>
    <row r="10" spans="1:4" s="320" customFormat="1">
      <c r="A10" s="311" t="s">
        <v>411</v>
      </c>
      <c r="B10" s="312" t="s">
        <v>412</v>
      </c>
      <c r="C10" s="365"/>
      <c r="D10" s="537"/>
    </row>
    <row r="11" spans="1:4" s="321" customFormat="1">
      <c r="A11" s="316" t="s">
        <v>413</v>
      </c>
      <c r="B11" s="317" t="s">
        <v>763</v>
      </c>
      <c r="C11" s="366">
        <v>2.5000000000000001E-2</v>
      </c>
      <c r="D11" s="536">
        <v>30949868.774551954</v>
      </c>
    </row>
    <row r="12" spans="1:4" s="321" customFormat="1">
      <c r="A12" s="316" t="s">
        <v>414</v>
      </c>
      <c r="B12" s="317" t="s">
        <v>415</v>
      </c>
      <c r="C12" s="366">
        <v>0</v>
      </c>
      <c r="D12" s="536">
        <v>0</v>
      </c>
    </row>
    <row r="13" spans="1:4" s="321" customFormat="1">
      <c r="A13" s="316" t="s">
        <v>416</v>
      </c>
      <c r="B13" s="317" t="s">
        <v>417</v>
      </c>
      <c r="C13" s="366">
        <v>0</v>
      </c>
      <c r="D13" s="536">
        <v>0</v>
      </c>
    </row>
    <row r="14" spans="1:4" s="320" customFormat="1">
      <c r="A14" s="311" t="s">
        <v>418</v>
      </c>
      <c r="B14" s="312" t="s">
        <v>473</v>
      </c>
      <c r="C14" s="367"/>
      <c r="D14" s="537"/>
    </row>
    <row r="15" spans="1:4" s="320" customFormat="1">
      <c r="A15" s="331" t="s">
        <v>421</v>
      </c>
      <c r="B15" s="317" t="s">
        <v>474</v>
      </c>
      <c r="C15" s="366">
        <v>2.6123774052407484E-2</v>
      </c>
      <c r="D15" s="536">
        <v>32341095.152722277</v>
      </c>
    </row>
    <row r="16" spans="1:4" s="320" customFormat="1">
      <c r="A16" s="331" t="s">
        <v>422</v>
      </c>
      <c r="B16" s="317" t="s">
        <v>424</v>
      </c>
      <c r="C16" s="366">
        <v>3.4893338347907421E-2</v>
      </c>
      <c r="D16" s="536">
        <v>43197769.718951046</v>
      </c>
    </row>
    <row r="17" spans="1:4" s="320" customFormat="1">
      <c r="A17" s="331" t="s">
        <v>423</v>
      </c>
      <c r="B17" s="317" t="s">
        <v>471</v>
      </c>
      <c r="C17" s="366">
        <v>5.3532593060870569E-2</v>
      </c>
      <c r="D17" s="536">
        <v>66273069.215817377</v>
      </c>
    </row>
    <row r="18" spans="1:4" s="60" customFormat="1">
      <c r="A18" s="646" t="s">
        <v>472</v>
      </c>
      <c r="B18" s="647"/>
      <c r="C18" s="368" t="s">
        <v>402</v>
      </c>
      <c r="D18" s="538" t="s">
        <v>403</v>
      </c>
    </row>
    <row r="19" spans="1:4" s="320" customFormat="1">
      <c r="A19" s="318">
        <v>4</v>
      </c>
      <c r="B19" s="317" t="s">
        <v>23</v>
      </c>
      <c r="C19" s="366">
        <f>7.11237740524075%+C11</f>
        <v>9.612377405240749E-2</v>
      </c>
      <c r="D19" s="539">
        <v>119000727.72146775</v>
      </c>
    </row>
    <row r="20" spans="1:4" s="320" customFormat="1">
      <c r="A20" s="318">
        <v>5</v>
      </c>
      <c r="B20" s="317" t="s">
        <v>89</v>
      </c>
      <c r="C20" s="366">
        <f>9.48933383479074%+C11</f>
        <v>0.11989333834790741</v>
      </c>
      <c r="D20" s="539">
        <v>148427323.55242768</v>
      </c>
    </row>
    <row r="21" spans="1:4" s="320" customFormat="1" ht="13.5" thickBot="1">
      <c r="A21" s="322" t="s">
        <v>419</v>
      </c>
      <c r="B21" s="323" t="s">
        <v>88</v>
      </c>
      <c r="C21" s="369">
        <f>13.3532593060871%+C11</f>
        <v>0.158532593060871</v>
      </c>
      <c r="D21" s="540">
        <v>196262518.0689356</v>
      </c>
    </row>
    <row r="23" spans="1:4">
      <c r="B23" s="18"/>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90" zoomScaleNormal="90" workbookViewId="0">
      <pane xSplit="1" ySplit="5" topLeftCell="B47" activePane="bottomRight" state="frozen"/>
      <selection pane="topRight" activeCell="B1" sqref="B1"/>
      <selection pane="bottomLeft" activeCell="A5" sqref="A5"/>
      <selection pane="bottomRight" activeCell="C6" sqref="C6:C45"/>
    </sheetView>
  </sheetViews>
  <sheetFormatPr defaultRowHeight="15.75"/>
  <cols>
    <col min="1" max="1" width="10.7109375" style="61" customWidth="1"/>
    <col min="2" max="2" width="91.85546875" style="61" customWidth="1"/>
    <col min="3" max="3" width="53.140625" style="61" customWidth="1"/>
    <col min="4" max="4" width="32.28515625" style="61" customWidth="1"/>
    <col min="5" max="5" width="9.42578125" customWidth="1"/>
  </cols>
  <sheetData>
    <row r="1" spans="1:6">
      <c r="A1" s="14" t="s">
        <v>188</v>
      </c>
      <c r="B1" s="15" t="str">
        <f>Info!C2</f>
        <v>ს.ს. "ტერაბანკი"</v>
      </c>
      <c r="E1" s="1"/>
      <c r="F1" s="1"/>
    </row>
    <row r="2" spans="1:6" s="14" customFormat="1" ht="15.75" customHeight="1">
      <c r="A2" s="14" t="s">
        <v>189</v>
      </c>
      <c r="B2" s="403">
        <f>'1. key ratios'!B2</f>
        <v>44926</v>
      </c>
    </row>
    <row r="3" spans="1:6" s="14" customFormat="1" ht="15.75" customHeight="1">
      <c r="A3" s="21"/>
    </row>
    <row r="4" spans="1:6" s="14" customFormat="1" ht="15.75" customHeight="1" thickBot="1">
      <c r="A4" s="14" t="s">
        <v>337</v>
      </c>
      <c r="B4" s="186" t="s">
        <v>269</v>
      </c>
      <c r="D4" s="188" t="s">
        <v>93</v>
      </c>
    </row>
    <row r="5" spans="1:6" ht="38.25">
      <c r="A5" s="142" t="s">
        <v>26</v>
      </c>
      <c r="B5" s="143" t="s">
        <v>231</v>
      </c>
      <c r="C5" s="144" t="s">
        <v>237</v>
      </c>
      <c r="D5" s="187" t="s">
        <v>270</v>
      </c>
    </row>
    <row r="6" spans="1:6">
      <c r="A6" s="131">
        <v>1</v>
      </c>
      <c r="B6" s="76" t="s">
        <v>154</v>
      </c>
      <c r="C6" s="541">
        <v>38955606.119909823</v>
      </c>
      <c r="D6" s="132"/>
      <c r="E6" s="5"/>
    </row>
    <row r="7" spans="1:6">
      <c r="A7" s="131">
        <v>2</v>
      </c>
      <c r="B7" s="77" t="s">
        <v>155</v>
      </c>
      <c r="C7" s="542">
        <v>147382658.47999999</v>
      </c>
      <c r="D7" s="133"/>
      <c r="E7" s="5"/>
    </row>
    <row r="8" spans="1:6">
      <c r="A8" s="131">
        <v>3</v>
      </c>
      <c r="B8" s="77" t="s">
        <v>156</v>
      </c>
      <c r="C8" s="542">
        <v>59183635.189999998</v>
      </c>
      <c r="D8" s="133"/>
      <c r="E8" s="5"/>
    </row>
    <row r="9" spans="1:6">
      <c r="A9" s="131">
        <v>4</v>
      </c>
      <c r="B9" s="77" t="s">
        <v>185</v>
      </c>
      <c r="C9" s="542">
        <v>0</v>
      </c>
      <c r="D9" s="133"/>
      <c r="E9" s="5"/>
    </row>
    <row r="10" spans="1:6">
      <c r="A10" s="131">
        <v>5</v>
      </c>
      <c r="B10" s="77" t="s">
        <v>157</v>
      </c>
      <c r="C10" s="542">
        <v>155888800.59999999</v>
      </c>
      <c r="D10" s="133"/>
      <c r="E10" s="5"/>
    </row>
    <row r="11" spans="1:6">
      <c r="A11" s="131">
        <v>6.1</v>
      </c>
      <c r="B11" s="77" t="s">
        <v>158</v>
      </c>
      <c r="C11" s="543">
        <v>1074139566.0699959</v>
      </c>
      <c r="D11" s="134"/>
      <c r="E11" s="6"/>
    </row>
    <row r="12" spans="1:6">
      <c r="A12" s="131">
        <v>6.2</v>
      </c>
      <c r="B12" s="78" t="s">
        <v>159</v>
      </c>
      <c r="C12" s="543">
        <v>-44905547.519999802</v>
      </c>
      <c r="D12" s="134"/>
      <c r="E12" s="6"/>
    </row>
    <row r="13" spans="1:6">
      <c r="A13" s="131" t="s">
        <v>371</v>
      </c>
      <c r="B13" s="79" t="s">
        <v>372</v>
      </c>
      <c r="C13" s="543">
        <v>-18635043.539999984</v>
      </c>
      <c r="D13" s="134"/>
      <c r="E13" s="6"/>
    </row>
    <row r="14" spans="1:6">
      <c r="A14" s="131" t="s">
        <v>492</v>
      </c>
      <c r="B14" s="79" t="s">
        <v>481</v>
      </c>
      <c r="C14" s="543">
        <v>0</v>
      </c>
      <c r="D14" s="134"/>
      <c r="E14" s="6"/>
    </row>
    <row r="15" spans="1:6">
      <c r="A15" s="131">
        <v>6</v>
      </c>
      <c r="B15" s="77" t="s">
        <v>160</v>
      </c>
      <c r="C15" s="544">
        <v>1029234018.5499961</v>
      </c>
      <c r="D15" s="134"/>
      <c r="E15" s="5"/>
    </row>
    <row r="16" spans="1:6">
      <c r="A16" s="131">
        <v>7</v>
      </c>
      <c r="B16" s="77" t="s">
        <v>161</v>
      </c>
      <c r="C16" s="542">
        <v>11137249.879999936</v>
      </c>
      <c r="D16" s="133"/>
      <c r="E16" s="5"/>
    </row>
    <row r="17" spans="1:5">
      <c r="A17" s="131">
        <v>8</v>
      </c>
      <c r="B17" s="77" t="s">
        <v>162</v>
      </c>
      <c r="C17" s="542">
        <v>5126924.3300000019</v>
      </c>
      <c r="D17" s="133"/>
      <c r="E17" s="5"/>
    </row>
    <row r="18" spans="1:5">
      <c r="A18" s="131">
        <v>9</v>
      </c>
      <c r="B18" s="77" t="s">
        <v>163</v>
      </c>
      <c r="C18" s="542">
        <v>0</v>
      </c>
      <c r="D18" s="133"/>
      <c r="E18" s="5"/>
    </row>
    <row r="19" spans="1:5">
      <c r="A19" s="131">
        <v>9.1</v>
      </c>
      <c r="B19" s="79" t="s">
        <v>246</v>
      </c>
      <c r="C19" s="543">
        <v>0</v>
      </c>
      <c r="D19" s="133"/>
      <c r="E19" s="5"/>
    </row>
    <row r="20" spans="1:5">
      <c r="A20" s="131">
        <v>9.1999999999999993</v>
      </c>
      <c r="B20" s="79" t="s">
        <v>236</v>
      </c>
      <c r="C20" s="543">
        <v>0</v>
      </c>
      <c r="D20" s="133"/>
      <c r="E20" s="5"/>
    </row>
    <row r="21" spans="1:5">
      <c r="A21" s="131">
        <v>9.3000000000000007</v>
      </c>
      <c r="B21" s="79" t="s">
        <v>235</v>
      </c>
      <c r="C21" s="543">
        <v>0</v>
      </c>
      <c r="D21" s="133"/>
      <c r="E21" s="5"/>
    </row>
    <row r="22" spans="1:5">
      <c r="A22" s="131">
        <v>10</v>
      </c>
      <c r="B22" s="77" t="s">
        <v>164</v>
      </c>
      <c r="C22" s="542">
        <v>47013183.240000017</v>
      </c>
      <c r="D22" s="133"/>
      <c r="E22" s="5"/>
    </row>
    <row r="23" spans="1:5">
      <c r="A23" s="131">
        <v>10.1</v>
      </c>
      <c r="B23" s="79" t="s">
        <v>234</v>
      </c>
      <c r="C23" s="542">
        <v>24383047</v>
      </c>
      <c r="D23" s="212" t="s">
        <v>344</v>
      </c>
      <c r="E23" s="5"/>
    </row>
    <row r="24" spans="1:5">
      <c r="A24" s="131">
        <v>11</v>
      </c>
      <c r="B24" s="80" t="s">
        <v>165</v>
      </c>
      <c r="C24" s="545">
        <v>9806283.1634</v>
      </c>
      <c r="D24" s="135"/>
      <c r="E24" s="5"/>
    </row>
    <row r="25" spans="1:5">
      <c r="A25" s="131">
        <v>12</v>
      </c>
      <c r="B25" s="82" t="s">
        <v>166</v>
      </c>
      <c r="C25" s="247">
        <f>SUM(C6:C10,C15:C18,C22,C24)</f>
        <v>1503728359.5533056</v>
      </c>
      <c r="D25" s="136"/>
      <c r="E25" s="4"/>
    </row>
    <row r="26" spans="1:5">
      <c r="A26" s="131">
        <v>13</v>
      </c>
      <c r="B26" s="77" t="s">
        <v>167</v>
      </c>
      <c r="C26" s="546">
        <v>53451.51</v>
      </c>
      <c r="D26" s="137"/>
      <c r="E26" s="5"/>
    </row>
    <row r="27" spans="1:5">
      <c r="A27" s="131">
        <v>14</v>
      </c>
      <c r="B27" s="77" t="s">
        <v>168</v>
      </c>
      <c r="C27" s="542">
        <v>242123504.26002365</v>
      </c>
      <c r="D27" s="133"/>
      <c r="E27" s="5"/>
    </row>
    <row r="28" spans="1:5">
      <c r="A28" s="131">
        <v>15</v>
      </c>
      <c r="B28" s="77" t="s">
        <v>169</v>
      </c>
      <c r="C28" s="542">
        <v>228574255.92999989</v>
      </c>
      <c r="D28" s="133"/>
      <c r="E28" s="5"/>
    </row>
    <row r="29" spans="1:5">
      <c r="A29" s="131">
        <v>16</v>
      </c>
      <c r="B29" s="77" t="s">
        <v>170</v>
      </c>
      <c r="C29" s="542">
        <v>481294940.86999977</v>
      </c>
      <c r="D29" s="133"/>
      <c r="E29" s="5"/>
    </row>
    <row r="30" spans="1:5">
      <c r="A30" s="131">
        <v>17</v>
      </c>
      <c r="B30" s="77" t="s">
        <v>171</v>
      </c>
      <c r="C30" s="542">
        <v>17563000</v>
      </c>
      <c r="D30" s="133"/>
      <c r="E30" s="5"/>
    </row>
    <row r="31" spans="1:5">
      <c r="A31" s="131">
        <v>18</v>
      </c>
      <c r="B31" s="77" t="s">
        <v>172</v>
      </c>
      <c r="C31" s="542">
        <v>253450566.03</v>
      </c>
      <c r="D31" s="133"/>
      <c r="E31" s="5"/>
    </row>
    <row r="32" spans="1:5">
      <c r="A32" s="131">
        <v>19</v>
      </c>
      <c r="B32" s="77" t="s">
        <v>173</v>
      </c>
      <c r="C32" s="542">
        <v>6999898.4600000018</v>
      </c>
      <c r="D32" s="133"/>
      <c r="E32" s="5"/>
    </row>
    <row r="33" spans="1:5">
      <c r="A33" s="131">
        <v>20</v>
      </c>
      <c r="B33" s="77" t="s">
        <v>95</v>
      </c>
      <c r="C33" s="542">
        <v>32617870.13000001</v>
      </c>
      <c r="D33" s="133"/>
      <c r="E33" s="5"/>
    </row>
    <row r="34" spans="1:5">
      <c r="A34" s="131">
        <v>20.100000000000001</v>
      </c>
      <c r="B34" s="81" t="s">
        <v>370</v>
      </c>
      <c r="C34" s="545">
        <v>839306.61999999988</v>
      </c>
      <c r="D34" s="135"/>
      <c r="E34" s="5"/>
    </row>
    <row r="35" spans="1:5">
      <c r="A35" s="131">
        <v>21</v>
      </c>
      <c r="B35" s="80" t="s">
        <v>174</v>
      </c>
      <c r="C35" s="545">
        <v>57692053.310000002</v>
      </c>
      <c r="D35" s="135"/>
      <c r="E35" s="5"/>
    </row>
    <row r="36" spans="1:5">
      <c r="A36" s="131">
        <v>21.1</v>
      </c>
      <c r="B36" s="81" t="s">
        <v>233</v>
      </c>
      <c r="C36" s="547">
        <v>34503594.039999999</v>
      </c>
      <c r="D36" s="138"/>
      <c r="E36" s="5"/>
    </row>
    <row r="37" spans="1:5">
      <c r="A37" s="131">
        <v>22</v>
      </c>
      <c r="B37" s="82" t="s">
        <v>175</v>
      </c>
      <c r="C37" s="247">
        <f>SUM(C26:C35)</f>
        <v>1321208847.1200233</v>
      </c>
      <c r="D37" s="136"/>
      <c r="E37" s="4"/>
    </row>
    <row r="38" spans="1:5">
      <c r="A38" s="131">
        <v>23</v>
      </c>
      <c r="B38" s="80" t="s">
        <v>176</v>
      </c>
      <c r="C38" s="542">
        <v>121372000</v>
      </c>
      <c r="D38" s="133"/>
      <c r="E38" s="5"/>
    </row>
    <row r="39" spans="1:5">
      <c r="A39" s="131">
        <v>24</v>
      </c>
      <c r="B39" s="80" t="s">
        <v>177</v>
      </c>
      <c r="C39" s="542">
        <v>0</v>
      </c>
      <c r="D39" s="133"/>
      <c r="E39" s="5"/>
    </row>
    <row r="40" spans="1:5">
      <c r="A40" s="131">
        <v>25</v>
      </c>
      <c r="B40" s="80" t="s">
        <v>232</v>
      </c>
      <c r="C40" s="542">
        <v>0</v>
      </c>
      <c r="D40" s="133"/>
      <c r="E40" s="5"/>
    </row>
    <row r="41" spans="1:5">
      <c r="A41" s="131">
        <v>26</v>
      </c>
      <c r="B41" s="80" t="s">
        <v>179</v>
      </c>
      <c r="C41" s="542">
        <v>0</v>
      </c>
      <c r="D41" s="133"/>
      <c r="E41" s="5"/>
    </row>
    <row r="42" spans="1:5">
      <c r="A42" s="131">
        <v>27</v>
      </c>
      <c r="B42" s="80" t="s">
        <v>180</v>
      </c>
      <c r="C42" s="542">
        <v>0</v>
      </c>
      <c r="D42" s="133"/>
      <c r="E42" s="5"/>
    </row>
    <row r="43" spans="1:5">
      <c r="A43" s="131">
        <v>28</v>
      </c>
      <c r="B43" s="80" t="s">
        <v>181</v>
      </c>
      <c r="C43" s="542">
        <v>61986819.089999996</v>
      </c>
      <c r="D43" s="133"/>
      <c r="E43" s="5"/>
    </row>
    <row r="44" spans="1:5">
      <c r="A44" s="131">
        <v>29</v>
      </c>
      <c r="B44" s="80" t="s">
        <v>35</v>
      </c>
      <c r="C44" s="542">
        <v>0</v>
      </c>
      <c r="D44" s="133"/>
      <c r="E44" s="5"/>
    </row>
    <row r="45" spans="1:5" ht="16.5" thickBot="1">
      <c r="A45" s="139">
        <v>30</v>
      </c>
      <c r="B45" s="140" t="s">
        <v>182</v>
      </c>
      <c r="C45" s="248">
        <f>SUM(C38:C44)</f>
        <v>183358819.09</v>
      </c>
      <c r="D45" s="141"/>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90" zoomScaleNormal="90" workbookViewId="0">
      <pane xSplit="2" ySplit="7" topLeftCell="P8" activePane="bottomRight" state="frozen"/>
      <selection pane="topRight" activeCell="C1" sqref="C1"/>
      <selection pane="bottomLeft" activeCell="A8" sqref="A8"/>
      <selection pane="bottomRight" activeCell="S20" sqref="S20"/>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2.42578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5703125" style="1" bestFit="1" customWidth="1"/>
    <col min="15" max="15" width="12.42578125" style="1" bestFit="1" customWidth="1"/>
    <col min="16" max="16" width="13.42578125" style="1" bestFit="1" customWidth="1"/>
    <col min="17" max="17" width="9.5703125" style="1" bestFit="1" customWidth="1"/>
    <col min="18" max="18" width="13.42578125" style="1" bestFit="1" customWidth="1"/>
    <col min="19" max="19" width="31.5703125" style="1" bestFit="1" customWidth="1"/>
    <col min="20" max="16384" width="9.140625" style="9"/>
  </cols>
  <sheetData>
    <row r="1" spans="1:19">
      <c r="A1" s="1" t="s">
        <v>188</v>
      </c>
      <c r="B1" s="1" t="str">
        <f>Info!C2</f>
        <v>ს.ს. "ტერაბანკი"</v>
      </c>
    </row>
    <row r="2" spans="1:19">
      <c r="A2" s="1" t="s">
        <v>189</v>
      </c>
      <c r="B2" s="403">
        <f>'1. key ratios'!B2</f>
        <v>44926</v>
      </c>
    </row>
    <row r="4" spans="1:19" ht="26.25" thickBot="1">
      <c r="A4" s="60" t="s">
        <v>338</v>
      </c>
      <c r="B4" s="258" t="s">
        <v>360</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347</v>
      </c>
      <c r="P5" s="106" t="s">
        <v>348</v>
      </c>
      <c r="Q5" s="106" t="s">
        <v>349</v>
      </c>
      <c r="R5" s="254" t="s">
        <v>350</v>
      </c>
      <c r="S5" s="107" t="s">
        <v>351</v>
      </c>
    </row>
    <row r="6" spans="1:19" ht="46.5" customHeight="1">
      <c r="A6" s="145"/>
      <c r="B6" s="652" t="s">
        <v>352</v>
      </c>
      <c r="C6" s="650">
        <v>0</v>
      </c>
      <c r="D6" s="651"/>
      <c r="E6" s="650">
        <v>0.2</v>
      </c>
      <c r="F6" s="651"/>
      <c r="G6" s="650">
        <v>0.35</v>
      </c>
      <c r="H6" s="651"/>
      <c r="I6" s="650">
        <v>0.5</v>
      </c>
      <c r="J6" s="651"/>
      <c r="K6" s="650">
        <v>0.75</v>
      </c>
      <c r="L6" s="651"/>
      <c r="M6" s="650">
        <v>1</v>
      </c>
      <c r="N6" s="651"/>
      <c r="O6" s="650">
        <v>1.5</v>
      </c>
      <c r="P6" s="651"/>
      <c r="Q6" s="650">
        <v>2.5</v>
      </c>
      <c r="R6" s="651"/>
      <c r="S6" s="648" t="s">
        <v>251</v>
      </c>
    </row>
    <row r="7" spans="1:19">
      <c r="A7" s="145"/>
      <c r="B7" s="653"/>
      <c r="C7" s="257" t="s">
        <v>345</v>
      </c>
      <c r="D7" s="257" t="s">
        <v>346</v>
      </c>
      <c r="E7" s="257" t="s">
        <v>345</v>
      </c>
      <c r="F7" s="257" t="s">
        <v>346</v>
      </c>
      <c r="G7" s="257" t="s">
        <v>345</v>
      </c>
      <c r="H7" s="257" t="s">
        <v>346</v>
      </c>
      <c r="I7" s="257" t="s">
        <v>345</v>
      </c>
      <c r="J7" s="257" t="s">
        <v>346</v>
      </c>
      <c r="K7" s="257" t="s">
        <v>345</v>
      </c>
      <c r="L7" s="257" t="s">
        <v>346</v>
      </c>
      <c r="M7" s="257" t="s">
        <v>345</v>
      </c>
      <c r="N7" s="257" t="s">
        <v>346</v>
      </c>
      <c r="O7" s="257" t="s">
        <v>345</v>
      </c>
      <c r="P7" s="257" t="s">
        <v>346</v>
      </c>
      <c r="Q7" s="257" t="s">
        <v>345</v>
      </c>
      <c r="R7" s="257" t="s">
        <v>346</v>
      </c>
      <c r="S7" s="649"/>
    </row>
    <row r="8" spans="1:19">
      <c r="A8" s="110">
        <v>1</v>
      </c>
      <c r="B8" s="163" t="s">
        <v>216</v>
      </c>
      <c r="C8" s="548">
        <v>179698825.52000001</v>
      </c>
      <c r="D8" s="548">
        <v>0</v>
      </c>
      <c r="E8" s="548">
        <v>0</v>
      </c>
      <c r="F8" s="549">
        <v>0</v>
      </c>
      <c r="G8" s="548">
        <v>0</v>
      </c>
      <c r="H8" s="548">
        <v>0</v>
      </c>
      <c r="I8" s="548">
        <v>0</v>
      </c>
      <c r="J8" s="548">
        <v>0</v>
      </c>
      <c r="K8" s="548">
        <v>0</v>
      </c>
      <c r="L8" s="548">
        <v>0</v>
      </c>
      <c r="M8" s="548">
        <v>118772622.98</v>
      </c>
      <c r="N8" s="548">
        <v>0</v>
      </c>
      <c r="O8" s="548">
        <v>0</v>
      </c>
      <c r="P8" s="548">
        <v>0</v>
      </c>
      <c r="Q8" s="548">
        <v>0</v>
      </c>
      <c r="R8" s="549">
        <v>0</v>
      </c>
      <c r="S8" s="261">
        <f>$C$6*SUM(C8:D8)+$E$6*SUM(E8:F8)+$G$6*SUM(G8:H8)+$I$6*SUM(I8:J8)+$K$6*SUM(K8:L8)+$M$6*SUM(M8:N8)+$O$6*SUM(O8:P8)+$Q$6*SUM(Q8:R8)</f>
        <v>118772622.98</v>
      </c>
    </row>
    <row r="9" spans="1:19">
      <c r="A9" s="110">
        <v>2</v>
      </c>
      <c r="B9" s="163" t="s">
        <v>217</v>
      </c>
      <c r="C9" s="548">
        <v>0</v>
      </c>
      <c r="D9" s="548">
        <v>0</v>
      </c>
      <c r="E9" s="548">
        <v>0</v>
      </c>
      <c r="F9" s="548">
        <v>0</v>
      </c>
      <c r="G9" s="548">
        <v>0</v>
      </c>
      <c r="H9" s="548">
        <v>0</v>
      </c>
      <c r="I9" s="548">
        <v>0</v>
      </c>
      <c r="J9" s="548">
        <v>0</v>
      </c>
      <c r="K9" s="548">
        <v>0</v>
      </c>
      <c r="L9" s="548">
        <v>0</v>
      </c>
      <c r="M9" s="548">
        <v>0</v>
      </c>
      <c r="N9" s="548">
        <v>0</v>
      </c>
      <c r="O9" s="548">
        <v>0</v>
      </c>
      <c r="P9" s="548">
        <v>0</v>
      </c>
      <c r="Q9" s="548">
        <v>0</v>
      </c>
      <c r="R9" s="549">
        <v>0</v>
      </c>
      <c r="S9" s="261">
        <f t="shared" ref="S9:S21" si="0">$C$6*SUM(C9:D9)+$E$6*SUM(E9:F9)+$G$6*SUM(G9:H9)+$I$6*SUM(I9:J9)+$K$6*SUM(K9:L9)+$M$6*SUM(M9:N9)+$O$6*SUM(O9:P9)+$Q$6*SUM(Q9:R9)</f>
        <v>0</v>
      </c>
    </row>
    <row r="10" spans="1:19">
      <c r="A10" s="110">
        <v>3</v>
      </c>
      <c r="B10" s="163" t="s">
        <v>218</v>
      </c>
      <c r="C10" s="548">
        <v>0</v>
      </c>
      <c r="D10" s="548">
        <v>0</v>
      </c>
      <c r="E10" s="548">
        <v>0</v>
      </c>
      <c r="F10" s="548">
        <v>0</v>
      </c>
      <c r="G10" s="548">
        <v>0</v>
      </c>
      <c r="H10" s="548">
        <v>0</v>
      </c>
      <c r="I10" s="548">
        <v>0</v>
      </c>
      <c r="J10" s="548">
        <v>0</v>
      </c>
      <c r="K10" s="548">
        <v>0</v>
      </c>
      <c r="L10" s="548">
        <v>0</v>
      </c>
      <c r="M10" s="548">
        <v>0</v>
      </c>
      <c r="N10" s="548">
        <v>0</v>
      </c>
      <c r="O10" s="548">
        <v>0</v>
      </c>
      <c r="P10" s="548">
        <v>0</v>
      </c>
      <c r="Q10" s="548">
        <v>0</v>
      </c>
      <c r="R10" s="549">
        <v>0</v>
      </c>
      <c r="S10" s="261">
        <f t="shared" si="0"/>
        <v>0</v>
      </c>
    </row>
    <row r="11" spans="1:19">
      <c r="A11" s="110">
        <v>4</v>
      </c>
      <c r="B11" s="163" t="s">
        <v>219</v>
      </c>
      <c r="C11" s="548">
        <v>0</v>
      </c>
      <c r="D11" s="548">
        <v>0</v>
      </c>
      <c r="E11" s="548">
        <v>0</v>
      </c>
      <c r="F11" s="548">
        <v>0</v>
      </c>
      <c r="G11" s="548">
        <v>0</v>
      </c>
      <c r="H11" s="548">
        <v>0</v>
      </c>
      <c r="I11" s="548">
        <v>0</v>
      </c>
      <c r="J11" s="548">
        <v>0</v>
      </c>
      <c r="K11" s="548">
        <v>0</v>
      </c>
      <c r="L11" s="548">
        <v>0</v>
      </c>
      <c r="M11" s="548">
        <v>0</v>
      </c>
      <c r="N11" s="548">
        <v>0</v>
      </c>
      <c r="O11" s="548">
        <v>0</v>
      </c>
      <c r="P11" s="548">
        <v>0</v>
      </c>
      <c r="Q11" s="548">
        <v>0</v>
      </c>
      <c r="R11" s="549">
        <v>0</v>
      </c>
      <c r="S11" s="261">
        <f t="shared" si="0"/>
        <v>0</v>
      </c>
    </row>
    <row r="12" spans="1:19">
      <c r="A12" s="110">
        <v>5</v>
      </c>
      <c r="B12" s="163" t="s">
        <v>220</v>
      </c>
      <c r="C12" s="548">
        <v>0</v>
      </c>
      <c r="D12" s="548">
        <v>0</v>
      </c>
      <c r="E12" s="548">
        <v>0</v>
      </c>
      <c r="F12" s="548">
        <v>0</v>
      </c>
      <c r="G12" s="548">
        <v>0</v>
      </c>
      <c r="H12" s="548">
        <v>0</v>
      </c>
      <c r="I12" s="548">
        <v>0</v>
      </c>
      <c r="J12" s="548">
        <v>0</v>
      </c>
      <c r="K12" s="548">
        <v>0</v>
      </c>
      <c r="L12" s="548">
        <v>0</v>
      </c>
      <c r="M12" s="548">
        <v>0</v>
      </c>
      <c r="N12" s="548">
        <v>0</v>
      </c>
      <c r="O12" s="548">
        <v>0</v>
      </c>
      <c r="P12" s="548">
        <v>0</v>
      </c>
      <c r="Q12" s="548">
        <v>0</v>
      </c>
      <c r="R12" s="549">
        <v>0</v>
      </c>
      <c r="S12" s="261">
        <f t="shared" si="0"/>
        <v>0</v>
      </c>
    </row>
    <row r="13" spans="1:19">
      <c r="A13" s="110">
        <v>6</v>
      </c>
      <c r="B13" s="163" t="s">
        <v>221</v>
      </c>
      <c r="C13" s="548">
        <v>0</v>
      </c>
      <c r="D13" s="548">
        <v>0</v>
      </c>
      <c r="E13" s="548">
        <v>3552819.1599999997</v>
      </c>
      <c r="F13" s="548">
        <v>0</v>
      </c>
      <c r="G13" s="548">
        <v>0</v>
      </c>
      <c r="H13" s="548">
        <v>0</v>
      </c>
      <c r="I13" s="548">
        <v>52594211.240000002</v>
      </c>
      <c r="J13" s="548">
        <v>0</v>
      </c>
      <c r="K13" s="548">
        <v>0</v>
      </c>
      <c r="L13" s="548">
        <v>0</v>
      </c>
      <c r="M13" s="548">
        <v>3036604.79</v>
      </c>
      <c r="N13" s="548">
        <v>0</v>
      </c>
      <c r="O13" s="548">
        <v>0</v>
      </c>
      <c r="P13" s="548">
        <v>0</v>
      </c>
      <c r="Q13" s="548">
        <v>0</v>
      </c>
      <c r="R13" s="549">
        <v>0</v>
      </c>
      <c r="S13" s="261">
        <f t="shared" si="0"/>
        <v>30044274.241999999</v>
      </c>
    </row>
    <row r="14" spans="1:19">
      <c r="A14" s="110">
        <v>7</v>
      </c>
      <c r="B14" s="163" t="s">
        <v>73</v>
      </c>
      <c r="C14" s="548">
        <v>0</v>
      </c>
      <c r="D14" s="548">
        <v>0</v>
      </c>
      <c r="E14" s="548">
        <v>0</v>
      </c>
      <c r="F14" s="548">
        <v>0</v>
      </c>
      <c r="G14" s="548">
        <v>0</v>
      </c>
      <c r="H14" s="548">
        <v>0</v>
      </c>
      <c r="I14" s="548">
        <v>0</v>
      </c>
      <c r="J14" s="548">
        <v>0</v>
      </c>
      <c r="K14" s="548">
        <v>0</v>
      </c>
      <c r="L14" s="548">
        <v>0</v>
      </c>
      <c r="M14" s="548">
        <v>516342105.84124601</v>
      </c>
      <c r="N14" s="548">
        <v>29707471.295999996</v>
      </c>
      <c r="O14" s="548">
        <v>0</v>
      </c>
      <c r="P14" s="548">
        <v>0</v>
      </c>
      <c r="Q14" s="548">
        <v>0</v>
      </c>
      <c r="R14" s="549">
        <v>0</v>
      </c>
      <c r="S14" s="261">
        <f t="shared" si="0"/>
        <v>546049577.13724601</v>
      </c>
    </row>
    <row r="15" spans="1:19">
      <c r="A15" s="110">
        <v>8</v>
      </c>
      <c r="B15" s="163" t="s">
        <v>74</v>
      </c>
      <c r="C15" s="548">
        <v>0</v>
      </c>
      <c r="D15" s="548">
        <v>0</v>
      </c>
      <c r="E15" s="548">
        <v>0</v>
      </c>
      <c r="F15" s="548">
        <v>0</v>
      </c>
      <c r="G15" s="548">
        <v>0</v>
      </c>
      <c r="H15" s="548">
        <v>0</v>
      </c>
      <c r="I15" s="548">
        <v>0</v>
      </c>
      <c r="J15" s="548">
        <v>0</v>
      </c>
      <c r="K15" s="548">
        <v>364525511.81976563</v>
      </c>
      <c r="L15" s="548">
        <v>10560957.458000002</v>
      </c>
      <c r="M15" s="548">
        <v>0</v>
      </c>
      <c r="N15" s="548">
        <v>0</v>
      </c>
      <c r="O15" s="548">
        <v>0</v>
      </c>
      <c r="P15" s="548">
        <v>0</v>
      </c>
      <c r="Q15" s="548">
        <v>0</v>
      </c>
      <c r="R15" s="549">
        <v>0</v>
      </c>
      <c r="S15" s="261">
        <f t="shared" si="0"/>
        <v>281314851.95832419</v>
      </c>
    </row>
    <row r="16" spans="1:19">
      <c r="A16" s="110">
        <v>9</v>
      </c>
      <c r="B16" s="163" t="s">
        <v>75</v>
      </c>
      <c r="C16" s="548">
        <v>0</v>
      </c>
      <c r="D16" s="548">
        <v>0</v>
      </c>
      <c r="E16" s="548">
        <v>0</v>
      </c>
      <c r="F16" s="548">
        <v>0</v>
      </c>
      <c r="G16" s="548">
        <v>105350475.83805889</v>
      </c>
      <c r="H16" s="548">
        <v>736789.39500000014</v>
      </c>
      <c r="I16" s="548">
        <v>0</v>
      </c>
      <c r="J16" s="548">
        <v>0</v>
      </c>
      <c r="K16" s="548">
        <v>0</v>
      </c>
      <c r="L16" s="548">
        <v>0</v>
      </c>
      <c r="M16" s="548">
        <v>0</v>
      </c>
      <c r="N16" s="548">
        <v>0</v>
      </c>
      <c r="O16" s="548">
        <v>0</v>
      </c>
      <c r="P16" s="548">
        <v>0</v>
      </c>
      <c r="Q16" s="548">
        <v>0</v>
      </c>
      <c r="R16" s="549">
        <v>0</v>
      </c>
      <c r="S16" s="261">
        <f t="shared" si="0"/>
        <v>37130542.83157061</v>
      </c>
    </row>
    <row r="17" spans="1:19">
      <c r="A17" s="110">
        <v>10</v>
      </c>
      <c r="B17" s="163" t="s">
        <v>69</v>
      </c>
      <c r="C17" s="548">
        <v>0</v>
      </c>
      <c r="D17" s="548">
        <v>0</v>
      </c>
      <c r="E17" s="548">
        <v>0</v>
      </c>
      <c r="F17" s="548">
        <v>0</v>
      </c>
      <c r="G17" s="548">
        <v>0</v>
      </c>
      <c r="H17" s="548">
        <v>0</v>
      </c>
      <c r="I17" s="548">
        <v>1866225.6770937508</v>
      </c>
      <c r="J17" s="548">
        <v>0</v>
      </c>
      <c r="K17" s="548">
        <v>0</v>
      </c>
      <c r="L17" s="548">
        <v>0</v>
      </c>
      <c r="M17" s="548">
        <v>8833615.0625781976</v>
      </c>
      <c r="N17" s="548">
        <v>0</v>
      </c>
      <c r="O17" s="548">
        <v>893946.46530112624</v>
      </c>
      <c r="P17" s="548">
        <v>0</v>
      </c>
      <c r="Q17" s="548">
        <v>0</v>
      </c>
      <c r="R17" s="549">
        <v>0</v>
      </c>
      <c r="S17" s="261">
        <f t="shared" si="0"/>
        <v>11107647.599076763</v>
      </c>
    </row>
    <row r="18" spans="1:19">
      <c r="A18" s="110">
        <v>11</v>
      </c>
      <c r="B18" s="163" t="s">
        <v>70</v>
      </c>
      <c r="C18" s="548">
        <v>0</v>
      </c>
      <c r="D18" s="548">
        <v>0</v>
      </c>
      <c r="E18" s="548">
        <v>0</v>
      </c>
      <c r="F18" s="548">
        <v>0</v>
      </c>
      <c r="G18" s="548">
        <v>0</v>
      </c>
      <c r="H18" s="548">
        <v>0</v>
      </c>
      <c r="I18" s="548">
        <v>0</v>
      </c>
      <c r="J18" s="548">
        <v>0</v>
      </c>
      <c r="K18" s="548">
        <v>0</v>
      </c>
      <c r="L18" s="548">
        <v>0</v>
      </c>
      <c r="M18" s="548">
        <v>37566801.102631763</v>
      </c>
      <c r="N18" s="548">
        <v>0</v>
      </c>
      <c r="O18" s="548">
        <v>32150126.683319233</v>
      </c>
      <c r="P18" s="548">
        <v>0</v>
      </c>
      <c r="Q18" s="548">
        <v>0</v>
      </c>
      <c r="R18" s="549">
        <v>0</v>
      </c>
      <c r="S18" s="261">
        <f t="shared" si="0"/>
        <v>85791991.127610609</v>
      </c>
    </row>
    <row r="19" spans="1:19">
      <c r="A19" s="110">
        <v>12</v>
      </c>
      <c r="B19" s="163" t="s">
        <v>71</v>
      </c>
      <c r="C19" s="548">
        <v>0</v>
      </c>
      <c r="D19" s="548">
        <v>0</v>
      </c>
      <c r="E19" s="548">
        <v>0</v>
      </c>
      <c r="F19" s="548">
        <v>0</v>
      </c>
      <c r="G19" s="548">
        <v>0</v>
      </c>
      <c r="H19" s="548">
        <v>0</v>
      </c>
      <c r="I19" s="548">
        <v>0</v>
      </c>
      <c r="J19" s="548">
        <v>0</v>
      </c>
      <c r="K19" s="548">
        <v>0</v>
      </c>
      <c r="L19" s="548">
        <v>0</v>
      </c>
      <c r="M19" s="548">
        <v>0</v>
      </c>
      <c r="N19" s="548">
        <v>0</v>
      </c>
      <c r="O19" s="548">
        <v>0</v>
      </c>
      <c r="P19" s="548">
        <v>0</v>
      </c>
      <c r="Q19" s="548">
        <v>0</v>
      </c>
      <c r="R19" s="549">
        <v>0</v>
      </c>
      <c r="S19" s="261">
        <f t="shared" si="0"/>
        <v>0</v>
      </c>
    </row>
    <row r="20" spans="1:19">
      <c r="A20" s="110">
        <v>13</v>
      </c>
      <c r="B20" s="163" t="s">
        <v>72</v>
      </c>
      <c r="C20" s="548">
        <v>0</v>
      </c>
      <c r="D20" s="548">
        <v>0</v>
      </c>
      <c r="E20" s="548">
        <v>0</v>
      </c>
      <c r="F20" s="548">
        <v>0</v>
      </c>
      <c r="G20" s="548">
        <v>0</v>
      </c>
      <c r="H20" s="548">
        <v>0</v>
      </c>
      <c r="I20" s="548">
        <v>0</v>
      </c>
      <c r="J20" s="548">
        <v>0</v>
      </c>
      <c r="K20" s="548">
        <v>0</v>
      </c>
      <c r="L20" s="548">
        <v>0</v>
      </c>
      <c r="M20" s="548">
        <v>0</v>
      </c>
      <c r="N20" s="548">
        <v>0</v>
      </c>
      <c r="O20" s="548">
        <v>0</v>
      </c>
      <c r="P20" s="548">
        <v>0</v>
      </c>
      <c r="Q20" s="548">
        <v>0</v>
      </c>
      <c r="R20" s="549">
        <v>0</v>
      </c>
      <c r="S20" s="261">
        <f t="shared" si="0"/>
        <v>0</v>
      </c>
    </row>
    <row r="21" spans="1:19">
      <c r="A21" s="110">
        <v>14</v>
      </c>
      <c r="B21" s="163" t="s">
        <v>249</v>
      </c>
      <c r="C21" s="548">
        <v>38146762.319909826</v>
      </c>
      <c r="D21" s="548">
        <v>0</v>
      </c>
      <c r="E21" s="548">
        <v>808843.8</v>
      </c>
      <c r="F21" s="548">
        <v>0</v>
      </c>
      <c r="G21" s="548">
        <v>0</v>
      </c>
      <c r="H21" s="548">
        <v>0</v>
      </c>
      <c r="I21" s="548">
        <v>0</v>
      </c>
      <c r="J21" s="548">
        <v>0</v>
      </c>
      <c r="K21" s="548">
        <v>0</v>
      </c>
      <c r="L21" s="548">
        <v>0</v>
      </c>
      <c r="M21" s="548">
        <v>33940857.100000039</v>
      </c>
      <c r="N21" s="548">
        <v>0</v>
      </c>
      <c r="O21" s="548">
        <v>0</v>
      </c>
      <c r="P21" s="548">
        <v>0</v>
      </c>
      <c r="Q21" s="548">
        <v>0</v>
      </c>
      <c r="R21" s="549">
        <v>0</v>
      </c>
      <c r="S21" s="261">
        <f t="shared" si="0"/>
        <v>34102625.860000037</v>
      </c>
    </row>
    <row r="22" spans="1:19" ht="13.5" thickBot="1">
      <c r="A22" s="93"/>
      <c r="B22" s="150" t="s">
        <v>68</v>
      </c>
      <c r="C22" s="249">
        <f>SUM(C8:C21)</f>
        <v>217845587.83990985</v>
      </c>
      <c r="D22" s="249">
        <f t="shared" ref="D22:S22" si="1">SUM(D8:D21)</f>
        <v>0</v>
      </c>
      <c r="E22" s="249">
        <f t="shared" si="1"/>
        <v>4361662.96</v>
      </c>
      <c r="F22" s="249">
        <f t="shared" si="1"/>
        <v>0</v>
      </c>
      <c r="G22" s="249">
        <f t="shared" si="1"/>
        <v>105350475.83805889</v>
      </c>
      <c r="H22" s="249">
        <f t="shared" si="1"/>
        <v>736789.39500000014</v>
      </c>
      <c r="I22" s="249">
        <f t="shared" si="1"/>
        <v>54460436.917093754</v>
      </c>
      <c r="J22" s="249">
        <f t="shared" si="1"/>
        <v>0</v>
      </c>
      <c r="K22" s="249">
        <f t="shared" si="1"/>
        <v>364525511.81976563</v>
      </c>
      <c r="L22" s="249">
        <f t="shared" si="1"/>
        <v>10560957.458000002</v>
      </c>
      <c r="M22" s="249">
        <f t="shared" si="1"/>
        <v>718492606.87645602</v>
      </c>
      <c r="N22" s="249">
        <f t="shared" si="1"/>
        <v>29707471.295999996</v>
      </c>
      <c r="O22" s="249">
        <f t="shared" si="1"/>
        <v>33044073.14862036</v>
      </c>
      <c r="P22" s="249">
        <f t="shared" si="1"/>
        <v>0</v>
      </c>
      <c r="Q22" s="249">
        <f t="shared" si="1"/>
        <v>0</v>
      </c>
      <c r="R22" s="249">
        <f t="shared" si="1"/>
        <v>0</v>
      </c>
      <c r="S22" s="550">
        <f t="shared" si="1"/>
        <v>1144314133.7358284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T16" activePane="bottomRight" state="frozen"/>
      <selection pane="topRight" activeCell="C1" sqref="C1"/>
      <selection pane="bottomLeft" activeCell="A6" sqref="A6"/>
      <selection pane="bottomRight" activeCell="V7" sqref="C7:V21"/>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"ტერაბანკი"</v>
      </c>
    </row>
    <row r="2" spans="1:22">
      <c r="A2" s="1" t="s">
        <v>189</v>
      </c>
      <c r="B2" s="403">
        <f>'1. key ratios'!B2</f>
        <v>44926</v>
      </c>
    </row>
    <row r="4" spans="1:22" ht="27.75" thickBot="1">
      <c r="A4" s="1" t="s">
        <v>339</v>
      </c>
      <c r="B4" s="258" t="s">
        <v>361</v>
      </c>
      <c r="V4" s="188" t="s">
        <v>93</v>
      </c>
    </row>
    <row r="5" spans="1:22">
      <c r="A5" s="91"/>
      <c r="B5" s="92"/>
      <c r="C5" s="654" t="s">
        <v>198</v>
      </c>
      <c r="D5" s="655"/>
      <c r="E5" s="655"/>
      <c r="F5" s="655"/>
      <c r="G5" s="655"/>
      <c r="H5" s="655"/>
      <c r="I5" s="655"/>
      <c r="J5" s="655"/>
      <c r="K5" s="655"/>
      <c r="L5" s="656"/>
      <c r="M5" s="654" t="s">
        <v>199</v>
      </c>
      <c r="N5" s="655"/>
      <c r="O5" s="655"/>
      <c r="P5" s="655"/>
      <c r="Q5" s="655"/>
      <c r="R5" s="655"/>
      <c r="S5" s="656"/>
      <c r="T5" s="659" t="s">
        <v>359</v>
      </c>
      <c r="U5" s="659" t="s">
        <v>358</v>
      </c>
      <c r="V5" s="657" t="s">
        <v>200</v>
      </c>
    </row>
    <row r="6" spans="1:22" s="60" customFormat="1" ht="127.5">
      <c r="A6" s="108"/>
      <c r="B6" s="165"/>
      <c r="C6" s="89" t="s">
        <v>201</v>
      </c>
      <c r="D6" s="88" t="s">
        <v>202</v>
      </c>
      <c r="E6" s="86" t="s">
        <v>203</v>
      </c>
      <c r="F6" s="86" t="s">
        <v>353</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60"/>
      <c r="U6" s="660"/>
      <c r="V6" s="658"/>
    </row>
    <row r="7" spans="1:22">
      <c r="A7" s="149">
        <v>1</v>
      </c>
      <c r="B7" s="148" t="s">
        <v>216</v>
      </c>
      <c r="C7" s="551">
        <v>0</v>
      </c>
      <c r="D7" s="548">
        <v>0</v>
      </c>
      <c r="E7" s="548">
        <v>0</v>
      </c>
      <c r="F7" s="548">
        <v>0</v>
      </c>
      <c r="G7" s="548">
        <v>0</v>
      </c>
      <c r="H7" s="548">
        <v>0</v>
      </c>
      <c r="I7" s="548">
        <v>0</v>
      </c>
      <c r="J7" s="548">
        <v>0</v>
      </c>
      <c r="K7" s="548">
        <v>0</v>
      </c>
      <c r="L7" s="552">
        <v>0</v>
      </c>
      <c r="M7" s="551">
        <v>0</v>
      </c>
      <c r="N7" s="548">
        <v>0</v>
      </c>
      <c r="O7" s="548">
        <v>0</v>
      </c>
      <c r="P7" s="548">
        <v>0</v>
      </c>
      <c r="Q7" s="548">
        <v>0</v>
      </c>
      <c r="R7" s="548">
        <v>0</v>
      </c>
      <c r="S7" s="552">
        <v>0</v>
      </c>
      <c r="T7" s="553">
        <v>0</v>
      </c>
      <c r="U7" s="554">
        <v>0</v>
      </c>
      <c r="V7" s="555">
        <f>SUM(C7:S7)</f>
        <v>0</v>
      </c>
    </row>
    <row r="8" spans="1:22">
      <c r="A8" s="149">
        <v>2</v>
      </c>
      <c r="B8" s="148" t="s">
        <v>217</v>
      </c>
      <c r="C8" s="551">
        <v>0</v>
      </c>
      <c r="D8" s="548">
        <v>0</v>
      </c>
      <c r="E8" s="548">
        <v>0</v>
      </c>
      <c r="F8" s="548">
        <v>0</v>
      </c>
      <c r="G8" s="548">
        <v>0</v>
      </c>
      <c r="H8" s="548">
        <v>0</v>
      </c>
      <c r="I8" s="548">
        <v>0</v>
      </c>
      <c r="J8" s="548">
        <v>0</v>
      </c>
      <c r="K8" s="548">
        <v>0</v>
      </c>
      <c r="L8" s="552">
        <v>0</v>
      </c>
      <c r="M8" s="551">
        <v>0</v>
      </c>
      <c r="N8" s="548">
        <v>0</v>
      </c>
      <c r="O8" s="548">
        <v>0</v>
      </c>
      <c r="P8" s="548">
        <v>0</v>
      </c>
      <c r="Q8" s="548">
        <v>0</v>
      </c>
      <c r="R8" s="548">
        <v>0</v>
      </c>
      <c r="S8" s="552">
        <v>0</v>
      </c>
      <c r="T8" s="554">
        <v>0</v>
      </c>
      <c r="U8" s="554">
        <v>0</v>
      </c>
      <c r="V8" s="555">
        <f t="shared" ref="V8:V20" si="0">SUM(C8:S8)</f>
        <v>0</v>
      </c>
    </row>
    <row r="9" spans="1:22">
      <c r="A9" s="149">
        <v>3</v>
      </c>
      <c r="B9" s="148" t="s">
        <v>218</v>
      </c>
      <c r="C9" s="551">
        <v>0</v>
      </c>
      <c r="D9" s="548">
        <v>0</v>
      </c>
      <c r="E9" s="548">
        <v>0</v>
      </c>
      <c r="F9" s="548">
        <v>0</v>
      </c>
      <c r="G9" s="548">
        <v>0</v>
      </c>
      <c r="H9" s="548">
        <v>0</v>
      </c>
      <c r="I9" s="548">
        <v>0</v>
      </c>
      <c r="J9" s="548">
        <v>0</v>
      </c>
      <c r="K9" s="548">
        <v>0</v>
      </c>
      <c r="L9" s="552">
        <v>0</v>
      </c>
      <c r="M9" s="551">
        <v>0</v>
      </c>
      <c r="N9" s="548">
        <v>0</v>
      </c>
      <c r="O9" s="548">
        <v>0</v>
      </c>
      <c r="P9" s="548">
        <v>0</v>
      </c>
      <c r="Q9" s="548">
        <v>0</v>
      </c>
      <c r="R9" s="548">
        <v>0</v>
      </c>
      <c r="S9" s="552">
        <v>0</v>
      </c>
      <c r="T9" s="554">
        <v>0</v>
      </c>
      <c r="U9" s="554">
        <v>0</v>
      </c>
      <c r="V9" s="555">
        <f>SUM(C9:S9)</f>
        <v>0</v>
      </c>
    </row>
    <row r="10" spans="1:22">
      <c r="A10" s="149">
        <v>4</v>
      </c>
      <c r="B10" s="148" t="s">
        <v>219</v>
      </c>
      <c r="C10" s="551">
        <v>0</v>
      </c>
      <c r="D10" s="548">
        <v>0</v>
      </c>
      <c r="E10" s="548">
        <v>0</v>
      </c>
      <c r="F10" s="548">
        <v>0</v>
      </c>
      <c r="G10" s="548">
        <v>0</v>
      </c>
      <c r="H10" s="548">
        <v>0</v>
      </c>
      <c r="I10" s="548">
        <v>0</v>
      </c>
      <c r="J10" s="548">
        <v>0</v>
      </c>
      <c r="K10" s="548">
        <v>0</v>
      </c>
      <c r="L10" s="552">
        <v>0</v>
      </c>
      <c r="M10" s="551">
        <v>0</v>
      </c>
      <c r="N10" s="548">
        <v>0</v>
      </c>
      <c r="O10" s="548">
        <v>0</v>
      </c>
      <c r="P10" s="548">
        <v>0</v>
      </c>
      <c r="Q10" s="548">
        <v>0</v>
      </c>
      <c r="R10" s="548">
        <v>0</v>
      </c>
      <c r="S10" s="552">
        <v>0</v>
      </c>
      <c r="T10" s="554">
        <v>0</v>
      </c>
      <c r="U10" s="554">
        <v>0</v>
      </c>
      <c r="V10" s="555">
        <f t="shared" si="0"/>
        <v>0</v>
      </c>
    </row>
    <row r="11" spans="1:22">
      <c r="A11" s="149">
        <v>5</v>
      </c>
      <c r="B11" s="148" t="s">
        <v>220</v>
      </c>
      <c r="C11" s="551">
        <v>0</v>
      </c>
      <c r="D11" s="548">
        <v>0</v>
      </c>
      <c r="E11" s="548">
        <v>0</v>
      </c>
      <c r="F11" s="548">
        <v>0</v>
      </c>
      <c r="G11" s="548">
        <v>0</v>
      </c>
      <c r="H11" s="548">
        <v>0</v>
      </c>
      <c r="I11" s="548">
        <v>0</v>
      </c>
      <c r="J11" s="548">
        <v>0</v>
      </c>
      <c r="K11" s="548">
        <v>0</v>
      </c>
      <c r="L11" s="552">
        <v>0</v>
      </c>
      <c r="M11" s="551">
        <v>0</v>
      </c>
      <c r="N11" s="548">
        <v>0</v>
      </c>
      <c r="O11" s="548">
        <v>0</v>
      </c>
      <c r="P11" s="548">
        <v>0</v>
      </c>
      <c r="Q11" s="548">
        <v>0</v>
      </c>
      <c r="R11" s="548">
        <v>0</v>
      </c>
      <c r="S11" s="552">
        <v>0</v>
      </c>
      <c r="T11" s="554">
        <v>0</v>
      </c>
      <c r="U11" s="554">
        <v>0</v>
      </c>
      <c r="V11" s="555">
        <f t="shared" si="0"/>
        <v>0</v>
      </c>
    </row>
    <row r="12" spans="1:22">
      <c r="A12" s="149">
        <v>6</v>
      </c>
      <c r="B12" s="148" t="s">
        <v>221</v>
      </c>
      <c r="C12" s="551">
        <v>0</v>
      </c>
      <c r="D12" s="548">
        <v>0</v>
      </c>
      <c r="E12" s="548">
        <v>0</v>
      </c>
      <c r="F12" s="548">
        <v>0</v>
      </c>
      <c r="G12" s="548">
        <v>0</v>
      </c>
      <c r="H12" s="548">
        <v>0</v>
      </c>
      <c r="I12" s="548">
        <v>0</v>
      </c>
      <c r="J12" s="548">
        <v>0</v>
      </c>
      <c r="K12" s="548">
        <v>0</v>
      </c>
      <c r="L12" s="552">
        <v>0</v>
      </c>
      <c r="M12" s="551">
        <v>0</v>
      </c>
      <c r="N12" s="548">
        <v>0</v>
      </c>
      <c r="O12" s="548">
        <v>0</v>
      </c>
      <c r="P12" s="548">
        <v>0</v>
      </c>
      <c r="Q12" s="548">
        <v>0</v>
      </c>
      <c r="R12" s="548">
        <v>0</v>
      </c>
      <c r="S12" s="552">
        <v>0</v>
      </c>
      <c r="T12" s="554">
        <v>0</v>
      </c>
      <c r="U12" s="554">
        <v>0</v>
      </c>
      <c r="V12" s="555">
        <f t="shared" si="0"/>
        <v>0</v>
      </c>
    </row>
    <row r="13" spans="1:22">
      <c r="A13" s="149">
        <v>7</v>
      </c>
      <c r="B13" s="148" t="s">
        <v>73</v>
      </c>
      <c r="C13" s="551">
        <v>0</v>
      </c>
      <c r="D13" s="548">
        <v>29253381.771249998</v>
      </c>
      <c r="E13" s="548">
        <v>0</v>
      </c>
      <c r="F13" s="548">
        <v>0</v>
      </c>
      <c r="G13" s="548">
        <v>0</v>
      </c>
      <c r="H13" s="548">
        <v>0</v>
      </c>
      <c r="I13" s="548">
        <v>0</v>
      </c>
      <c r="J13" s="548">
        <v>0</v>
      </c>
      <c r="K13" s="548">
        <v>0</v>
      </c>
      <c r="L13" s="552">
        <v>0</v>
      </c>
      <c r="M13" s="551">
        <v>0</v>
      </c>
      <c r="N13" s="548">
        <v>0</v>
      </c>
      <c r="O13" s="548">
        <v>0</v>
      </c>
      <c r="P13" s="548">
        <v>0</v>
      </c>
      <c r="Q13" s="548">
        <v>0</v>
      </c>
      <c r="R13" s="548">
        <v>0</v>
      </c>
      <c r="S13" s="552">
        <v>0</v>
      </c>
      <c r="T13" s="554">
        <v>21131647.399999999</v>
      </c>
      <c r="U13" s="554">
        <v>8121734.3712500008</v>
      </c>
      <c r="V13" s="555">
        <f t="shared" si="0"/>
        <v>29253381.771249998</v>
      </c>
    </row>
    <row r="14" spans="1:22">
      <c r="A14" s="149">
        <v>8</v>
      </c>
      <c r="B14" s="148" t="s">
        <v>74</v>
      </c>
      <c r="C14" s="551">
        <v>0</v>
      </c>
      <c r="D14" s="548">
        <v>2385392.5500000003</v>
      </c>
      <c r="E14" s="548">
        <v>0</v>
      </c>
      <c r="F14" s="548">
        <v>0</v>
      </c>
      <c r="G14" s="548">
        <v>0</v>
      </c>
      <c r="H14" s="548">
        <v>0</v>
      </c>
      <c r="I14" s="548">
        <v>0</v>
      </c>
      <c r="J14" s="548">
        <v>0</v>
      </c>
      <c r="K14" s="548">
        <v>0</v>
      </c>
      <c r="L14" s="552">
        <v>0</v>
      </c>
      <c r="M14" s="551">
        <v>0</v>
      </c>
      <c r="N14" s="548">
        <v>0</v>
      </c>
      <c r="O14" s="548">
        <v>0</v>
      </c>
      <c r="P14" s="548">
        <v>0</v>
      </c>
      <c r="Q14" s="548">
        <v>0</v>
      </c>
      <c r="R14" s="548">
        <v>0</v>
      </c>
      <c r="S14" s="552">
        <v>0</v>
      </c>
      <c r="T14" s="554">
        <v>2385392.5500000003</v>
      </c>
      <c r="U14" s="554">
        <v>0</v>
      </c>
      <c r="V14" s="555">
        <f t="shared" si="0"/>
        <v>2385392.5500000003</v>
      </c>
    </row>
    <row r="15" spans="1:22">
      <c r="A15" s="149">
        <v>9</v>
      </c>
      <c r="B15" s="148" t="s">
        <v>75</v>
      </c>
      <c r="C15" s="551">
        <v>0</v>
      </c>
      <c r="D15" s="548">
        <v>0</v>
      </c>
      <c r="E15" s="548">
        <v>0</v>
      </c>
      <c r="F15" s="548">
        <v>0</v>
      </c>
      <c r="G15" s="548">
        <v>0</v>
      </c>
      <c r="H15" s="548">
        <v>0</v>
      </c>
      <c r="I15" s="548">
        <v>0</v>
      </c>
      <c r="J15" s="548">
        <v>0</v>
      </c>
      <c r="K15" s="548">
        <v>0</v>
      </c>
      <c r="L15" s="552">
        <v>0</v>
      </c>
      <c r="M15" s="551">
        <v>0</v>
      </c>
      <c r="N15" s="548">
        <v>0</v>
      </c>
      <c r="O15" s="548">
        <v>0</v>
      </c>
      <c r="P15" s="548">
        <v>0</v>
      </c>
      <c r="Q15" s="548">
        <v>0</v>
      </c>
      <c r="R15" s="548">
        <v>0</v>
      </c>
      <c r="S15" s="552">
        <v>0</v>
      </c>
      <c r="T15" s="554">
        <v>0</v>
      </c>
      <c r="U15" s="554">
        <v>0</v>
      </c>
      <c r="V15" s="555">
        <f t="shared" si="0"/>
        <v>0</v>
      </c>
    </row>
    <row r="16" spans="1:22">
      <c r="A16" s="149">
        <v>10</v>
      </c>
      <c r="B16" s="148" t="s">
        <v>69</v>
      </c>
      <c r="C16" s="551">
        <v>0</v>
      </c>
      <c r="D16" s="548">
        <v>500003.59</v>
      </c>
      <c r="E16" s="548">
        <v>0</v>
      </c>
      <c r="F16" s="548">
        <v>0</v>
      </c>
      <c r="G16" s="548">
        <v>0</v>
      </c>
      <c r="H16" s="548">
        <v>0</v>
      </c>
      <c r="I16" s="548">
        <v>0</v>
      </c>
      <c r="J16" s="548">
        <v>0</v>
      </c>
      <c r="K16" s="548">
        <v>0</v>
      </c>
      <c r="L16" s="552">
        <v>0</v>
      </c>
      <c r="M16" s="551">
        <v>0</v>
      </c>
      <c r="N16" s="548">
        <v>0</v>
      </c>
      <c r="O16" s="548">
        <v>0</v>
      </c>
      <c r="P16" s="548">
        <v>0</v>
      </c>
      <c r="Q16" s="548">
        <v>0</v>
      </c>
      <c r="R16" s="548">
        <v>0</v>
      </c>
      <c r="S16" s="552">
        <v>0</v>
      </c>
      <c r="T16" s="554">
        <v>500003.59</v>
      </c>
      <c r="U16" s="554">
        <v>0</v>
      </c>
      <c r="V16" s="555">
        <f t="shared" si="0"/>
        <v>500003.59</v>
      </c>
    </row>
    <row r="17" spans="1:22">
      <c r="A17" s="149">
        <v>11</v>
      </c>
      <c r="B17" s="148" t="s">
        <v>70</v>
      </c>
      <c r="C17" s="551">
        <v>0</v>
      </c>
      <c r="D17" s="548">
        <v>427740.29000000004</v>
      </c>
      <c r="E17" s="548">
        <v>0</v>
      </c>
      <c r="F17" s="548">
        <v>0</v>
      </c>
      <c r="G17" s="548">
        <v>0</v>
      </c>
      <c r="H17" s="548">
        <v>0</v>
      </c>
      <c r="I17" s="548">
        <v>0</v>
      </c>
      <c r="J17" s="548">
        <v>0</v>
      </c>
      <c r="K17" s="548">
        <v>0</v>
      </c>
      <c r="L17" s="552">
        <v>0</v>
      </c>
      <c r="M17" s="551">
        <v>0</v>
      </c>
      <c r="N17" s="548">
        <v>0</v>
      </c>
      <c r="O17" s="548">
        <v>0</v>
      </c>
      <c r="P17" s="548">
        <v>0</v>
      </c>
      <c r="Q17" s="548">
        <v>0</v>
      </c>
      <c r="R17" s="548">
        <v>0</v>
      </c>
      <c r="S17" s="552">
        <v>0</v>
      </c>
      <c r="T17" s="554">
        <v>427740.29000000004</v>
      </c>
      <c r="U17" s="554">
        <v>0</v>
      </c>
      <c r="V17" s="555">
        <f t="shared" si="0"/>
        <v>427740.29000000004</v>
      </c>
    </row>
    <row r="18" spans="1:22">
      <c r="A18" s="149">
        <v>12</v>
      </c>
      <c r="B18" s="148" t="s">
        <v>71</v>
      </c>
      <c r="C18" s="551">
        <v>0</v>
      </c>
      <c r="D18" s="548">
        <v>0</v>
      </c>
      <c r="E18" s="548">
        <v>0</v>
      </c>
      <c r="F18" s="548">
        <v>0</v>
      </c>
      <c r="G18" s="548">
        <v>0</v>
      </c>
      <c r="H18" s="548">
        <v>0</v>
      </c>
      <c r="I18" s="548">
        <v>0</v>
      </c>
      <c r="J18" s="548">
        <v>0</v>
      </c>
      <c r="K18" s="548">
        <v>0</v>
      </c>
      <c r="L18" s="552">
        <v>0</v>
      </c>
      <c r="M18" s="551">
        <v>0</v>
      </c>
      <c r="N18" s="548">
        <v>0</v>
      </c>
      <c r="O18" s="548">
        <v>0</v>
      </c>
      <c r="P18" s="548">
        <v>0</v>
      </c>
      <c r="Q18" s="548">
        <v>0</v>
      </c>
      <c r="R18" s="548">
        <v>0</v>
      </c>
      <c r="S18" s="552">
        <v>0</v>
      </c>
      <c r="T18" s="554">
        <v>0</v>
      </c>
      <c r="U18" s="554">
        <v>0</v>
      </c>
      <c r="V18" s="555">
        <f t="shared" si="0"/>
        <v>0</v>
      </c>
    </row>
    <row r="19" spans="1:22">
      <c r="A19" s="149">
        <v>13</v>
      </c>
      <c r="B19" s="148" t="s">
        <v>72</v>
      </c>
      <c r="C19" s="551">
        <v>0</v>
      </c>
      <c r="D19" s="548">
        <v>0</v>
      </c>
      <c r="E19" s="548">
        <v>0</v>
      </c>
      <c r="F19" s="548">
        <v>0</v>
      </c>
      <c r="G19" s="548">
        <v>0</v>
      </c>
      <c r="H19" s="548">
        <v>0</v>
      </c>
      <c r="I19" s="548">
        <v>0</v>
      </c>
      <c r="J19" s="548">
        <v>0</v>
      </c>
      <c r="K19" s="548">
        <v>0</v>
      </c>
      <c r="L19" s="552">
        <v>0</v>
      </c>
      <c r="M19" s="551">
        <v>0</v>
      </c>
      <c r="N19" s="548">
        <v>0</v>
      </c>
      <c r="O19" s="548">
        <v>0</v>
      </c>
      <c r="P19" s="548">
        <v>0</v>
      </c>
      <c r="Q19" s="548">
        <v>0</v>
      </c>
      <c r="R19" s="548">
        <v>0</v>
      </c>
      <c r="S19" s="552">
        <v>0</v>
      </c>
      <c r="T19" s="554">
        <v>0</v>
      </c>
      <c r="U19" s="554">
        <v>0</v>
      </c>
      <c r="V19" s="555">
        <f t="shared" si="0"/>
        <v>0</v>
      </c>
    </row>
    <row r="20" spans="1:22">
      <c r="A20" s="149">
        <v>14</v>
      </c>
      <c r="B20" s="148" t="s">
        <v>249</v>
      </c>
      <c r="C20" s="551">
        <v>0</v>
      </c>
      <c r="D20" s="548">
        <v>0</v>
      </c>
      <c r="E20" s="548">
        <v>0</v>
      </c>
      <c r="F20" s="548">
        <v>0</v>
      </c>
      <c r="G20" s="548">
        <v>0</v>
      </c>
      <c r="H20" s="548">
        <v>0</v>
      </c>
      <c r="I20" s="548">
        <v>0</v>
      </c>
      <c r="J20" s="548">
        <v>0</v>
      </c>
      <c r="K20" s="548">
        <v>0</v>
      </c>
      <c r="L20" s="552">
        <v>0</v>
      </c>
      <c r="M20" s="551">
        <v>0</v>
      </c>
      <c r="N20" s="548">
        <v>0</v>
      </c>
      <c r="O20" s="548">
        <v>0</v>
      </c>
      <c r="P20" s="548">
        <v>0</v>
      </c>
      <c r="Q20" s="548">
        <v>0</v>
      </c>
      <c r="R20" s="548">
        <v>0</v>
      </c>
      <c r="S20" s="552">
        <v>0</v>
      </c>
      <c r="T20" s="554">
        <v>0</v>
      </c>
      <c r="U20" s="554">
        <v>0</v>
      </c>
      <c r="V20" s="555">
        <f t="shared" si="0"/>
        <v>0</v>
      </c>
    </row>
    <row r="21" spans="1:22" ht="13.5" thickBot="1">
      <c r="A21" s="93"/>
      <c r="B21" s="94" t="s">
        <v>68</v>
      </c>
      <c r="C21" s="556">
        <f>SUM(C7:C20)</f>
        <v>0</v>
      </c>
      <c r="D21" s="557">
        <f t="shared" ref="D21:V21" si="1">SUM(D7:D20)</f>
        <v>32566518.201249998</v>
      </c>
      <c r="E21" s="557">
        <f t="shared" si="1"/>
        <v>0</v>
      </c>
      <c r="F21" s="557">
        <f t="shared" si="1"/>
        <v>0</v>
      </c>
      <c r="G21" s="557">
        <f t="shared" si="1"/>
        <v>0</v>
      </c>
      <c r="H21" s="557">
        <f t="shared" si="1"/>
        <v>0</v>
      </c>
      <c r="I21" s="557">
        <f t="shared" si="1"/>
        <v>0</v>
      </c>
      <c r="J21" s="557">
        <f t="shared" si="1"/>
        <v>0</v>
      </c>
      <c r="K21" s="557">
        <f t="shared" si="1"/>
        <v>0</v>
      </c>
      <c r="L21" s="550">
        <f t="shared" si="1"/>
        <v>0</v>
      </c>
      <c r="M21" s="556">
        <f t="shared" si="1"/>
        <v>0</v>
      </c>
      <c r="N21" s="557">
        <f t="shared" si="1"/>
        <v>0</v>
      </c>
      <c r="O21" s="557">
        <f t="shared" si="1"/>
        <v>0</v>
      </c>
      <c r="P21" s="557">
        <f t="shared" si="1"/>
        <v>0</v>
      </c>
      <c r="Q21" s="557">
        <f t="shared" si="1"/>
        <v>0</v>
      </c>
      <c r="R21" s="557">
        <f t="shared" si="1"/>
        <v>0</v>
      </c>
      <c r="S21" s="550">
        <f t="shared" si="1"/>
        <v>0</v>
      </c>
      <c r="T21" s="550">
        <f>SUM(T7:T20)</f>
        <v>24444783.829999998</v>
      </c>
      <c r="U21" s="550">
        <f t="shared" si="1"/>
        <v>8121734.3712500008</v>
      </c>
      <c r="V21" s="558">
        <f t="shared" si="1"/>
        <v>32566518.201249998</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E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"ტერაბანკი"</v>
      </c>
    </row>
    <row r="2" spans="1:9">
      <c r="A2" s="1" t="s">
        <v>189</v>
      </c>
      <c r="B2" s="403">
        <f>'1. key ratios'!B2</f>
        <v>44926</v>
      </c>
    </row>
    <row r="4" spans="1:9" ht="13.5" thickBot="1">
      <c r="A4" s="1" t="s">
        <v>340</v>
      </c>
      <c r="B4" s="52" t="s">
        <v>362</v>
      </c>
    </row>
    <row r="5" spans="1:9">
      <c r="A5" s="91"/>
      <c r="B5" s="146"/>
      <c r="C5" s="151" t="s">
        <v>0</v>
      </c>
      <c r="D5" s="151" t="s">
        <v>1</v>
      </c>
      <c r="E5" s="151" t="s">
        <v>2</v>
      </c>
      <c r="F5" s="151" t="s">
        <v>3</v>
      </c>
      <c r="G5" s="255" t="s">
        <v>4</v>
      </c>
      <c r="H5" s="152" t="s">
        <v>5</v>
      </c>
      <c r="I5" s="19"/>
    </row>
    <row r="6" spans="1:9" ht="15" customHeight="1">
      <c r="A6" s="145"/>
      <c r="B6" s="17"/>
      <c r="C6" s="652" t="s">
        <v>354</v>
      </c>
      <c r="D6" s="663" t="s">
        <v>364</v>
      </c>
      <c r="E6" s="664"/>
      <c r="F6" s="652" t="s">
        <v>365</v>
      </c>
      <c r="G6" s="652" t="s">
        <v>366</v>
      </c>
      <c r="H6" s="661" t="s">
        <v>356</v>
      </c>
      <c r="I6" s="19"/>
    </row>
    <row r="7" spans="1:9" ht="63.75">
      <c r="A7" s="145"/>
      <c r="B7" s="17"/>
      <c r="C7" s="653"/>
      <c r="D7" s="256" t="s">
        <v>357</v>
      </c>
      <c r="E7" s="256" t="s">
        <v>355</v>
      </c>
      <c r="F7" s="653"/>
      <c r="G7" s="653"/>
      <c r="H7" s="662"/>
      <c r="I7" s="19"/>
    </row>
    <row r="8" spans="1:9">
      <c r="A8" s="83">
        <v>1</v>
      </c>
      <c r="B8" s="66" t="s">
        <v>216</v>
      </c>
      <c r="C8" s="559">
        <v>298471448.5</v>
      </c>
      <c r="D8" s="560">
        <v>0</v>
      </c>
      <c r="E8" s="559">
        <v>0</v>
      </c>
      <c r="F8" s="559">
        <v>118772622.98</v>
      </c>
      <c r="G8" s="561">
        <v>118772622.98</v>
      </c>
      <c r="H8" s="259">
        <f>G8/(C8+E8)</f>
        <v>0.39793629701234223</v>
      </c>
    </row>
    <row r="9" spans="1:9" ht="15" customHeight="1">
      <c r="A9" s="83">
        <v>2</v>
      </c>
      <c r="B9" s="66" t="s">
        <v>217</v>
      </c>
      <c r="C9" s="559">
        <v>0</v>
      </c>
      <c r="D9" s="560">
        <v>0</v>
      </c>
      <c r="E9" s="559">
        <v>0</v>
      </c>
      <c r="F9" s="559">
        <v>0</v>
      </c>
      <c r="G9" s="561">
        <v>0</v>
      </c>
      <c r="H9" s="259"/>
    </row>
    <row r="10" spans="1:9">
      <c r="A10" s="83">
        <v>3</v>
      </c>
      <c r="B10" s="66" t="s">
        <v>218</v>
      </c>
      <c r="C10" s="559">
        <v>0</v>
      </c>
      <c r="D10" s="560">
        <v>0</v>
      </c>
      <c r="E10" s="559">
        <v>0</v>
      </c>
      <c r="F10" s="559">
        <v>0</v>
      </c>
      <c r="G10" s="561">
        <v>0</v>
      </c>
      <c r="H10" s="259"/>
    </row>
    <row r="11" spans="1:9">
      <c r="A11" s="83">
        <v>4</v>
      </c>
      <c r="B11" s="66" t="s">
        <v>219</v>
      </c>
      <c r="C11" s="559">
        <v>0</v>
      </c>
      <c r="D11" s="560">
        <v>0</v>
      </c>
      <c r="E11" s="559">
        <v>0</v>
      </c>
      <c r="F11" s="559">
        <v>0</v>
      </c>
      <c r="G11" s="561">
        <v>0</v>
      </c>
      <c r="H11" s="259"/>
    </row>
    <row r="12" spans="1:9">
      <c r="A12" s="83">
        <v>5</v>
      </c>
      <c r="B12" s="66" t="s">
        <v>220</v>
      </c>
      <c r="C12" s="559">
        <v>0</v>
      </c>
      <c r="D12" s="560">
        <v>0</v>
      </c>
      <c r="E12" s="559">
        <v>0</v>
      </c>
      <c r="F12" s="559">
        <v>0</v>
      </c>
      <c r="G12" s="561">
        <v>0</v>
      </c>
      <c r="H12" s="259"/>
    </row>
    <row r="13" spans="1:9">
      <c r="A13" s="83">
        <v>6</v>
      </c>
      <c r="B13" s="66" t="s">
        <v>221</v>
      </c>
      <c r="C13" s="559">
        <v>59183635.189999998</v>
      </c>
      <c r="D13" s="560">
        <v>0</v>
      </c>
      <c r="E13" s="559">
        <v>0</v>
      </c>
      <c r="F13" s="559">
        <v>30044274.241999999</v>
      </c>
      <c r="G13" s="561">
        <v>30044274.241999999</v>
      </c>
      <c r="H13" s="259">
        <f t="shared" ref="H13:H21" si="0">G13/(C13+E13)</f>
        <v>0.50764496208364795</v>
      </c>
    </row>
    <row r="14" spans="1:9">
      <c r="A14" s="83">
        <v>7</v>
      </c>
      <c r="B14" s="66" t="s">
        <v>73</v>
      </c>
      <c r="C14" s="559">
        <v>516342105.84124601</v>
      </c>
      <c r="D14" s="560">
        <v>58607321.969999984</v>
      </c>
      <c r="E14" s="559">
        <v>29707471.295999996</v>
      </c>
      <c r="F14" s="560">
        <v>546049577.13724601</v>
      </c>
      <c r="G14" s="562">
        <v>516796195.36599606</v>
      </c>
      <c r="H14" s="259">
        <f>G14/(C14+E14)</f>
        <v>0.94642724214783647</v>
      </c>
    </row>
    <row r="15" spans="1:9">
      <c r="A15" s="83">
        <v>8</v>
      </c>
      <c r="B15" s="66" t="s">
        <v>74</v>
      </c>
      <c r="C15" s="559">
        <v>364525511.81976563</v>
      </c>
      <c r="D15" s="560">
        <v>24064682.760000005</v>
      </c>
      <c r="E15" s="559">
        <v>10560957.458000002</v>
      </c>
      <c r="F15" s="560">
        <v>281314851.95832425</v>
      </c>
      <c r="G15" s="562">
        <v>278929459.40832424</v>
      </c>
      <c r="H15" s="259">
        <f t="shared" si="0"/>
        <v>0.74364041962219252</v>
      </c>
    </row>
    <row r="16" spans="1:9">
      <c r="A16" s="83">
        <v>9</v>
      </c>
      <c r="B16" s="66" t="s">
        <v>75</v>
      </c>
      <c r="C16" s="559">
        <v>105350475.83805889</v>
      </c>
      <c r="D16" s="560">
        <v>1304419.0000000002</v>
      </c>
      <c r="E16" s="559">
        <v>736789.39500000014</v>
      </c>
      <c r="F16" s="560">
        <v>37130542.83157061</v>
      </c>
      <c r="G16" s="562">
        <v>37130542.83157061</v>
      </c>
      <c r="H16" s="259">
        <f t="shared" si="0"/>
        <v>0.35000000000000003</v>
      </c>
    </row>
    <row r="17" spans="1:8">
      <c r="A17" s="83">
        <v>10</v>
      </c>
      <c r="B17" s="66" t="s">
        <v>69</v>
      </c>
      <c r="C17" s="559">
        <v>11593787.204973076</v>
      </c>
      <c r="D17" s="560">
        <v>0</v>
      </c>
      <c r="E17" s="559">
        <v>0</v>
      </c>
      <c r="F17" s="560">
        <v>11107647.599076763</v>
      </c>
      <c r="G17" s="562">
        <v>10607644.009076763</v>
      </c>
      <c r="H17" s="259">
        <f t="shared" si="0"/>
        <v>0.91494209972447027</v>
      </c>
    </row>
    <row r="18" spans="1:8">
      <c r="A18" s="83">
        <v>11</v>
      </c>
      <c r="B18" s="66" t="s">
        <v>70</v>
      </c>
      <c r="C18" s="559">
        <v>69716927.785950989</v>
      </c>
      <c r="D18" s="560">
        <v>0</v>
      </c>
      <c r="E18" s="559">
        <v>0</v>
      </c>
      <c r="F18" s="560">
        <v>85791991.127610609</v>
      </c>
      <c r="G18" s="562">
        <v>85364250.837610602</v>
      </c>
      <c r="H18" s="259">
        <f t="shared" si="0"/>
        <v>1.2244408000837466</v>
      </c>
    </row>
    <row r="19" spans="1:8">
      <c r="A19" s="83">
        <v>12</v>
      </c>
      <c r="B19" s="66" t="s">
        <v>71</v>
      </c>
      <c r="C19" s="559">
        <v>0</v>
      </c>
      <c r="D19" s="560">
        <v>0</v>
      </c>
      <c r="E19" s="559">
        <v>0</v>
      </c>
      <c r="F19" s="560">
        <v>0</v>
      </c>
      <c r="G19" s="562">
        <v>0</v>
      </c>
      <c r="H19" s="259"/>
    </row>
    <row r="20" spans="1:8">
      <c r="A20" s="83">
        <v>13</v>
      </c>
      <c r="B20" s="66" t="s">
        <v>72</v>
      </c>
      <c r="C20" s="559">
        <v>0</v>
      </c>
      <c r="D20" s="560">
        <v>0</v>
      </c>
      <c r="E20" s="559">
        <v>0</v>
      </c>
      <c r="F20" s="560">
        <v>0</v>
      </c>
      <c r="G20" s="562">
        <v>0</v>
      </c>
      <c r="H20" s="259"/>
    </row>
    <row r="21" spans="1:8">
      <c r="A21" s="83">
        <v>14</v>
      </c>
      <c r="B21" s="66" t="s">
        <v>249</v>
      </c>
      <c r="C21" s="559">
        <v>72896463.219909862</v>
      </c>
      <c r="D21" s="560">
        <v>0</v>
      </c>
      <c r="E21" s="559">
        <v>0</v>
      </c>
      <c r="F21" s="560">
        <v>34102625.860000044</v>
      </c>
      <c r="G21" s="562">
        <v>34102625.860000044</v>
      </c>
      <c r="H21" s="259">
        <f t="shared" si="0"/>
        <v>0.46782277704092723</v>
      </c>
    </row>
    <row r="22" spans="1:8" ht="13.5" thickBot="1">
      <c r="A22" s="147"/>
      <c r="B22" s="153" t="s">
        <v>68</v>
      </c>
      <c r="C22" s="557">
        <f>SUM(C8:C21)</f>
        <v>1498080355.3999043</v>
      </c>
      <c r="D22" s="249">
        <f>SUM(D8:D21)</f>
        <v>83976423.729999989</v>
      </c>
      <c r="E22" s="249">
        <f>SUM(E8:E21)</f>
        <v>41005218.149000004</v>
      </c>
      <c r="F22" s="249">
        <f>SUM(F8:F21)</f>
        <v>1144314133.7358284</v>
      </c>
      <c r="G22" s="249">
        <f>SUM(G8:G21)</f>
        <v>1111747615.5345783</v>
      </c>
      <c r="H22" s="260">
        <f>G22/(C22+E22)</f>
        <v>0.72234295132209736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G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 bestFit="1" customWidth="1"/>
    <col min="2" max="2" width="104.140625" style="1" customWidth="1"/>
    <col min="3" max="4" width="12.7109375" style="1" customWidth="1"/>
    <col min="5" max="5" width="13.5703125" style="1" bestFit="1" customWidth="1"/>
    <col min="6" max="11" width="12.7109375" style="1" customWidth="1"/>
    <col min="12" max="16384" width="9.140625" style="1"/>
  </cols>
  <sheetData>
    <row r="1" spans="1:11">
      <c r="A1" s="1" t="s">
        <v>188</v>
      </c>
      <c r="B1" s="1" t="str">
        <f>Info!C2</f>
        <v>ს.ს. "ტერაბანკი"</v>
      </c>
    </row>
    <row r="2" spans="1:11">
      <c r="A2" s="1" t="s">
        <v>189</v>
      </c>
      <c r="B2" s="403">
        <f>'1. key ratios'!B2</f>
        <v>44926</v>
      </c>
    </row>
    <row r="4" spans="1:11" ht="13.5" thickBot="1">
      <c r="A4" s="1" t="s">
        <v>395</v>
      </c>
      <c r="B4" s="52" t="s">
        <v>394</v>
      </c>
    </row>
    <row r="5" spans="1:11" ht="30" customHeight="1">
      <c r="A5" s="668"/>
      <c r="B5" s="669"/>
      <c r="C5" s="666" t="s">
        <v>426</v>
      </c>
      <c r="D5" s="666"/>
      <c r="E5" s="666"/>
      <c r="F5" s="666" t="s">
        <v>427</v>
      </c>
      <c r="G5" s="666"/>
      <c r="H5" s="666"/>
      <c r="I5" s="666" t="s">
        <v>428</v>
      </c>
      <c r="J5" s="666"/>
      <c r="K5" s="667"/>
    </row>
    <row r="6" spans="1:11">
      <c r="A6" s="284"/>
      <c r="B6" s="285"/>
      <c r="C6" s="286" t="s">
        <v>27</v>
      </c>
      <c r="D6" s="286" t="s">
        <v>96</v>
      </c>
      <c r="E6" s="286" t="s">
        <v>68</v>
      </c>
      <c r="F6" s="286" t="s">
        <v>27</v>
      </c>
      <c r="G6" s="286" t="s">
        <v>96</v>
      </c>
      <c r="H6" s="286" t="s">
        <v>68</v>
      </c>
      <c r="I6" s="286" t="s">
        <v>27</v>
      </c>
      <c r="J6" s="286" t="s">
        <v>96</v>
      </c>
      <c r="K6" s="287" t="s">
        <v>68</v>
      </c>
    </row>
    <row r="7" spans="1:11">
      <c r="A7" s="288" t="s">
        <v>374</v>
      </c>
      <c r="B7" s="283"/>
      <c r="C7" s="283"/>
      <c r="D7" s="283"/>
      <c r="E7" s="283"/>
      <c r="F7" s="283"/>
      <c r="G7" s="283"/>
      <c r="H7" s="283"/>
      <c r="I7" s="283"/>
      <c r="J7" s="283"/>
      <c r="K7" s="289"/>
    </row>
    <row r="8" spans="1:11">
      <c r="A8" s="282">
        <v>1</v>
      </c>
      <c r="B8" s="267" t="s">
        <v>374</v>
      </c>
      <c r="C8" s="572"/>
      <c r="D8" s="572"/>
      <c r="E8" s="572"/>
      <c r="F8" s="573">
        <v>95778906.002660438</v>
      </c>
      <c r="G8" s="573">
        <v>175084728.13750201</v>
      </c>
      <c r="H8" s="573">
        <v>270863634.14016247</v>
      </c>
      <c r="I8" s="573">
        <v>89497169.266439304</v>
      </c>
      <c r="J8" s="573">
        <v>131644541.08267181</v>
      </c>
      <c r="K8" s="574">
        <v>221141710.34911111</v>
      </c>
    </row>
    <row r="9" spans="1:11">
      <c r="A9" s="288" t="s">
        <v>375</v>
      </c>
      <c r="B9" s="283"/>
      <c r="C9" s="575"/>
      <c r="D9" s="575"/>
      <c r="E9" s="575"/>
      <c r="F9" s="575"/>
      <c r="G9" s="575"/>
      <c r="H9" s="575"/>
      <c r="I9" s="575"/>
      <c r="J9" s="575"/>
      <c r="K9" s="576"/>
    </row>
    <row r="10" spans="1:11">
      <c r="A10" s="290">
        <v>2</v>
      </c>
      <c r="B10" s="268" t="s">
        <v>376</v>
      </c>
      <c r="C10" s="429">
        <v>81315190.183402061</v>
      </c>
      <c r="D10" s="567">
        <v>288077467.77849042</v>
      </c>
      <c r="E10" s="567">
        <v>369392657.96189249</v>
      </c>
      <c r="F10" s="567">
        <v>13837456.276022276</v>
      </c>
      <c r="G10" s="567">
        <v>50559278.864782572</v>
      </c>
      <c r="H10" s="567">
        <v>64396735.14080485</v>
      </c>
      <c r="I10" s="567">
        <v>3277737.2110260623</v>
      </c>
      <c r="J10" s="567">
        <v>11134585.519771084</v>
      </c>
      <c r="K10" s="568">
        <v>14412322.730797146</v>
      </c>
    </row>
    <row r="11" spans="1:11">
      <c r="A11" s="290">
        <v>3</v>
      </c>
      <c r="B11" s="268" t="s">
        <v>377</v>
      </c>
      <c r="C11" s="429">
        <v>364874947.79606003</v>
      </c>
      <c r="D11" s="567">
        <v>324093396.40858448</v>
      </c>
      <c r="E11" s="567">
        <v>688968344.20464444</v>
      </c>
      <c r="F11" s="567">
        <v>92675443.412324384</v>
      </c>
      <c r="G11" s="567">
        <v>58721384.951876774</v>
      </c>
      <c r="H11" s="567">
        <v>151396828.36420116</v>
      </c>
      <c r="I11" s="567">
        <v>79239947.169392839</v>
      </c>
      <c r="J11" s="567">
        <v>53236345.677385129</v>
      </c>
      <c r="K11" s="568">
        <v>132476292.84677798</v>
      </c>
    </row>
    <row r="12" spans="1:11">
      <c r="A12" s="290">
        <v>4</v>
      </c>
      <c r="B12" s="268" t="s">
        <v>378</v>
      </c>
      <c r="C12" s="429">
        <v>124092675.31556801</v>
      </c>
      <c r="D12" s="567">
        <v>0</v>
      </c>
      <c r="E12" s="567">
        <v>124092675.31556801</v>
      </c>
      <c r="F12" s="567">
        <v>0</v>
      </c>
      <c r="G12" s="567">
        <v>0</v>
      </c>
      <c r="H12" s="567">
        <v>0</v>
      </c>
      <c r="I12" s="567">
        <v>0</v>
      </c>
      <c r="J12" s="567">
        <v>0</v>
      </c>
      <c r="K12" s="568">
        <v>0</v>
      </c>
    </row>
    <row r="13" spans="1:11">
      <c r="A13" s="290">
        <v>5</v>
      </c>
      <c r="B13" s="268" t="s">
        <v>379</v>
      </c>
      <c r="C13" s="429">
        <v>54854231.87628331</v>
      </c>
      <c r="D13" s="567">
        <v>66000627.110701151</v>
      </c>
      <c r="E13" s="567">
        <v>120854858.98698446</v>
      </c>
      <c r="F13" s="567">
        <v>8129990.253430102</v>
      </c>
      <c r="G13" s="567">
        <v>49564410.588634595</v>
      </c>
      <c r="H13" s="567">
        <v>57694400.842064694</v>
      </c>
      <c r="I13" s="567">
        <v>3231186.7304978436</v>
      </c>
      <c r="J13" s="567">
        <v>46524547.529949546</v>
      </c>
      <c r="K13" s="568">
        <v>49755734.26044739</v>
      </c>
    </row>
    <row r="14" spans="1:11">
      <c r="A14" s="290">
        <v>6</v>
      </c>
      <c r="B14" s="268" t="s">
        <v>393</v>
      </c>
      <c r="C14" s="429">
        <v>6818032.6766078789</v>
      </c>
      <c r="D14" s="567">
        <v>7184358.3469478721</v>
      </c>
      <c r="E14" s="567">
        <v>14002391.023555752</v>
      </c>
      <c r="F14" s="567">
        <v>0</v>
      </c>
      <c r="G14" s="567">
        <v>0</v>
      </c>
      <c r="H14" s="567">
        <v>0</v>
      </c>
      <c r="I14" s="567">
        <v>0</v>
      </c>
      <c r="J14" s="567">
        <v>0</v>
      </c>
      <c r="K14" s="568">
        <v>0</v>
      </c>
    </row>
    <row r="15" spans="1:11">
      <c r="A15" s="290">
        <v>7</v>
      </c>
      <c r="B15" s="268" t="s">
        <v>380</v>
      </c>
      <c r="C15" s="429">
        <v>7558807.2430444183</v>
      </c>
      <c r="D15" s="567">
        <v>6567740.2424929868</v>
      </c>
      <c r="E15" s="567">
        <v>14126547.485537406</v>
      </c>
      <c r="F15" s="567">
        <v>2568057.5081594205</v>
      </c>
      <c r="G15" s="567">
        <v>3568572.2783118915</v>
      </c>
      <c r="H15" s="567">
        <v>6136629.7864713119</v>
      </c>
      <c r="I15" s="567">
        <v>2568057.5081594205</v>
      </c>
      <c r="J15" s="567">
        <v>3568572.2783118915</v>
      </c>
      <c r="K15" s="568">
        <v>6136629.7864713119</v>
      </c>
    </row>
    <row r="16" spans="1:11">
      <c r="A16" s="290">
        <v>8</v>
      </c>
      <c r="B16" s="269" t="s">
        <v>381</v>
      </c>
      <c r="C16" s="429">
        <v>639513885.09096563</v>
      </c>
      <c r="D16" s="567">
        <v>691923589.88721704</v>
      </c>
      <c r="E16" s="567">
        <v>1331437474.9781828</v>
      </c>
      <c r="F16" s="567">
        <v>117210947.44993617</v>
      </c>
      <c r="G16" s="567">
        <v>162413646.68360582</v>
      </c>
      <c r="H16" s="567">
        <v>279624594.133542</v>
      </c>
      <c r="I16" s="567">
        <v>88316928.619076148</v>
      </c>
      <c r="J16" s="567">
        <v>114464051.00541766</v>
      </c>
      <c r="K16" s="568">
        <v>202780979.62449381</v>
      </c>
    </row>
    <row r="17" spans="1:11">
      <c r="A17" s="288" t="s">
        <v>382</v>
      </c>
      <c r="B17" s="283"/>
      <c r="C17" s="283"/>
      <c r="D17" s="283"/>
      <c r="E17" s="283"/>
      <c r="F17" s="283"/>
      <c r="G17" s="283"/>
      <c r="H17" s="283"/>
      <c r="I17" s="283"/>
      <c r="J17" s="283"/>
      <c r="K17" s="289"/>
    </row>
    <row r="18" spans="1:11">
      <c r="A18" s="290">
        <v>9</v>
      </c>
      <c r="B18" s="268" t="s">
        <v>383</v>
      </c>
      <c r="C18" s="429">
        <v>0</v>
      </c>
      <c r="D18" s="567">
        <v>0</v>
      </c>
      <c r="E18" s="567">
        <v>0</v>
      </c>
      <c r="F18" s="567">
        <v>0</v>
      </c>
      <c r="G18" s="567">
        <v>0</v>
      </c>
      <c r="H18" s="567">
        <v>0</v>
      </c>
      <c r="I18" s="567">
        <v>0</v>
      </c>
      <c r="J18" s="567">
        <v>0</v>
      </c>
      <c r="K18" s="568">
        <v>0</v>
      </c>
    </row>
    <row r="19" spans="1:11">
      <c r="A19" s="290">
        <v>10</v>
      </c>
      <c r="B19" s="268" t="s">
        <v>384</v>
      </c>
      <c r="C19" s="429">
        <v>463681013.23215061</v>
      </c>
      <c r="D19" s="567">
        <v>461297404.92230219</v>
      </c>
      <c r="E19" s="567">
        <v>924978418.1544528</v>
      </c>
      <c r="F19" s="567">
        <v>22271716.587009288</v>
      </c>
      <c r="G19" s="567">
        <v>3851894.1345823398</v>
      </c>
      <c r="H19" s="567">
        <v>26123610.721591629</v>
      </c>
      <c r="I19" s="567">
        <v>28553453.323230423</v>
      </c>
      <c r="J19" s="567">
        <v>47489033.720887505</v>
      </c>
      <c r="K19" s="568">
        <v>76042487.044117928</v>
      </c>
    </row>
    <row r="20" spans="1:11">
      <c r="A20" s="290">
        <v>11</v>
      </c>
      <c r="B20" s="268" t="s">
        <v>385</v>
      </c>
      <c r="C20" s="429">
        <v>15963353.626367463</v>
      </c>
      <c r="D20" s="567">
        <v>46398429.965908006</v>
      </c>
      <c r="E20" s="567">
        <v>62361783.59227547</v>
      </c>
      <c r="F20" s="567">
        <v>5172289.2624595584</v>
      </c>
      <c r="G20" s="567">
        <v>45407463.932112597</v>
      </c>
      <c r="H20" s="567">
        <v>50579753.194572158</v>
      </c>
      <c r="I20" s="567">
        <v>5172289.2624595584</v>
      </c>
      <c r="J20" s="567">
        <v>45407463.932112597</v>
      </c>
      <c r="K20" s="568">
        <v>50579753.194572158</v>
      </c>
    </row>
    <row r="21" spans="1:11" ht="13.5" thickBot="1">
      <c r="A21" s="205">
        <v>12</v>
      </c>
      <c r="B21" s="291" t="s">
        <v>386</v>
      </c>
      <c r="C21" s="569">
        <v>479644366.85851806</v>
      </c>
      <c r="D21" s="570">
        <v>507695834.88821018</v>
      </c>
      <c r="E21" s="569">
        <v>987340201.74672818</v>
      </c>
      <c r="F21" s="570">
        <v>27444005.849468846</v>
      </c>
      <c r="G21" s="570">
        <v>49259358.066694938</v>
      </c>
      <c r="H21" s="570">
        <v>76703363.916163787</v>
      </c>
      <c r="I21" s="570">
        <v>33725742.585689984</v>
      </c>
      <c r="J21" s="570">
        <v>92896497.653000101</v>
      </c>
      <c r="K21" s="571">
        <v>126622240.23869008</v>
      </c>
    </row>
    <row r="22" spans="1:11" ht="38.25" customHeight="1" thickBot="1">
      <c r="A22" s="280"/>
      <c r="B22" s="281"/>
      <c r="C22" s="281"/>
      <c r="D22" s="281"/>
      <c r="E22" s="281"/>
      <c r="F22" s="665" t="s">
        <v>387</v>
      </c>
      <c r="G22" s="666"/>
      <c r="H22" s="666"/>
      <c r="I22" s="665" t="s">
        <v>388</v>
      </c>
      <c r="J22" s="666"/>
      <c r="K22" s="667"/>
    </row>
    <row r="23" spans="1:11">
      <c r="A23" s="273">
        <v>13</v>
      </c>
      <c r="B23" s="270" t="s">
        <v>374</v>
      </c>
      <c r="C23" s="279"/>
      <c r="D23" s="279"/>
      <c r="E23" s="279"/>
      <c r="F23" s="563">
        <v>95778906.002660438</v>
      </c>
      <c r="G23" s="563">
        <v>175084728.13750201</v>
      </c>
      <c r="H23" s="563">
        <v>270863634.14016247</v>
      </c>
      <c r="I23" s="563">
        <v>89497169.266439304</v>
      </c>
      <c r="J23" s="563">
        <v>131644541.08267181</v>
      </c>
      <c r="K23" s="564">
        <v>221141710.34911111</v>
      </c>
    </row>
    <row r="24" spans="1:11" ht="13.5" thickBot="1">
      <c r="A24" s="274">
        <v>14</v>
      </c>
      <c r="B24" s="271" t="s">
        <v>389</v>
      </c>
      <c r="C24" s="292"/>
      <c r="D24" s="277"/>
      <c r="E24" s="278"/>
      <c r="F24" s="565">
        <v>89766941.600467324</v>
      </c>
      <c r="G24" s="565">
        <v>113154288.61691087</v>
      </c>
      <c r="H24" s="565">
        <v>202921230.2173782</v>
      </c>
      <c r="I24" s="565">
        <v>54591186.033386163</v>
      </c>
      <c r="J24" s="565">
        <v>28616012.751354415</v>
      </c>
      <c r="K24" s="566">
        <v>76158739.385803729</v>
      </c>
    </row>
    <row r="25" spans="1:11" ht="13.5" thickBot="1">
      <c r="A25" s="275">
        <v>15</v>
      </c>
      <c r="B25" s="272" t="s">
        <v>390</v>
      </c>
      <c r="C25" s="276"/>
      <c r="D25" s="276"/>
      <c r="E25" s="276"/>
      <c r="F25" s="577">
        <v>1.0669730336692436</v>
      </c>
      <c r="G25" s="577">
        <v>1.5473096979139653</v>
      </c>
      <c r="H25" s="577">
        <v>1.3348215652448063</v>
      </c>
      <c r="I25" s="578">
        <v>1.6394069403750597</v>
      </c>
      <c r="J25" s="578">
        <v>4.6003802915009882</v>
      </c>
      <c r="K25" s="579">
        <v>2.9036944693747482</v>
      </c>
    </row>
    <row r="28" spans="1:11" ht="38.25">
      <c r="B28" s="18"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E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61" bestFit="1" customWidth="1"/>
    <col min="2" max="2" width="95" style="61" customWidth="1"/>
    <col min="3" max="3" width="15.7109375" style="61" bestFit="1" customWidth="1"/>
    <col min="4" max="4" width="10" style="61" bestFit="1" customWidth="1"/>
    <col min="5" max="5" width="18.42578125" style="61" bestFit="1" customWidth="1"/>
    <col min="6" max="13" width="10.7109375" style="61" customWidth="1"/>
    <col min="14" max="14" width="31" style="61" bestFit="1" customWidth="1"/>
    <col min="15" max="16384" width="9.140625" style="9"/>
  </cols>
  <sheetData>
    <row r="1" spans="1:14">
      <c r="A1" s="1" t="s">
        <v>188</v>
      </c>
      <c r="B1" s="61" t="str">
        <f>Info!C2</f>
        <v>ს.ს. "ტერაბანკი"</v>
      </c>
    </row>
    <row r="2" spans="1:14" ht="14.25" customHeight="1">
      <c r="A2" s="61" t="s">
        <v>189</v>
      </c>
      <c r="B2" s="403">
        <f>'1. key ratios'!B2</f>
        <v>44926</v>
      </c>
    </row>
    <row r="3" spans="1:14" ht="14.25" customHeight="1"/>
    <row r="4" spans="1:14" ht="15.75" thickBot="1">
      <c r="A4" s="1" t="s">
        <v>341</v>
      </c>
      <c r="B4" s="85"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4"/>
      <c r="B6" s="95"/>
      <c r="C6" s="96" t="s">
        <v>87</v>
      </c>
      <c r="D6" s="97" t="s">
        <v>76</v>
      </c>
      <c r="E6" s="98" t="s">
        <v>86</v>
      </c>
      <c r="F6" s="99">
        <v>0</v>
      </c>
      <c r="G6" s="99">
        <v>0.2</v>
      </c>
      <c r="H6" s="99">
        <v>0.35</v>
      </c>
      <c r="I6" s="99">
        <v>0.5</v>
      </c>
      <c r="J6" s="99">
        <v>0.75</v>
      </c>
      <c r="K6" s="99">
        <v>1</v>
      </c>
      <c r="L6" s="99">
        <v>1.5</v>
      </c>
      <c r="M6" s="99">
        <v>2.5</v>
      </c>
      <c r="N6" s="155" t="s">
        <v>77</v>
      </c>
    </row>
    <row r="7" spans="1:14">
      <c r="A7" s="156">
        <v>1</v>
      </c>
      <c r="B7" s="100" t="s">
        <v>78</v>
      </c>
      <c r="C7" s="250">
        <f>SUM(C8:C13)</f>
        <v>36055000</v>
      </c>
      <c r="D7" s="95"/>
      <c r="E7" s="581">
        <f t="shared" ref="E7:M7" si="0">SUM(E8:E13)</f>
        <v>721100</v>
      </c>
      <c r="F7" s="581">
        <f>SUM(F8:F13)</f>
        <v>0</v>
      </c>
      <c r="G7" s="581">
        <f t="shared" si="0"/>
        <v>0</v>
      </c>
      <c r="H7" s="581">
        <f t="shared" si="0"/>
        <v>0</v>
      </c>
      <c r="I7" s="581">
        <f t="shared" si="0"/>
        <v>0</v>
      </c>
      <c r="J7" s="581">
        <f t="shared" si="0"/>
        <v>0</v>
      </c>
      <c r="K7" s="581">
        <f t="shared" si="0"/>
        <v>721100</v>
      </c>
      <c r="L7" s="581">
        <f t="shared" si="0"/>
        <v>0</v>
      </c>
      <c r="M7" s="581">
        <f t="shared" si="0"/>
        <v>0</v>
      </c>
      <c r="N7" s="584">
        <f>SUM(N8:N13)</f>
        <v>721100</v>
      </c>
    </row>
    <row r="8" spans="1:14">
      <c r="A8" s="156">
        <v>1.1000000000000001</v>
      </c>
      <c r="B8" s="101" t="s">
        <v>79</v>
      </c>
      <c r="C8" s="251">
        <v>36055000</v>
      </c>
      <c r="D8" s="102">
        <v>0.02</v>
      </c>
      <c r="E8" s="581">
        <f>C8*D8</f>
        <v>721100</v>
      </c>
      <c r="F8" s="580">
        <v>0</v>
      </c>
      <c r="G8" s="580">
        <v>0</v>
      </c>
      <c r="H8" s="580">
        <v>0</v>
      </c>
      <c r="I8" s="580">
        <v>0</v>
      </c>
      <c r="J8" s="580">
        <v>0</v>
      </c>
      <c r="K8" s="580">
        <v>721100</v>
      </c>
      <c r="L8" s="580">
        <v>0</v>
      </c>
      <c r="M8" s="580">
        <v>0</v>
      </c>
      <c r="N8" s="584">
        <f>SUMPRODUCT($F$6:$M$6,F8:M8)</f>
        <v>721100</v>
      </c>
    </row>
    <row r="9" spans="1:14">
      <c r="A9" s="156">
        <v>1.2</v>
      </c>
      <c r="B9" s="101" t="s">
        <v>80</v>
      </c>
      <c r="C9" s="580">
        <v>0</v>
      </c>
      <c r="D9" s="102">
        <v>0.05</v>
      </c>
      <c r="E9" s="581">
        <f>C9*D9</f>
        <v>0</v>
      </c>
      <c r="F9" s="580">
        <v>0</v>
      </c>
      <c r="G9" s="580">
        <v>0</v>
      </c>
      <c r="H9" s="580">
        <v>0</v>
      </c>
      <c r="I9" s="580">
        <v>0</v>
      </c>
      <c r="J9" s="580">
        <v>0</v>
      </c>
      <c r="K9" s="580">
        <v>0</v>
      </c>
      <c r="L9" s="580">
        <v>0</v>
      </c>
      <c r="M9" s="580">
        <v>0</v>
      </c>
      <c r="N9" s="584">
        <f t="shared" ref="N9:N12" si="1">SUMPRODUCT($F$6:$M$6,F9:M9)</f>
        <v>0</v>
      </c>
    </row>
    <row r="10" spans="1:14">
      <c r="A10" s="156">
        <v>1.3</v>
      </c>
      <c r="B10" s="101" t="s">
        <v>81</v>
      </c>
      <c r="C10" s="580">
        <v>0</v>
      </c>
      <c r="D10" s="102">
        <v>0.08</v>
      </c>
      <c r="E10" s="581">
        <f>C10*D10</f>
        <v>0</v>
      </c>
      <c r="F10" s="580">
        <v>0</v>
      </c>
      <c r="G10" s="580">
        <v>0</v>
      </c>
      <c r="H10" s="580">
        <v>0</v>
      </c>
      <c r="I10" s="580">
        <v>0</v>
      </c>
      <c r="J10" s="580">
        <v>0</v>
      </c>
      <c r="K10" s="580">
        <v>0</v>
      </c>
      <c r="L10" s="580">
        <v>0</v>
      </c>
      <c r="M10" s="580">
        <v>0</v>
      </c>
      <c r="N10" s="584">
        <f>SUMPRODUCT($F$6:$M$6,F10:M10)</f>
        <v>0</v>
      </c>
    </row>
    <row r="11" spans="1:14">
      <c r="A11" s="156">
        <v>1.4</v>
      </c>
      <c r="B11" s="101" t="s">
        <v>82</v>
      </c>
      <c r="C11" s="580">
        <v>0</v>
      </c>
      <c r="D11" s="102">
        <v>0.11</v>
      </c>
      <c r="E11" s="581">
        <f>C11*D11</f>
        <v>0</v>
      </c>
      <c r="F11" s="580">
        <v>0</v>
      </c>
      <c r="G11" s="580">
        <v>0</v>
      </c>
      <c r="H11" s="580">
        <v>0</v>
      </c>
      <c r="I11" s="580">
        <v>0</v>
      </c>
      <c r="J11" s="580">
        <v>0</v>
      </c>
      <c r="K11" s="580">
        <v>0</v>
      </c>
      <c r="L11" s="580">
        <v>0</v>
      </c>
      <c r="M11" s="580">
        <v>0</v>
      </c>
      <c r="N11" s="584">
        <f t="shared" si="1"/>
        <v>0</v>
      </c>
    </row>
    <row r="12" spans="1:14">
      <c r="A12" s="156">
        <v>1.5</v>
      </c>
      <c r="B12" s="101" t="s">
        <v>83</v>
      </c>
      <c r="C12" s="580">
        <v>0</v>
      </c>
      <c r="D12" s="102">
        <v>0.14000000000000001</v>
      </c>
      <c r="E12" s="581">
        <f>C12*D12</f>
        <v>0</v>
      </c>
      <c r="F12" s="580">
        <v>0</v>
      </c>
      <c r="G12" s="580">
        <v>0</v>
      </c>
      <c r="H12" s="580">
        <v>0</v>
      </c>
      <c r="I12" s="580">
        <v>0</v>
      </c>
      <c r="J12" s="580">
        <v>0</v>
      </c>
      <c r="K12" s="580">
        <v>0</v>
      </c>
      <c r="L12" s="580">
        <v>0</v>
      </c>
      <c r="M12" s="580">
        <v>0</v>
      </c>
      <c r="N12" s="584">
        <f t="shared" si="1"/>
        <v>0</v>
      </c>
    </row>
    <row r="13" spans="1:14">
      <c r="A13" s="156">
        <v>1.6</v>
      </c>
      <c r="B13" s="103" t="s">
        <v>84</v>
      </c>
      <c r="C13" s="580">
        <v>0</v>
      </c>
      <c r="D13" s="104"/>
      <c r="E13" s="251"/>
      <c r="F13" s="580">
        <v>0</v>
      </c>
      <c r="G13" s="580">
        <v>0</v>
      </c>
      <c r="H13" s="580">
        <v>0</v>
      </c>
      <c r="I13" s="580">
        <v>0</v>
      </c>
      <c r="J13" s="580">
        <v>0</v>
      </c>
      <c r="K13" s="580">
        <v>0</v>
      </c>
      <c r="L13" s="580">
        <v>0</v>
      </c>
      <c r="M13" s="580">
        <v>0</v>
      </c>
      <c r="N13" s="584">
        <f>SUMPRODUCT($F$6:$M$6,F13:M13)</f>
        <v>0</v>
      </c>
    </row>
    <row r="14" spans="1:14">
      <c r="A14" s="156">
        <v>2</v>
      </c>
      <c r="B14" s="105" t="s">
        <v>85</v>
      </c>
      <c r="C14" s="581">
        <f>SUM(C15:C20)</f>
        <v>0</v>
      </c>
      <c r="D14" s="580"/>
      <c r="E14" s="581">
        <f t="shared" ref="E14:M14" si="2">SUM(E15:E20)</f>
        <v>0</v>
      </c>
      <c r="F14" s="580">
        <f t="shared" si="2"/>
        <v>0</v>
      </c>
      <c r="G14" s="580">
        <f t="shared" si="2"/>
        <v>0</v>
      </c>
      <c r="H14" s="580">
        <f t="shared" si="2"/>
        <v>0</v>
      </c>
      <c r="I14" s="580">
        <f t="shared" si="2"/>
        <v>0</v>
      </c>
      <c r="J14" s="580">
        <f t="shared" si="2"/>
        <v>0</v>
      </c>
      <c r="K14" s="580">
        <f t="shared" si="2"/>
        <v>0</v>
      </c>
      <c r="L14" s="580">
        <f t="shared" si="2"/>
        <v>0</v>
      </c>
      <c r="M14" s="580">
        <f t="shared" si="2"/>
        <v>0</v>
      </c>
      <c r="N14" s="584">
        <f>SUM(N15:N20)</f>
        <v>0</v>
      </c>
    </row>
    <row r="15" spans="1:14">
      <c r="A15" s="156">
        <v>2.1</v>
      </c>
      <c r="B15" s="103" t="s">
        <v>79</v>
      </c>
      <c r="C15" s="580">
        <v>0</v>
      </c>
      <c r="D15" s="102">
        <v>5.0000000000000001E-3</v>
      </c>
      <c r="E15" s="581">
        <f>C15*D15</f>
        <v>0</v>
      </c>
      <c r="F15" s="580">
        <v>0</v>
      </c>
      <c r="G15" s="580">
        <v>0</v>
      </c>
      <c r="H15" s="580">
        <v>0</v>
      </c>
      <c r="I15" s="580">
        <v>0</v>
      </c>
      <c r="J15" s="580">
        <v>0</v>
      </c>
      <c r="K15" s="580">
        <v>0</v>
      </c>
      <c r="L15" s="580">
        <v>0</v>
      </c>
      <c r="M15" s="580">
        <v>0</v>
      </c>
      <c r="N15" s="584">
        <f>SUMPRODUCT($F$6:$M$6,F15:M15)</f>
        <v>0</v>
      </c>
    </row>
    <row r="16" spans="1:14">
      <c r="A16" s="156">
        <v>2.2000000000000002</v>
      </c>
      <c r="B16" s="103" t="s">
        <v>80</v>
      </c>
      <c r="C16" s="580">
        <v>0</v>
      </c>
      <c r="D16" s="102">
        <v>0.01</v>
      </c>
      <c r="E16" s="581">
        <f>C16*D16</f>
        <v>0</v>
      </c>
      <c r="F16" s="580">
        <v>0</v>
      </c>
      <c r="G16" s="580">
        <v>0</v>
      </c>
      <c r="H16" s="580">
        <v>0</v>
      </c>
      <c r="I16" s="580">
        <v>0</v>
      </c>
      <c r="J16" s="580">
        <v>0</v>
      </c>
      <c r="K16" s="580">
        <v>0</v>
      </c>
      <c r="L16" s="580">
        <v>0</v>
      </c>
      <c r="M16" s="580">
        <v>0</v>
      </c>
      <c r="N16" s="584">
        <f t="shared" ref="N16:N20" si="3">SUMPRODUCT($F$6:$M$6,F16:M16)</f>
        <v>0</v>
      </c>
    </row>
    <row r="17" spans="1:14">
      <c r="A17" s="156">
        <v>2.2999999999999998</v>
      </c>
      <c r="B17" s="103" t="s">
        <v>81</v>
      </c>
      <c r="C17" s="580">
        <v>0</v>
      </c>
      <c r="D17" s="102">
        <v>0.02</v>
      </c>
      <c r="E17" s="581">
        <f>C17*D17</f>
        <v>0</v>
      </c>
      <c r="F17" s="580">
        <v>0</v>
      </c>
      <c r="G17" s="580">
        <v>0</v>
      </c>
      <c r="H17" s="580">
        <v>0</v>
      </c>
      <c r="I17" s="580">
        <v>0</v>
      </c>
      <c r="J17" s="580">
        <v>0</v>
      </c>
      <c r="K17" s="580">
        <v>0</v>
      </c>
      <c r="L17" s="580">
        <v>0</v>
      </c>
      <c r="M17" s="580">
        <v>0</v>
      </c>
      <c r="N17" s="584">
        <f t="shared" si="3"/>
        <v>0</v>
      </c>
    </row>
    <row r="18" spans="1:14">
      <c r="A18" s="156">
        <v>2.4</v>
      </c>
      <c r="B18" s="103" t="s">
        <v>82</v>
      </c>
      <c r="C18" s="580">
        <v>0</v>
      </c>
      <c r="D18" s="102">
        <v>0.03</v>
      </c>
      <c r="E18" s="581">
        <f>C18*D18</f>
        <v>0</v>
      </c>
      <c r="F18" s="580">
        <v>0</v>
      </c>
      <c r="G18" s="580">
        <v>0</v>
      </c>
      <c r="H18" s="580">
        <v>0</v>
      </c>
      <c r="I18" s="580">
        <v>0</v>
      </c>
      <c r="J18" s="580">
        <v>0</v>
      </c>
      <c r="K18" s="580">
        <v>0</v>
      </c>
      <c r="L18" s="580">
        <v>0</v>
      </c>
      <c r="M18" s="580">
        <v>0</v>
      </c>
      <c r="N18" s="584">
        <f t="shared" si="3"/>
        <v>0</v>
      </c>
    </row>
    <row r="19" spans="1:14">
      <c r="A19" s="156">
        <v>2.5</v>
      </c>
      <c r="B19" s="103" t="s">
        <v>83</v>
      </c>
      <c r="C19" s="580">
        <v>0</v>
      </c>
      <c r="D19" s="102">
        <v>0.04</v>
      </c>
      <c r="E19" s="581">
        <f>C19*D19</f>
        <v>0</v>
      </c>
      <c r="F19" s="580">
        <v>0</v>
      </c>
      <c r="G19" s="580">
        <v>0</v>
      </c>
      <c r="H19" s="580">
        <v>0</v>
      </c>
      <c r="I19" s="580">
        <v>0</v>
      </c>
      <c r="J19" s="580">
        <v>0</v>
      </c>
      <c r="K19" s="580">
        <v>0</v>
      </c>
      <c r="L19" s="580">
        <v>0</v>
      </c>
      <c r="M19" s="580">
        <v>0</v>
      </c>
      <c r="N19" s="584">
        <f t="shared" si="3"/>
        <v>0</v>
      </c>
    </row>
    <row r="20" spans="1:14">
      <c r="A20" s="156">
        <v>2.6</v>
      </c>
      <c r="B20" s="103" t="s">
        <v>84</v>
      </c>
      <c r="C20" s="580">
        <v>0</v>
      </c>
      <c r="D20" s="104"/>
      <c r="E20" s="252"/>
      <c r="F20" s="580">
        <v>0</v>
      </c>
      <c r="G20" s="580">
        <v>0</v>
      </c>
      <c r="H20" s="580">
        <v>0</v>
      </c>
      <c r="I20" s="580">
        <v>0</v>
      </c>
      <c r="J20" s="580">
        <v>0</v>
      </c>
      <c r="K20" s="580">
        <v>0</v>
      </c>
      <c r="L20" s="580">
        <v>0</v>
      </c>
      <c r="M20" s="580">
        <v>0</v>
      </c>
      <c r="N20" s="584">
        <f t="shared" si="3"/>
        <v>0</v>
      </c>
    </row>
    <row r="21" spans="1:14" ht="15.75" thickBot="1">
      <c r="A21" s="157">
        <v>3</v>
      </c>
      <c r="B21" s="158" t="s">
        <v>68</v>
      </c>
      <c r="C21" s="582">
        <f>C14+C7</f>
        <v>36055000</v>
      </c>
      <c r="D21" s="582"/>
      <c r="E21" s="582">
        <f>E14+E7</f>
        <v>721100</v>
      </c>
      <c r="F21" s="583">
        <f>F7+F14</f>
        <v>0</v>
      </c>
      <c r="G21" s="583">
        <f t="shared" ref="G21:L21" si="4">G7+G14</f>
        <v>0</v>
      </c>
      <c r="H21" s="583">
        <f t="shared" si="4"/>
        <v>0</v>
      </c>
      <c r="I21" s="583">
        <f t="shared" si="4"/>
        <v>0</v>
      </c>
      <c r="J21" s="583">
        <f t="shared" si="4"/>
        <v>0</v>
      </c>
      <c r="K21" s="583">
        <f t="shared" si="4"/>
        <v>721100</v>
      </c>
      <c r="L21" s="583">
        <f t="shared" si="4"/>
        <v>0</v>
      </c>
      <c r="M21" s="583">
        <f>M7+M14</f>
        <v>0</v>
      </c>
      <c r="N21" s="585">
        <f>N14+N7</f>
        <v>721100</v>
      </c>
    </row>
    <row r="22" spans="1:14">
      <c r="E22" s="253"/>
      <c r="F22" s="253"/>
      <c r="G22" s="253"/>
      <c r="H22" s="253"/>
      <c r="I22" s="253"/>
      <c r="J22" s="253"/>
      <c r="K22" s="253"/>
      <c r="L22" s="253"/>
      <c r="M22" s="253"/>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9" workbookViewId="0">
      <selection activeCell="C6" sqref="C6"/>
    </sheetView>
  </sheetViews>
  <sheetFormatPr defaultRowHeight="15"/>
  <cols>
    <col min="1" max="1" width="11.42578125" customWidth="1"/>
    <col min="2" max="2" width="76.85546875" style="2" customWidth="1"/>
    <col min="3" max="3" width="22.85546875" customWidth="1"/>
  </cols>
  <sheetData>
    <row r="1" spans="1:3">
      <c r="A1" s="1" t="s">
        <v>188</v>
      </c>
      <c r="B1" t="str">
        <f>Info!C2</f>
        <v>ს.ს. "ტერაბანკი"</v>
      </c>
    </row>
    <row r="2" spans="1:3">
      <c r="A2" s="1" t="s">
        <v>189</v>
      </c>
      <c r="B2" s="403">
        <f>'1. key ratios'!B2</f>
        <v>44926</v>
      </c>
    </row>
    <row r="3" spans="1:3">
      <c r="A3" s="1"/>
      <c r="B3"/>
    </row>
    <row r="4" spans="1:3">
      <c r="A4" s="1" t="s">
        <v>470</v>
      </c>
      <c r="B4" t="s">
        <v>429</v>
      </c>
    </row>
    <row r="5" spans="1:3">
      <c r="A5" s="339"/>
      <c r="B5" s="339" t="s">
        <v>430</v>
      </c>
      <c r="C5" s="351"/>
    </row>
    <row r="6" spans="1:3">
      <c r="A6" s="340">
        <v>1</v>
      </c>
      <c r="B6" s="352" t="s">
        <v>479</v>
      </c>
      <c r="C6" s="353">
        <v>1483694213.6999044</v>
      </c>
    </row>
    <row r="7" spans="1:3">
      <c r="A7" s="340">
        <v>2</v>
      </c>
      <c r="B7" s="352" t="s">
        <v>431</v>
      </c>
      <c r="C7" s="587">
        <v>-24383047.379999995</v>
      </c>
    </row>
    <row r="8" spans="1:3">
      <c r="A8" s="341">
        <v>3</v>
      </c>
      <c r="B8" s="354" t="s">
        <v>432</v>
      </c>
      <c r="C8" s="355">
        <f>C6+C7</f>
        <v>1459311166.3199043</v>
      </c>
    </row>
    <row r="9" spans="1:3">
      <c r="A9" s="342"/>
      <c r="B9" s="342" t="s">
        <v>433</v>
      </c>
      <c r="C9" s="356"/>
    </row>
    <row r="10" spans="1:3">
      <c r="A10" s="343">
        <v>4</v>
      </c>
      <c r="B10" s="357" t="s">
        <v>434</v>
      </c>
      <c r="C10" s="587">
        <v>0</v>
      </c>
    </row>
    <row r="11" spans="1:3">
      <c r="A11" s="343">
        <v>5</v>
      </c>
      <c r="B11" s="358" t="s">
        <v>435</v>
      </c>
      <c r="C11" s="587">
        <v>0</v>
      </c>
    </row>
    <row r="12" spans="1:3">
      <c r="A12" s="343" t="s">
        <v>436</v>
      </c>
      <c r="B12" s="352" t="s">
        <v>437</v>
      </c>
      <c r="C12" s="355">
        <f>'15. CCR'!E21</f>
        <v>721100</v>
      </c>
    </row>
    <row r="13" spans="1:3">
      <c r="A13" s="344">
        <v>6</v>
      </c>
      <c r="B13" s="359" t="s">
        <v>438</v>
      </c>
      <c r="C13" s="587">
        <v>0</v>
      </c>
    </row>
    <row r="14" spans="1:3">
      <c r="A14" s="344">
        <v>7</v>
      </c>
      <c r="B14" s="360" t="s">
        <v>439</v>
      </c>
      <c r="C14" s="587">
        <v>0</v>
      </c>
    </row>
    <row r="15" spans="1:3">
      <c r="A15" s="345">
        <v>8</v>
      </c>
      <c r="B15" s="352" t="s">
        <v>440</v>
      </c>
      <c r="C15" s="587">
        <v>0</v>
      </c>
    </row>
    <row r="16" spans="1:3" ht="24">
      <c r="A16" s="344">
        <v>9</v>
      </c>
      <c r="B16" s="360" t="s">
        <v>441</v>
      </c>
      <c r="C16" s="587">
        <v>0</v>
      </c>
    </row>
    <row r="17" spans="1:3">
      <c r="A17" s="344">
        <v>10</v>
      </c>
      <c r="B17" s="360" t="s">
        <v>442</v>
      </c>
      <c r="C17" s="587">
        <v>0</v>
      </c>
    </row>
    <row r="18" spans="1:3">
      <c r="A18" s="346">
        <v>11</v>
      </c>
      <c r="B18" s="361" t="s">
        <v>443</v>
      </c>
      <c r="C18" s="355">
        <f>SUM(C10:C17)</f>
        <v>721100</v>
      </c>
    </row>
    <row r="19" spans="1:3">
      <c r="A19" s="342"/>
      <c r="B19" s="342" t="s">
        <v>444</v>
      </c>
      <c r="C19" s="362"/>
    </row>
    <row r="20" spans="1:3">
      <c r="A20" s="344">
        <v>12</v>
      </c>
      <c r="B20" s="357" t="s">
        <v>445</v>
      </c>
      <c r="C20" s="587">
        <v>0</v>
      </c>
    </row>
    <row r="21" spans="1:3">
      <c r="A21" s="344">
        <v>13</v>
      </c>
      <c r="B21" s="357" t="s">
        <v>446</v>
      </c>
      <c r="C21" s="587">
        <v>0</v>
      </c>
    </row>
    <row r="22" spans="1:3">
      <c r="A22" s="344">
        <v>14</v>
      </c>
      <c r="B22" s="357" t="s">
        <v>447</v>
      </c>
      <c r="C22" s="587">
        <v>0</v>
      </c>
    </row>
    <row r="23" spans="1:3" ht="24">
      <c r="A23" s="344" t="s">
        <v>448</v>
      </c>
      <c r="B23" s="357" t="s">
        <v>449</v>
      </c>
      <c r="C23" s="587">
        <v>0</v>
      </c>
    </row>
    <row r="24" spans="1:3">
      <c r="A24" s="344">
        <v>15</v>
      </c>
      <c r="B24" s="357" t="s">
        <v>450</v>
      </c>
      <c r="C24" s="587">
        <v>0</v>
      </c>
    </row>
    <row r="25" spans="1:3">
      <c r="A25" s="344" t="s">
        <v>451</v>
      </c>
      <c r="B25" s="352" t="s">
        <v>452</v>
      </c>
      <c r="C25" s="587">
        <v>0</v>
      </c>
    </row>
    <row r="26" spans="1:3">
      <c r="A26" s="346">
        <v>16</v>
      </c>
      <c r="B26" s="361" t="s">
        <v>453</v>
      </c>
      <c r="C26" s="355">
        <f>SUM(C20:C25)</f>
        <v>0</v>
      </c>
    </row>
    <row r="27" spans="1:3">
      <c r="A27" s="342"/>
      <c r="B27" s="342" t="s">
        <v>454</v>
      </c>
      <c r="C27" s="356"/>
    </row>
    <row r="28" spans="1:3">
      <c r="A28" s="343">
        <v>17</v>
      </c>
      <c r="B28" s="352" t="s">
        <v>455</v>
      </c>
      <c r="C28" s="587">
        <v>83976423.729999959</v>
      </c>
    </row>
    <row r="29" spans="1:3">
      <c r="A29" s="343">
        <v>18</v>
      </c>
      <c r="B29" s="352" t="s">
        <v>456</v>
      </c>
      <c r="C29" s="587">
        <v>-42971205.581000015</v>
      </c>
    </row>
    <row r="30" spans="1:3">
      <c r="A30" s="346">
        <v>19</v>
      </c>
      <c r="B30" s="361" t="s">
        <v>457</v>
      </c>
      <c r="C30" s="355">
        <f>C28+C29</f>
        <v>41005218.148999944</v>
      </c>
    </row>
    <row r="31" spans="1:3">
      <c r="A31" s="347"/>
      <c r="B31" s="342" t="s">
        <v>458</v>
      </c>
      <c r="C31" s="356"/>
    </row>
    <row r="32" spans="1:3">
      <c r="A32" s="343" t="s">
        <v>459</v>
      </c>
      <c r="B32" s="357" t="s">
        <v>460</v>
      </c>
      <c r="C32" s="588">
        <v>0</v>
      </c>
    </row>
    <row r="33" spans="1:3">
      <c r="A33" s="343" t="s">
        <v>461</v>
      </c>
      <c r="B33" s="358" t="s">
        <v>462</v>
      </c>
      <c r="C33" s="588">
        <v>0</v>
      </c>
    </row>
    <row r="34" spans="1:3">
      <c r="A34" s="342"/>
      <c r="B34" s="342" t="s">
        <v>463</v>
      </c>
      <c r="C34" s="356"/>
    </row>
    <row r="35" spans="1:3">
      <c r="A35" s="346">
        <v>20</v>
      </c>
      <c r="B35" s="361" t="s">
        <v>89</v>
      </c>
      <c r="C35" s="355">
        <f>'1. key ratios'!C9</f>
        <v>176538772.0999999</v>
      </c>
    </row>
    <row r="36" spans="1:3">
      <c r="A36" s="346">
        <v>21</v>
      </c>
      <c r="B36" s="361" t="s">
        <v>464</v>
      </c>
      <c r="C36" s="355">
        <f>C8+C18+C26+C30</f>
        <v>1501037484.4689043</v>
      </c>
    </row>
    <row r="37" spans="1:3">
      <c r="A37" s="348"/>
      <c r="B37" s="348" t="s">
        <v>429</v>
      </c>
      <c r="C37" s="356"/>
    </row>
    <row r="38" spans="1:3">
      <c r="A38" s="346">
        <v>22</v>
      </c>
      <c r="B38" s="361" t="s">
        <v>429</v>
      </c>
      <c r="C38" s="589">
        <f>IFERROR(C35/C36,0)</f>
        <v>0.11761116822639689</v>
      </c>
    </row>
    <row r="39" spans="1:3">
      <c r="A39" s="348"/>
      <c r="B39" s="348" t="s">
        <v>465</v>
      </c>
      <c r="C39" s="356"/>
    </row>
    <row r="40" spans="1:3">
      <c r="A40" s="349" t="s">
        <v>466</v>
      </c>
      <c r="B40" s="357" t="s">
        <v>467</v>
      </c>
      <c r="C40" s="588">
        <v>0</v>
      </c>
    </row>
    <row r="41" spans="1:3">
      <c r="A41" s="350" t="s">
        <v>468</v>
      </c>
      <c r="B41" s="358" t="s">
        <v>469</v>
      </c>
      <c r="C41" s="588">
        <v>0</v>
      </c>
    </row>
    <row r="43" spans="1:3">
      <c r="B43" s="371" t="s">
        <v>480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D41" sqref="D41"/>
    </sheetView>
  </sheetViews>
  <sheetFormatPr defaultRowHeight="15"/>
  <cols>
    <col min="1" max="1" width="9.85546875" style="1" bestFit="1" customWidth="1"/>
    <col min="2" max="2" width="82.5703125" style="18" customWidth="1"/>
    <col min="3" max="7" width="17.5703125" style="1" customWidth="1"/>
  </cols>
  <sheetData>
    <row r="1" spans="1:7">
      <c r="A1" s="1" t="s">
        <v>188</v>
      </c>
      <c r="B1" s="1" t="str">
        <f>Info!C2</f>
        <v>ს.ს. "ტერაბანკი"</v>
      </c>
    </row>
    <row r="2" spans="1:7">
      <c r="A2" s="1" t="s">
        <v>189</v>
      </c>
      <c r="B2" s="403">
        <f>'1. key ratios'!B2</f>
        <v>44926</v>
      </c>
    </row>
    <row r="3" spans="1:7">
      <c r="B3" s="403"/>
    </row>
    <row r="4" spans="1:7" ht="15.75" thickBot="1">
      <c r="A4" s="1" t="s">
        <v>529</v>
      </c>
      <c r="B4" s="258" t="s">
        <v>494</v>
      </c>
    </row>
    <row r="5" spans="1:7">
      <c r="A5" s="405"/>
      <c r="B5" s="406"/>
      <c r="C5" s="670" t="s">
        <v>495</v>
      </c>
      <c r="D5" s="670"/>
      <c r="E5" s="670"/>
      <c r="F5" s="670"/>
      <c r="G5" s="671" t="s">
        <v>496</v>
      </c>
    </row>
    <row r="6" spans="1:7">
      <c r="A6" s="407"/>
      <c r="B6" s="408"/>
      <c r="C6" s="409" t="s">
        <v>497</v>
      </c>
      <c r="D6" s="409" t="s">
        <v>498</v>
      </c>
      <c r="E6" s="409" t="s">
        <v>499</v>
      </c>
      <c r="F6" s="409" t="s">
        <v>500</v>
      </c>
      <c r="G6" s="672"/>
    </row>
    <row r="7" spans="1:7">
      <c r="A7" s="410"/>
      <c r="B7" s="411" t="s">
        <v>501</v>
      </c>
      <c r="C7" s="412"/>
      <c r="D7" s="412"/>
      <c r="E7" s="412"/>
      <c r="F7" s="412"/>
      <c r="G7" s="413"/>
    </row>
    <row r="8" spans="1:7">
      <c r="A8" s="414">
        <v>1</v>
      </c>
      <c r="B8" s="415" t="s">
        <v>502</v>
      </c>
      <c r="C8" s="416">
        <f>SUM(C9:C10)</f>
        <v>176538772.09999993</v>
      </c>
      <c r="D8" s="416">
        <f>SUM(D9:D10)</f>
        <v>0</v>
      </c>
      <c r="E8" s="416">
        <f>SUM(E9:E10)</f>
        <v>0</v>
      </c>
      <c r="F8" s="416">
        <f>SUM(F9:F10)</f>
        <v>270104032.21200001</v>
      </c>
      <c r="G8" s="417">
        <f>SUM(G9:G10)</f>
        <v>446642804.31199992</v>
      </c>
    </row>
    <row r="9" spans="1:7">
      <c r="A9" s="414">
        <v>2</v>
      </c>
      <c r="B9" s="418" t="s">
        <v>88</v>
      </c>
      <c r="C9" s="416">
        <v>176538772.09999993</v>
      </c>
      <c r="D9" s="416">
        <v>0</v>
      </c>
      <c r="E9" s="416">
        <v>0</v>
      </c>
      <c r="F9" s="416">
        <v>34503594.039999999</v>
      </c>
      <c r="G9" s="417">
        <v>211042366.13999993</v>
      </c>
    </row>
    <row r="10" spans="1:7">
      <c r="A10" s="414">
        <v>3</v>
      </c>
      <c r="B10" s="418" t="s">
        <v>503</v>
      </c>
      <c r="C10" s="419"/>
      <c r="D10" s="419"/>
      <c r="E10" s="419"/>
      <c r="F10" s="416">
        <v>235600438.17199999</v>
      </c>
      <c r="G10" s="417">
        <v>235600438.17199999</v>
      </c>
    </row>
    <row r="11" spans="1:7" ht="26.25">
      <c r="A11" s="414">
        <v>4</v>
      </c>
      <c r="B11" s="415" t="s">
        <v>504</v>
      </c>
      <c r="C11" s="416">
        <f t="shared" ref="C11:F11" si="0">SUM(C12:C13)</f>
        <v>165448241.6200003</v>
      </c>
      <c r="D11" s="416">
        <f t="shared" si="0"/>
        <v>106222066.43000004</v>
      </c>
      <c r="E11" s="416">
        <f t="shared" si="0"/>
        <v>98731377.670000046</v>
      </c>
      <c r="F11" s="416">
        <f t="shared" si="0"/>
        <v>13957661.42999999</v>
      </c>
      <c r="G11" s="417">
        <f>SUM(G12:G13)</f>
        <v>343593635.36750036</v>
      </c>
    </row>
    <row r="12" spans="1:7">
      <c r="A12" s="414">
        <v>5</v>
      </c>
      <c r="B12" s="418" t="s">
        <v>505</v>
      </c>
      <c r="C12" s="416">
        <v>144730313.86000031</v>
      </c>
      <c r="D12" s="420">
        <v>89124177.160000041</v>
      </c>
      <c r="E12" s="416">
        <v>90380519.440000042</v>
      </c>
      <c r="F12" s="416">
        <v>12240460.18999999</v>
      </c>
      <c r="G12" s="417">
        <v>319651697.11750036</v>
      </c>
    </row>
    <row r="13" spans="1:7">
      <c r="A13" s="414">
        <v>6</v>
      </c>
      <c r="B13" s="418" t="s">
        <v>506</v>
      </c>
      <c r="C13" s="416">
        <v>20717927.759999976</v>
      </c>
      <c r="D13" s="420">
        <v>17097889.270000003</v>
      </c>
      <c r="E13" s="416">
        <v>8350858.2299999986</v>
      </c>
      <c r="F13" s="416">
        <v>1717201.2400000002</v>
      </c>
      <c r="G13" s="417">
        <v>23941938.249999989</v>
      </c>
    </row>
    <row r="14" spans="1:7">
      <c r="A14" s="414">
        <v>7</v>
      </c>
      <c r="B14" s="415" t="s">
        <v>507</v>
      </c>
      <c r="C14" s="416">
        <f t="shared" ref="C14:F14" si="1">SUM(C15:C16)</f>
        <v>290057940.03999966</v>
      </c>
      <c r="D14" s="416">
        <f t="shared" si="1"/>
        <v>237634962.70999998</v>
      </c>
      <c r="E14" s="416">
        <f t="shared" si="1"/>
        <v>81029289.879999995</v>
      </c>
      <c r="F14" s="416">
        <f t="shared" si="1"/>
        <v>3200</v>
      </c>
      <c r="G14" s="417">
        <f>SUM(G15:G16)</f>
        <v>210232262.73499981</v>
      </c>
    </row>
    <row r="15" spans="1:7" ht="51.75">
      <c r="A15" s="414">
        <v>8</v>
      </c>
      <c r="B15" s="418" t="s">
        <v>508</v>
      </c>
      <c r="C15" s="416">
        <v>271348024.31999964</v>
      </c>
      <c r="D15" s="420">
        <v>68526111.269999996</v>
      </c>
      <c r="E15" s="416">
        <v>50834728.130000003</v>
      </c>
      <c r="F15" s="416">
        <v>3200</v>
      </c>
      <c r="G15" s="417">
        <v>195356031.85999981</v>
      </c>
    </row>
    <row r="16" spans="1:7" ht="26.25">
      <c r="A16" s="414">
        <v>9</v>
      </c>
      <c r="B16" s="418" t="s">
        <v>509</v>
      </c>
      <c r="C16" s="416">
        <v>18709915.720000003</v>
      </c>
      <c r="D16" s="420">
        <v>169108851.44</v>
      </c>
      <c r="E16" s="416">
        <v>30194561.75</v>
      </c>
      <c r="F16" s="416">
        <v>0</v>
      </c>
      <c r="G16" s="417">
        <v>14876230.875</v>
      </c>
    </row>
    <row r="17" spans="1:7">
      <c r="A17" s="414">
        <v>10</v>
      </c>
      <c r="B17" s="415" t="s">
        <v>510</v>
      </c>
      <c r="C17" s="416">
        <v>0</v>
      </c>
      <c r="D17" s="420">
        <v>0</v>
      </c>
      <c r="E17" s="416">
        <v>0</v>
      </c>
      <c r="F17" s="416">
        <v>0</v>
      </c>
      <c r="G17" s="417">
        <v>0</v>
      </c>
    </row>
    <row r="18" spans="1:7">
      <c r="A18" s="414">
        <v>11</v>
      </c>
      <c r="B18" s="415" t="s">
        <v>95</v>
      </c>
      <c r="C18" s="416">
        <f>SUM(C19:C20)</f>
        <v>0</v>
      </c>
      <c r="D18" s="420">
        <f t="shared" ref="D18:G18" si="2">SUM(D19:D20)</f>
        <v>21307070.369999997</v>
      </c>
      <c r="E18" s="416">
        <f t="shared" si="2"/>
        <v>5542101.8900000006</v>
      </c>
      <c r="F18" s="416">
        <f t="shared" si="2"/>
        <v>10442337.830000013</v>
      </c>
      <c r="G18" s="417">
        <f t="shared" si="2"/>
        <v>0</v>
      </c>
    </row>
    <row r="19" spans="1:7">
      <c r="A19" s="414">
        <v>12</v>
      </c>
      <c r="B19" s="418" t="s">
        <v>511</v>
      </c>
      <c r="C19" s="419"/>
      <c r="D19" s="420">
        <v>155552.49999999907</v>
      </c>
      <c r="E19" s="416">
        <v>0</v>
      </c>
      <c r="F19" s="416">
        <v>0</v>
      </c>
      <c r="G19" s="417">
        <v>0</v>
      </c>
    </row>
    <row r="20" spans="1:7" ht="26.25">
      <c r="A20" s="414">
        <v>13</v>
      </c>
      <c r="B20" s="418" t="s">
        <v>512</v>
      </c>
      <c r="C20" s="416">
        <v>0</v>
      </c>
      <c r="D20" s="416">
        <v>21151517.869999997</v>
      </c>
      <c r="E20" s="416">
        <v>5542101.8900000006</v>
      </c>
      <c r="F20" s="416">
        <v>10442337.830000013</v>
      </c>
      <c r="G20" s="417">
        <v>0</v>
      </c>
    </row>
    <row r="21" spans="1:7">
      <c r="A21" s="421">
        <v>14</v>
      </c>
      <c r="B21" s="422" t="s">
        <v>513</v>
      </c>
      <c r="C21" s="419"/>
      <c r="D21" s="419"/>
      <c r="E21" s="419"/>
      <c r="F21" s="419"/>
      <c r="G21" s="423">
        <f>SUM(G8,G11,G14,G17,G18)</f>
        <v>1000468702.4145001</v>
      </c>
    </row>
    <row r="22" spans="1:7">
      <c r="A22" s="424"/>
      <c r="B22" s="441" t="s">
        <v>514</v>
      </c>
      <c r="C22" s="425"/>
      <c r="D22" s="426"/>
      <c r="E22" s="425"/>
      <c r="F22" s="425"/>
      <c r="G22" s="427"/>
    </row>
    <row r="23" spans="1:7">
      <c r="A23" s="414">
        <v>15</v>
      </c>
      <c r="B23" s="415" t="s">
        <v>374</v>
      </c>
      <c r="C23" s="428">
        <v>321000295.19590986</v>
      </c>
      <c r="D23" s="429">
        <v>107347400</v>
      </c>
      <c r="E23" s="428">
        <v>0</v>
      </c>
      <c r="F23" s="428">
        <v>2439061.85</v>
      </c>
      <c r="G23" s="417">
        <v>14539533.379800001</v>
      </c>
    </row>
    <row r="24" spans="1:7">
      <c r="A24" s="414">
        <v>16</v>
      </c>
      <c r="B24" s="415" t="s">
        <v>515</v>
      </c>
      <c r="C24" s="416">
        <f>SUM(C25:C27,C29,C31)</f>
        <v>151716.91</v>
      </c>
      <c r="D24" s="420">
        <f t="shared" ref="D24:G24" si="3">SUM(D25:D27,D29,D31)</f>
        <v>129054202.18700698</v>
      </c>
      <c r="E24" s="416">
        <f t="shared" si="3"/>
        <v>113760867.05798112</v>
      </c>
      <c r="F24" s="416">
        <f t="shared" si="3"/>
        <v>654701106.55006647</v>
      </c>
      <c r="G24" s="417">
        <f t="shared" si="3"/>
        <v>654758569.51671469</v>
      </c>
    </row>
    <row r="25" spans="1:7" ht="26.25">
      <c r="A25" s="414">
        <v>17</v>
      </c>
      <c r="B25" s="418" t="s">
        <v>516</v>
      </c>
      <c r="C25" s="416" t="s">
        <v>762</v>
      </c>
      <c r="D25" s="420">
        <v>0</v>
      </c>
      <c r="E25" s="416">
        <v>0</v>
      </c>
      <c r="F25" s="416">
        <v>0</v>
      </c>
      <c r="G25" s="417">
        <v>0</v>
      </c>
    </row>
    <row r="26" spans="1:7" ht="26.25">
      <c r="A26" s="414">
        <v>18</v>
      </c>
      <c r="B26" s="418" t="s">
        <v>517</v>
      </c>
      <c r="C26" s="416">
        <v>151716.91</v>
      </c>
      <c r="D26" s="420">
        <v>28394846.317301195</v>
      </c>
      <c r="E26" s="416">
        <v>3831577.4132169001</v>
      </c>
      <c r="F26" s="416">
        <v>1056.9082304000001</v>
      </c>
      <c r="G26" s="417">
        <v>6198830.0989340292</v>
      </c>
    </row>
    <row r="27" spans="1:7">
      <c r="A27" s="414">
        <v>19</v>
      </c>
      <c r="B27" s="418" t="s">
        <v>518</v>
      </c>
      <c r="C27" s="416" t="s">
        <v>762</v>
      </c>
      <c r="D27" s="420">
        <v>73873592.77151747</v>
      </c>
      <c r="E27" s="416">
        <v>85943396.039417684</v>
      </c>
      <c r="F27" s="416">
        <v>488860547.88287497</v>
      </c>
      <c r="G27" s="417">
        <v>495439960.10591125</v>
      </c>
    </row>
    <row r="28" spans="1:7">
      <c r="A28" s="414">
        <v>20</v>
      </c>
      <c r="B28" s="430" t="s">
        <v>519</v>
      </c>
      <c r="C28" s="416">
        <v>0</v>
      </c>
      <c r="D28" s="420">
        <v>0</v>
      </c>
      <c r="E28" s="416">
        <v>0</v>
      </c>
      <c r="F28" s="416">
        <v>0</v>
      </c>
      <c r="G28" s="417">
        <v>0</v>
      </c>
    </row>
    <row r="29" spans="1:7">
      <c r="A29" s="414">
        <v>21</v>
      </c>
      <c r="B29" s="418" t="s">
        <v>520</v>
      </c>
      <c r="C29" s="416" t="s">
        <v>762</v>
      </c>
      <c r="D29" s="420">
        <v>24990083.658188317</v>
      </c>
      <c r="E29" s="416">
        <v>23546523.687346525</v>
      </c>
      <c r="F29" s="416">
        <v>159902974.188961</v>
      </c>
      <c r="G29" s="417">
        <v>146956206.19836944</v>
      </c>
    </row>
    <row r="30" spans="1:7">
      <c r="A30" s="414">
        <v>22</v>
      </c>
      <c r="B30" s="430" t="s">
        <v>519</v>
      </c>
      <c r="C30" s="416">
        <v>0</v>
      </c>
      <c r="D30" s="420">
        <v>8151105.3985422822</v>
      </c>
      <c r="E30" s="416">
        <v>8787115.2653454784</v>
      </c>
      <c r="F30" s="416">
        <v>66148127.675074197</v>
      </c>
      <c r="G30" s="417">
        <v>51465393.320742115</v>
      </c>
    </row>
    <row r="31" spans="1:7" ht="26.25">
      <c r="A31" s="414">
        <v>23</v>
      </c>
      <c r="B31" s="418" t="s">
        <v>521</v>
      </c>
      <c r="C31" s="416" t="s">
        <v>762</v>
      </c>
      <c r="D31" s="420">
        <v>1795679.44</v>
      </c>
      <c r="E31" s="416">
        <v>439369.91800000006</v>
      </c>
      <c r="F31" s="416">
        <v>5936527.5700000003</v>
      </c>
      <c r="G31" s="417">
        <v>6163573.1135000009</v>
      </c>
    </row>
    <row r="32" spans="1:7">
      <c r="A32" s="414">
        <v>24</v>
      </c>
      <c r="B32" s="415" t="s">
        <v>522</v>
      </c>
      <c r="C32" s="416">
        <v>0</v>
      </c>
      <c r="D32" s="420">
        <v>0</v>
      </c>
      <c r="E32" s="416">
        <v>0</v>
      </c>
      <c r="F32" s="416">
        <v>0</v>
      </c>
      <c r="G32" s="417">
        <v>0</v>
      </c>
    </row>
    <row r="33" spans="1:7">
      <c r="A33" s="414">
        <v>25</v>
      </c>
      <c r="B33" s="415" t="s">
        <v>165</v>
      </c>
      <c r="C33" s="416">
        <f>SUM(C34:C35)</f>
        <v>27757060.570000023</v>
      </c>
      <c r="D33" s="416">
        <f>SUM(D34:D35)</f>
        <v>23111232.001424447</v>
      </c>
      <c r="E33" s="416">
        <f>SUM(E34:E35)</f>
        <v>8929313.3344264124</v>
      </c>
      <c r="F33" s="416">
        <f>SUM(F34:F35)</f>
        <v>91092437.069080487</v>
      </c>
      <c r="G33" s="417">
        <f>SUM(G34:G35)</f>
        <v>134867587.23310584</v>
      </c>
    </row>
    <row r="34" spans="1:7">
      <c r="A34" s="414">
        <v>26</v>
      </c>
      <c r="B34" s="418" t="s">
        <v>523</v>
      </c>
      <c r="C34" s="419"/>
      <c r="D34" s="420">
        <v>0</v>
      </c>
      <c r="E34" s="416">
        <v>0</v>
      </c>
      <c r="F34" s="416">
        <v>0</v>
      </c>
      <c r="G34" s="417">
        <v>0</v>
      </c>
    </row>
    <row r="35" spans="1:7">
      <c r="A35" s="414">
        <v>27</v>
      </c>
      <c r="B35" s="418" t="s">
        <v>524</v>
      </c>
      <c r="C35" s="416">
        <v>27757060.570000023</v>
      </c>
      <c r="D35" s="420">
        <v>23111232.001424447</v>
      </c>
      <c r="E35" s="416">
        <v>8929313.3344264124</v>
      </c>
      <c r="F35" s="416">
        <v>91092437.069080487</v>
      </c>
      <c r="G35" s="417">
        <v>134867587.23310584</v>
      </c>
    </row>
    <row r="36" spans="1:7">
      <c r="A36" s="414">
        <v>28</v>
      </c>
      <c r="B36" s="415" t="s">
        <v>525</v>
      </c>
      <c r="C36" s="416">
        <v>0</v>
      </c>
      <c r="D36" s="420">
        <v>32649609.717399999</v>
      </c>
      <c r="E36" s="416">
        <v>22985280.93</v>
      </c>
      <c r="F36" s="416">
        <v>27502226.476799991</v>
      </c>
      <c r="G36" s="417">
        <v>6824137.431760001</v>
      </c>
    </row>
    <row r="37" spans="1:7">
      <c r="A37" s="421">
        <v>29</v>
      </c>
      <c r="B37" s="422" t="s">
        <v>526</v>
      </c>
      <c r="C37" s="419"/>
      <c r="D37" s="419"/>
      <c r="E37" s="419"/>
      <c r="F37" s="419"/>
      <c r="G37" s="423">
        <f>SUM(G23:G24,G32:G33,G36)</f>
        <v>810989827.56138051</v>
      </c>
    </row>
    <row r="38" spans="1:7">
      <c r="A38" s="410"/>
      <c r="B38" s="431"/>
      <c r="C38" s="432"/>
      <c r="D38" s="432"/>
      <c r="E38" s="432"/>
      <c r="F38" s="432"/>
      <c r="G38" s="433"/>
    </row>
    <row r="39" spans="1:7" ht="15.75" thickBot="1">
      <c r="A39" s="434">
        <v>30</v>
      </c>
      <c r="B39" s="435" t="s">
        <v>494</v>
      </c>
      <c r="C39" s="292"/>
      <c r="D39" s="277"/>
      <c r="E39" s="277"/>
      <c r="F39" s="436"/>
      <c r="G39" s="437">
        <f>IFERROR(G21/G37,0)</f>
        <v>1.2336390277827236</v>
      </c>
    </row>
    <row r="42" spans="1:7" ht="39">
      <c r="B42" s="18" t="s">
        <v>527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J51"/>
  <sheetViews>
    <sheetView zoomScaleNormal="100" workbookViewId="0">
      <pane xSplit="1" ySplit="5" topLeftCell="B6" activePane="bottomRight" state="frozen"/>
      <selection activeCell="C50" sqref="C50"/>
      <selection pane="topRight" activeCell="C50" sqref="C50"/>
      <selection pane="bottomLeft" activeCell="C50" sqref="C50"/>
      <selection pane="bottomRight" activeCell="B51" sqref="B51"/>
    </sheetView>
  </sheetViews>
  <sheetFormatPr defaultRowHeight="15.75"/>
  <cols>
    <col min="1" max="1" width="9.5703125" style="15" bestFit="1" customWidth="1"/>
    <col min="2" max="2" width="88.42578125" style="13" customWidth="1"/>
    <col min="3" max="3" width="12.7109375" style="13" customWidth="1"/>
    <col min="4" max="4" width="12.7109375" style="1" customWidth="1"/>
    <col min="5" max="7" width="13.28515625" style="1" bestFit="1" customWidth="1"/>
    <col min="8" max="9" width="6.7109375" customWidth="1"/>
    <col min="10" max="10" width="14.28515625" bestFit="1" customWidth="1"/>
    <col min="11" max="13" width="6.7109375" customWidth="1"/>
  </cols>
  <sheetData>
    <row r="1" spans="1:10">
      <c r="A1" s="14" t="s">
        <v>188</v>
      </c>
      <c r="B1" s="370" t="str">
        <f>Info!C2</f>
        <v>ს.ს. "ტერაბანკი"</v>
      </c>
    </row>
    <row r="2" spans="1:10">
      <c r="A2" s="14" t="s">
        <v>189</v>
      </c>
      <c r="B2" s="390">
        <v>44926</v>
      </c>
    </row>
    <row r="3" spans="1:10">
      <c r="A3" s="14"/>
    </row>
    <row r="4" spans="1:10" ht="16.5" thickBot="1">
      <c r="A4" s="62" t="s">
        <v>328</v>
      </c>
      <c r="B4" s="191" t="s">
        <v>223</v>
      </c>
      <c r="C4" s="192"/>
      <c r="D4" s="193"/>
      <c r="E4" s="193"/>
      <c r="F4" s="193"/>
      <c r="G4" s="193"/>
    </row>
    <row r="5" spans="1:10" ht="15">
      <c r="A5" s="263" t="s">
        <v>26</v>
      </c>
      <c r="B5" s="264"/>
      <c r="C5" s="391" t="str">
        <f>INT((MONTH($B$2))/3)&amp;"Q"&amp;"-"&amp;YEAR($B$2)</f>
        <v>4Q-2022</v>
      </c>
      <c r="D5" s="391" t="str">
        <f>IF(INT(MONTH($B$2))=3, "4"&amp;"Q"&amp;"-"&amp;YEAR($B$2)-1, IF(INT(MONTH($B$2))=6, "1"&amp;"Q"&amp;"-"&amp;YEAR($B$2), IF(INT(MONTH($B$2))=9, "2"&amp;"Q"&amp;"-"&amp;YEAR($B$2),IF(INT(MONTH($B$2))=12, "3"&amp;"Q"&amp;"-"&amp;YEAR($B$2), 0))))</f>
        <v>3Q-2022</v>
      </c>
      <c r="E5" s="391" t="str">
        <f>IF(INT(MONTH($B$2))=3, "3"&amp;"Q"&amp;"-"&amp;YEAR($B$2)-1, IF(INT(MONTH($B$2))=6, "4"&amp;"Q"&amp;"-"&amp;YEAR($B$2)-1, IF(INT(MONTH($B$2))=9, "1"&amp;"Q"&amp;"-"&amp;YEAR($B$2),IF(INT(MONTH($B$2))=12, "2"&amp;"Q"&amp;"-"&amp;YEAR($B$2), 0))))</f>
        <v>2Q-2022</v>
      </c>
      <c r="F5" s="391" t="str">
        <f>IF(INT(MONTH($B$2))=3, "2"&amp;"Q"&amp;"-"&amp;YEAR($B$2)-1, IF(INT(MONTH($B$2))=6, "3"&amp;"Q"&amp;"-"&amp;YEAR($B$2)-1, IF(INT(MONTH($B$2))=9, "4"&amp;"Q"&amp;"-"&amp;YEAR($B$2)-1,IF(INT(MONTH($B$2))=12, "1"&amp;"Q"&amp;"-"&amp;YEAR($B$2), 0))))</f>
        <v>1Q-2022</v>
      </c>
      <c r="G5" s="392" t="str">
        <f>IF(INT(MONTH($B$2))=3, "1"&amp;"Q"&amp;"-"&amp;YEAR($B$2)-1, IF(INT(MONTH($B$2))=6, "2"&amp;"Q"&amp;"-"&amp;YEAR($B$2)-1, IF(INT(MONTH($B$2))=9, "3"&amp;"Q"&amp;"-"&amp;YEAR($B$2)-1,IF(INT(MONTH($B$2))=12, "4"&amp;"Q"&amp;"-"&amp;YEAR($B$2)-1, 0))))</f>
        <v>4Q-2021</v>
      </c>
    </row>
    <row r="6" spans="1:10" ht="15">
      <c r="A6" s="393"/>
      <c r="B6" s="394" t="s">
        <v>186</v>
      </c>
      <c r="C6" s="265"/>
      <c r="D6" s="265"/>
      <c r="E6" s="265"/>
      <c r="F6" s="265"/>
      <c r="G6" s="266"/>
    </row>
    <row r="7" spans="1:10" ht="15">
      <c r="A7" s="393"/>
      <c r="B7" s="395" t="s">
        <v>190</v>
      </c>
      <c r="C7" s="265"/>
      <c r="D7" s="265"/>
      <c r="E7" s="265"/>
      <c r="F7" s="265"/>
      <c r="G7" s="266"/>
    </row>
    <row r="8" spans="1:10" ht="15">
      <c r="A8" s="374">
        <v>1</v>
      </c>
      <c r="B8" s="375" t="s">
        <v>23</v>
      </c>
      <c r="C8" s="507">
        <v>158975772.0999999</v>
      </c>
      <c r="D8" s="508">
        <v>157032910.49999994</v>
      </c>
      <c r="E8" s="508">
        <v>147181488.98999986</v>
      </c>
      <c r="F8" s="508">
        <v>140360990.93000007</v>
      </c>
      <c r="G8" s="508">
        <v>132094165.61000001</v>
      </c>
    </row>
    <row r="9" spans="1:10" ht="15">
      <c r="A9" s="374">
        <v>2</v>
      </c>
      <c r="B9" s="375" t="s">
        <v>89</v>
      </c>
      <c r="C9" s="507">
        <v>176538772.0999999</v>
      </c>
      <c r="D9" s="508">
        <v>157032910.49999994</v>
      </c>
      <c r="E9" s="508">
        <v>147181488.98999986</v>
      </c>
      <c r="F9" s="508">
        <v>140360990.93000007</v>
      </c>
      <c r="G9" s="508">
        <v>132094165.61000001</v>
      </c>
    </row>
    <row r="10" spans="1:10" ht="15">
      <c r="A10" s="374">
        <v>3</v>
      </c>
      <c r="B10" s="375" t="s">
        <v>88</v>
      </c>
      <c r="C10" s="507">
        <v>224948225.08418214</v>
      </c>
      <c r="D10" s="508">
        <v>206456474.60208443</v>
      </c>
      <c r="E10" s="508">
        <v>201106410.27410448</v>
      </c>
      <c r="F10" s="508">
        <v>201487619.53327212</v>
      </c>
      <c r="G10" s="508">
        <v>179552613.19339192</v>
      </c>
    </row>
    <row r="11" spans="1:10" ht="15">
      <c r="A11" s="374">
        <v>4</v>
      </c>
      <c r="B11" s="375" t="s">
        <v>485</v>
      </c>
      <c r="C11" s="396">
        <v>119000727.72146775</v>
      </c>
      <c r="D11" s="397">
        <v>77846813.833223715</v>
      </c>
      <c r="E11" s="397">
        <v>77464129.769991755</v>
      </c>
      <c r="F11" s="397">
        <v>77085616.011116952</v>
      </c>
      <c r="G11" s="398">
        <v>68689810.285512358</v>
      </c>
    </row>
    <row r="12" spans="1:10" ht="15">
      <c r="A12" s="374">
        <v>5</v>
      </c>
      <c r="B12" s="375" t="s">
        <v>486</v>
      </c>
      <c r="C12" s="396">
        <v>148427323.55242768</v>
      </c>
      <c r="D12" s="397">
        <v>103826103.87302049</v>
      </c>
      <c r="E12" s="397">
        <v>103317324.97125384</v>
      </c>
      <c r="F12" s="397">
        <v>102814354.3737711</v>
      </c>
      <c r="G12" s="398">
        <v>91617361.803543657</v>
      </c>
    </row>
    <row r="13" spans="1:10" ht="15">
      <c r="A13" s="374">
        <v>6</v>
      </c>
      <c r="B13" s="375" t="s">
        <v>487</v>
      </c>
      <c r="C13" s="396">
        <v>196262518.0689356</v>
      </c>
      <c r="D13" s="397">
        <v>147017068.8142595</v>
      </c>
      <c r="E13" s="397">
        <v>146365031.30004895</v>
      </c>
      <c r="F13" s="397">
        <v>145652618.20997047</v>
      </c>
      <c r="G13" s="398">
        <v>141656270.31281644</v>
      </c>
    </row>
    <row r="14" spans="1:10" ht="15">
      <c r="A14" s="393"/>
      <c r="B14" s="394" t="s">
        <v>489</v>
      </c>
      <c r="C14" s="265"/>
      <c r="D14" s="265"/>
      <c r="E14" s="265"/>
      <c r="F14" s="265"/>
      <c r="G14" s="266"/>
    </row>
    <row r="15" spans="1:10" ht="15" customHeight="1">
      <c r="A15" s="374">
        <v>7</v>
      </c>
      <c r="B15" s="375" t="s">
        <v>488</v>
      </c>
      <c r="C15" s="509">
        <v>1237994750.9820781</v>
      </c>
      <c r="D15" s="508">
        <v>1187501524.3305099</v>
      </c>
      <c r="E15" s="510">
        <v>1172205723.6921189</v>
      </c>
      <c r="F15" s="510">
        <v>1159483107.9255137</v>
      </c>
      <c r="G15" s="511">
        <v>1132332295.6451013</v>
      </c>
      <c r="J15" s="618"/>
    </row>
    <row r="16" spans="1:10" ht="15">
      <c r="A16" s="393"/>
      <c r="B16" s="394" t="s">
        <v>493</v>
      </c>
      <c r="C16" s="265"/>
      <c r="D16" s="265"/>
      <c r="E16" s="265"/>
      <c r="F16" s="265"/>
      <c r="G16" s="266"/>
    </row>
    <row r="17" spans="1:7" ht="15">
      <c r="A17" s="374"/>
      <c r="B17" s="395" t="s">
        <v>190</v>
      </c>
      <c r="C17" s="265"/>
      <c r="D17" s="265"/>
      <c r="E17" s="265"/>
      <c r="F17" s="265"/>
      <c r="G17" s="266"/>
    </row>
    <row r="18" spans="1:7" ht="15">
      <c r="A18" s="374">
        <v>8</v>
      </c>
      <c r="B18" s="375" t="s">
        <v>483</v>
      </c>
      <c r="C18" s="501">
        <v>0.12841393065187667</v>
      </c>
      <c r="D18" s="502">
        <v>0.13223807067408358</v>
      </c>
      <c r="E18" s="502">
        <v>0.12555943552844931</v>
      </c>
      <c r="F18" s="502">
        <v>0.12105479585737698</v>
      </c>
      <c r="G18" s="503">
        <v>0.11665671474533421</v>
      </c>
    </row>
    <row r="19" spans="1:7" ht="15" customHeight="1">
      <c r="A19" s="374">
        <v>9</v>
      </c>
      <c r="B19" s="375" t="s">
        <v>482</v>
      </c>
      <c r="C19" s="501">
        <v>0.14260058207836099</v>
      </c>
      <c r="D19" s="502">
        <v>0.13223807067408358</v>
      </c>
      <c r="E19" s="502">
        <v>0.12555943552844931</v>
      </c>
      <c r="F19" s="502">
        <v>0.12105479585737698</v>
      </c>
      <c r="G19" s="503">
        <v>0.11665671474533421</v>
      </c>
    </row>
    <row r="20" spans="1:7" ht="15">
      <c r="A20" s="374">
        <v>10</v>
      </c>
      <c r="B20" s="375" t="s">
        <v>484</v>
      </c>
      <c r="C20" s="501">
        <v>0.18170369858655291</v>
      </c>
      <c r="D20" s="502">
        <v>0.17385786070336251</v>
      </c>
      <c r="E20" s="502">
        <v>0.17156238551768521</v>
      </c>
      <c r="F20" s="502">
        <v>0.1737736566889389</v>
      </c>
      <c r="G20" s="503">
        <v>0.15856883521201606</v>
      </c>
    </row>
    <row r="21" spans="1:7" ht="15">
      <c r="A21" s="374">
        <v>11</v>
      </c>
      <c r="B21" s="375" t="s">
        <v>485</v>
      </c>
      <c r="C21" s="404">
        <v>9.612377405240749E-2</v>
      </c>
      <c r="D21" s="404">
        <v>6.5555127499404453E-2</v>
      </c>
      <c r="E21" s="404">
        <v>6.6084073984898739E-2</v>
      </c>
      <c r="F21" s="404">
        <v>6.6482741735698486E-2</v>
      </c>
      <c r="G21" s="404">
        <v>6.0662237180455117E-2</v>
      </c>
    </row>
    <row r="22" spans="1:7" ht="15">
      <c r="A22" s="374">
        <v>12</v>
      </c>
      <c r="B22" s="375" t="s">
        <v>486</v>
      </c>
      <c r="C22" s="404">
        <v>0.11989333834790741</v>
      </c>
      <c r="D22" s="404">
        <v>8.7432396292337899E-2</v>
      </c>
      <c r="E22" s="404">
        <v>8.8139242867568746E-2</v>
      </c>
      <c r="F22" s="404">
        <v>8.8672576315252355E-2</v>
      </c>
      <c r="G22" s="404">
        <v>8.0910314185950433E-2</v>
      </c>
    </row>
    <row r="23" spans="1:7" ht="15">
      <c r="A23" s="374">
        <v>13</v>
      </c>
      <c r="B23" s="375" t="s">
        <v>487</v>
      </c>
      <c r="C23" s="404">
        <v>0.15853259306087059</v>
      </c>
      <c r="D23" s="404">
        <v>0.12380368850233253</v>
      </c>
      <c r="E23" s="404">
        <v>0.1248629215348311</v>
      </c>
      <c r="F23" s="404">
        <v>0.1256185771180095</v>
      </c>
      <c r="G23" s="404">
        <v>0.12510132481217751</v>
      </c>
    </row>
    <row r="24" spans="1:7" ht="15">
      <c r="A24" s="393"/>
      <c r="B24" s="394" t="s">
        <v>6</v>
      </c>
      <c r="C24" s="265"/>
      <c r="D24" s="265"/>
      <c r="E24" s="265"/>
      <c r="F24" s="265"/>
      <c r="G24" s="266"/>
    </row>
    <row r="25" spans="1:7" ht="15" customHeight="1">
      <c r="A25" s="399">
        <v>14</v>
      </c>
      <c r="B25" s="400" t="s">
        <v>7</v>
      </c>
      <c r="C25" s="504">
        <v>9.5616438891839739E-2</v>
      </c>
      <c r="D25" s="504">
        <v>9.3724526924680057E-2</v>
      </c>
      <c r="E25" s="504">
        <v>9.0969951291550111E-2</v>
      </c>
      <c r="F25" s="504">
        <v>8.7629368918025183E-2</v>
      </c>
      <c r="G25" s="505">
        <v>8.1407699924392674E-2</v>
      </c>
    </row>
    <row r="26" spans="1:7" ht="15">
      <c r="A26" s="399">
        <v>15</v>
      </c>
      <c r="B26" s="400" t="s">
        <v>8</v>
      </c>
      <c r="C26" s="504">
        <v>5.219034602683334E-2</v>
      </c>
      <c r="D26" s="504">
        <v>5.1123237207583029E-2</v>
      </c>
      <c r="E26" s="504">
        <v>4.9009852396435405E-2</v>
      </c>
      <c r="F26" s="504">
        <v>4.6258252485603363E-2</v>
      </c>
      <c r="G26" s="505">
        <v>4.2895664133038941E-2</v>
      </c>
    </row>
    <row r="27" spans="1:7" ht="15">
      <c r="A27" s="399">
        <v>16</v>
      </c>
      <c r="B27" s="400" t="s">
        <v>9</v>
      </c>
      <c r="C27" s="506">
        <v>2.4331279544183151E-2</v>
      </c>
      <c r="D27" s="504">
        <v>3.3140747738103993E-2</v>
      </c>
      <c r="E27" s="504">
        <v>3.0651050792935543E-2</v>
      </c>
      <c r="F27" s="504">
        <v>3.1613178582611791E-2</v>
      </c>
      <c r="G27" s="505">
        <v>2.3647321788586275E-2</v>
      </c>
    </row>
    <row r="28" spans="1:7" ht="15">
      <c r="A28" s="399">
        <v>17</v>
      </c>
      <c r="B28" s="400" t="s">
        <v>224</v>
      </c>
      <c r="C28" s="506">
        <v>4.3426092865006392E-2</v>
      </c>
      <c r="D28" s="504">
        <v>4.2601289717097014E-2</v>
      </c>
      <c r="E28" s="504">
        <v>4.1960098895114713E-2</v>
      </c>
      <c r="F28" s="504">
        <v>4.1371116432421827E-2</v>
      </c>
      <c r="G28" s="505">
        <v>3.8512035791353726E-2</v>
      </c>
    </row>
    <row r="29" spans="1:7" ht="15">
      <c r="A29" s="399">
        <v>18</v>
      </c>
      <c r="B29" s="400" t="s">
        <v>10</v>
      </c>
      <c r="C29" s="506">
        <v>1.9817949761680779E-2</v>
      </c>
      <c r="D29" s="504">
        <v>2.4303520684334643E-2</v>
      </c>
      <c r="E29" s="504">
        <v>2.2405068460032141E-2</v>
      </c>
      <c r="F29" s="504">
        <v>2.359717230241799E-2</v>
      </c>
      <c r="G29" s="505">
        <v>2.2684375095189592E-2</v>
      </c>
    </row>
    <row r="30" spans="1:7" ht="15">
      <c r="A30" s="399">
        <v>19</v>
      </c>
      <c r="B30" s="400" t="s">
        <v>11</v>
      </c>
      <c r="C30" s="506">
        <v>0.16231361852008133</v>
      </c>
      <c r="D30" s="504">
        <v>0.20058676582669954</v>
      </c>
      <c r="E30" s="504">
        <v>0.18734699703910487</v>
      </c>
      <c r="F30" s="504">
        <v>0.19948786315211625</v>
      </c>
      <c r="G30" s="505">
        <v>0.21262853875767876</v>
      </c>
    </row>
    <row r="31" spans="1:7" ht="15">
      <c r="A31" s="393"/>
      <c r="B31" s="394" t="s">
        <v>12</v>
      </c>
      <c r="C31" s="512"/>
      <c r="D31" s="512"/>
      <c r="E31" s="512"/>
      <c r="F31" s="512"/>
      <c r="G31" s="513"/>
    </row>
    <row r="32" spans="1:7" ht="15">
      <c r="A32" s="399">
        <v>20</v>
      </c>
      <c r="B32" s="400" t="s">
        <v>13</v>
      </c>
      <c r="C32" s="506">
        <v>3.8167754177414831E-2</v>
      </c>
      <c r="D32" s="504">
        <v>4.5268914880447278E-2</v>
      </c>
      <c r="E32" s="504">
        <v>5.2621833045376321E-2</v>
      </c>
      <c r="F32" s="504">
        <v>5.7773456518902901E-2</v>
      </c>
      <c r="G32" s="505">
        <v>5.9586424067900788E-2</v>
      </c>
    </row>
    <row r="33" spans="1:7" ht="15" customHeight="1">
      <c r="A33" s="399">
        <v>21</v>
      </c>
      <c r="B33" s="400" t="s">
        <v>14</v>
      </c>
      <c r="C33" s="506">
        <v>4.1806064070703405E-2</v>
      </c>
      <c r="D33" s="504">
        <v>4.2669463676755059E-2</v>
      </c>
      <c r="E33" s="504">
        <v>4.5680692422519355E-2</v>
      </c>
      <c r="F33" s="504">
        <v>4.9058974879818619E-2</v>
      </c>
      <c r="G33" s="505">
        <v>5.0474461513308665E-2</v>
      </c>
    </row>
    <row r="34" spans="1:7" ht="15">
      <c r="A34" s="399">
        <v>22</v>
      </c>
      <c r="B34" s="400" t="s">
        <v>15</v>
      </c>
      <c r="C34" s="506">
        <v>0.48334633251575715</v>
      </c>
      <c r="D34" s="504">
        <v>0.47630760937316696</v>
      </c>
      <c r="E34" s="504">
        <v>0.50662487402461864</v>
      </c>
      <c r="F34" s="504">
        <v>0.53697496059372707</v>
      </c>
      <c r="G34" s="505">
        <v>0.54831104305934319</v>
      </c>
    </row>
    <row r="35" spans="1:7" ht="15" customHeight="1">
      <c r="A35" s="399">
        <v>23</v>
      </c>
      <c r="B35" s="400" t="s">
        <v>16</v>
      </c>
      <c r="C35" s="506">
        <v>0.46561213654837597</v>
      </c>
      <c r="D35" s="504">
        <v>0.44540567373718637</v>
      </c>
      <c r="E35" s="504">
        <v>0.46043628209534926</v>
      </c>
      <c r="F35" s="504">
        <v>0.49414954060062338</v>
      </c>
      <c r="G35" s="505">
        <v>0.52256613429798482</v>
      </c>
    </row>
    <row r="36" spans="1:7" ht="15">
      <c r="A36" s="399">
        <v>24</v>
      </c>
      <c r="B36" s="400" t="s">
        <v>17</v>
      </c>
      <c r="C36" s="506">
        <v>0.10424305752955217</v>
      </c>
      <c r="D36" s="504">
        <v>8.563257307344857E-2</v>
      </c>
      <c r="E36" s="504">
        <v>7.4136694044292101E-2</v>
      </c>
      <c r="F36" s="504">
        <v>2.9696467801209134E-2</v>
      </c>
      <c r="G36" s="505">
        <v>4.8954349786696126E-2</v>
      </c>
    </row>
    <row r="37" spans="1:7" ht="15" customHeight="1">
      <c r="A37" s="393"/>
      <c r="B37" s="394" t="s">
        <v>18</v>
      </c>
      <c r="C37" s="512"/>
      <c r="D37" s="512"/>
      <c r="E37" s="512"/>
      <c r="F37" s="512"/>
      <c r="G37" s="513"/>
    </row>
    <row r="38" spans="1:7" ht="15" customHeight="1">
      <c r="A38" s="399">
        <v>25</v>
      </c>
      <c r="B38" s="400" t="s">
        <v>19</v>
      </c>
      <c r="C38" s="506">
        <v>0.19998817127452673</v>
      </c>
      <c r="D38" s="504">
        <v>0.15861010777140144</v>
      </c>
      <c r="E38" s="506">
        <v>0.1429314741768449</v>
      </c>
      <c r="F38" s="506">
        <v>0.19558109810215574</v>
      </c>
      <c r="G38" s="514">
        <v>0.19024479559002699</v>
      </c>
    </row>
    <row r="39" spans="1:7" ht="15" customHeight="1">
      <c r="A39" s="399">
        <v>26</v>
      </c>
      <c r="B39" s="400" t="s">
        <v>20</v>
      </c>
      <c r="C39" s="506">
        <v>0.52933247986419363</v>
      </c>
      <c r="D39" s="504">
        <v>0.50981494631469781</v>
      </c>
      <c r="E39" s="506">
        <v>0.50137678110475548</v>
      </c>
      <c r="F39" s="506">
        <v>0.56675338994670166</v>
      </c>
      <c r="G39" s="514">
        <v>0.59388580922853151</v>
      </c>
    </row>
    <row r="40" spans="1:7" ht="15" customHeight="1">
      <c r="A40" s="399">
        <v>27</v>
      </c>
      <c r="B40" s="401" t="s">
        <v>21</v>
      </c>
      <c r="C40" s="506">
        <v>0.31302047154969398</v>
      </c>
      <c r="D40" s="504">
        <v>0.31956432401720475</v>
      </c>
      <c r="E40" s="506">
        <v>0.29172575249097576</v>
      </c>
      <c r="F40" s="506">
        <v>0.33051840558519974</v>
      </c>
      <c r="G40" s="514">
        <v>0.3595499817004702</v>
      </c>
    </row>
    <row r="41" spans="1:7" ht="15" customHeight="1">
      <c r="A41" s="402"/>
      <c r="B41" s="394" t="s">
        <v>398</v>
      </c>
      <c r="C41" s="265"/>
      <c r="D41" s="265"/>
      <c r="E41" s="265"/>
      <c r="F41" s="265"/>
      <c r="G41" s="266"/>
    </row>
    <row r="42" spans="1:7" ht="15" customHeight="1">
      <c r="A42" s="399">
        <v>28</v>
      </c>
      <c r="B42" s="440" t="s">
        <v>391</v>
      </c>
      <c r="C42" s="515">
        <v>270863634.14016247</v>
      </c>
      <c r="D42" s="515">
        <v>213537839.46752173</v>
      </c>
      <c r="E42" s="515">
        <v>221675880.14915442</v>
      </c>
      <c r="F42" s="515">
        <v>251578650.96751416</v>
      </c>
      <c r="G42" s="516">
        <v>269668116.44944865</v>
      </c>
    </row>
    <row r="43" spans="1:7" ht="15">
      <c r="A43" s="399">
        <v>29</v>
      </c>
      <c r="B43" s="400" t="s">
        <v>392</v>
      </c>
      <c r="C43" s="515">
        <v>202921230.2173782</v>
      </c>
      <c r="D43" s="515">
        <v>186114917.76108098</v>
      </c>
      <c r="E43" s="517">
        <v>180484726.91332838</v>
      </c>
      <c r="F43" s="517">
        <v>212518595.29342759</v>
      </c>
      <c r="G43" s="518">
        <v>214239102.67260239</v>
      </c>
    </row>
    <row r="44" spans="1:7" ht="15">
      <c r="A44" s="438">
        <v>30</v>
      </c>
      <c r="B44" s="439" t="s">
        <v>390</v>
      </c>
      <c r="C44" s="519">
        <v>1.3348215652448063</v>
      </c>
      <c r="D44" s="520">
        <v>1.1473440282828056</v>
      </c>
      <c r="E44" s="520">
        <v>1.2282251464724032</v>
      </c>
      <c r="F44" s="520">
        <v>1.1837959432216074</v>
      </c>
      <c r="G44" s="521">
        <v>1.2587250090453945</v>
      </c>
    </row>
    <row r="45" spans="1:7" ht="15">
      <c r="A45" s="438"/>
      <c r="B45" s="394" t="s">
        <v>494</v>
      </c>
      <c r="C45" s="265"/>
      <c r="D45" s="265"/>
      <c r="E45" s="265"/>
      <c r="F45" s="265"/>
      <c r="G45" s="266"/>
    </row>
    <row r="46" spans="1:7" ht="15">
      <c r="A46" s="438">
        <v>31</v>
      </c>
      <c r="B46" s="439" t="s">
        <v>501</v>
      </c>
      <c r="C46" s="523">
        <v>1000468702.4144951</v>
      </c>
      <c r="D46" s="523">
        <v>932833843.43629766</v>
      </c>
      <c r="E46" s="523">
        <v>893485637.47899914</v>
      </c>
      <c r="F46" s="523">
        <v>931298886.4194144</v>
      </c>
      <c r="G46" s="524">
        <v>880992061.38761473</v>
      </c>
    </row>
    <row r="47" spans="1:7" ht="15">
      <c r="A47" s="438">
        <v>32</v>
      </c>
      <c r="B47" s="439" t="s">
        <v>514</v>
      </c>
      <c r="C47" s="523">
        <v>810989827.65638292</v>
      </c>
      <c r="D47" s="523">
        <v>749486037.55255091</v>
      </c>
      <c r="E47" s="523">
        <v>736323611.69107234</v>
      </c>
      <c r="F47" s="523">
        <v>716933227.6126318</v>
      </c>
      <c r="G47" s="524">
        <v>692488034.19852245</v>
      </c>
    </row>
    <row r="48" spans="1:7" thickBot="1">
      <c r="A48" s="111">
        <v>33</v>
      </c>
      <c r="B48" s="213" t="s">
        <v>528</v>
      </c>
      <c r="C48" s="525">
        <v>1.2336390276382043</v>
      </c>
      <c r="D48" s="525">
        <v>1.2446313829707483</v>
      </c>
      <c r="E48" s="525">
        <v>1.2134415130692084</v>
      </c>
      <c r="F48" s="525">
        <v>1.2990036596861529</v>
      </c>
      <c r="G48" s="522">
        <v>1.2722126851004214</v>
      </c>
    </row>
    <row r="49" spans="1:2">
      <c r="A49" s="16"/>
    </row>
    <row r="50" spans="1:2">
      <c r="B50" s="18"/>
    </row>
    <row r="51" spans="1:2" ht="65.25">
      <c r="B51" s="308" t="s">
        <v>397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E1" zoomScale="85" zoomScaleNormal="85" workbookViewId="0">
      <selection activeCell="B2" sqref="B2"/>
    </sheetView>
  </sheetViews>
  <sheetFormatPr defaultColWidth="9.140625" defaultRowHeight="12.75"/>
  <cols>
    <col min="1" max="1" width="11.85546875" style="443" bestFit="1" customWidth="1"/>
    <col min="2" max="2" width="105.140625" style="443" bestFit="1" customWidth="1"/>
    <col min="3" max="6" width="18.140625" style="443" bestFit="1" customWidth="1"/>
    <col min="7" max="7" width="25.5703125" style="443" customWidth="1"/>
    <col min="8" max="8" width="16.5703125" style="443" customWidth="1"/>
    <col min="9" max="16384" width="9.140625" style="443"/>
  </cols>
  <sheetData>
    <row r="1" spans="1:8">
      <c r="A1" s="442" t="s">
        <v>188</v>
      </c>
      <c r="B1" s="443" t="str">
        <f>'16. NSFR'!B1</f>
        <v>ს.ს. "ტერაბანკი"</v>
      </c>
    </row>
    <row r="2" spans="1:8">
      <c r="A2" s="442" t="s">
        <v>189</v>
      </c>
    </row>
    <row r="3" spans="1:8">
      <c r="A3" s="444" t="s">
        <v>530</v>
      </c>
      <c r="B3" s="445">
        <f>'1. key ratios'!B2</f>
        <v>44926</v>
      </c>
    </row>
    <row r="5" spans="1:8">
      <c r="A5" s="673" t="s">
        <v>531</v>
      </c>
      <c r="B5" s="674"/>
      <c r="C5" s="679" t="s">
        <v>532</v>
      </c>
      <c r="D5" s="680"/>
      <c r="E5" s="680"/>
      <c r="F5" s="680"/>
      <c r="G5" s="680"/>
      <c r="H5" s="681"/>
    </row>
    <row r="6" spans="1:8">
      <c r="A6" s="675"/>
      <c r="B6" s="676"/>
      <c r="C6" s="682"/>
      <c r="D6" s="683"/>
      <c r="E6" s="683"/>
      <c r="F6" s="683"/>
      <c r="G6" s="683"/>
      <c r="H6" s="684"/>
    </row>
    <row r="7" spans="1:8" ht="25.5">
      <c r="A7" s="677"/>
      <c r="B7" s="678"/>
      <c r="C7" s="446" t="s">
        <v>533</v>
      </c>
      <c r="D7" s="446" t="s">
        <v>534</v>
      </c>
      <c r="E7" s="446" t="s">
        <v>535</v>
      </c>
      <c r="F7" s="446" t="s">
        <v>536</v>
      </c>
      <c r="G7" s="446" t="s">
        <v>708</v>
      </c>
      <c r="H7" s="446" t="s">
        <v>68</v>
      </c>
    </row>
    <row r="8" spans="1:8">
      <c r="A8" s="447">
        <v>1</v>
      </c>
      <c r="B8" s="448" t="s">
        <v>216</v>
      </c>
      <c r="C8" s="590">
        <v>147382658.47999999</v>
      </c>
      <c r="D8" s="590">
        <v>62434333.950000003</v>
      </c>
      <c r="E8" s="590">
        <v>77864456.069999993</v>
      </c>
      <c r="F8" s="590">
        <v>10790000</v>
      </c>
      <c r="G8" s="590">
        <v>0</v>
      </c>
      <c r="H8" s="590">
        <f>SUM(C8:G8)</f>
        <v>298471448.5</v>
      </c>
    </row>
    <row r="9" spans="1:8">
      <c r="A9" s="447">
        <v>2</v>
      </c>
      <c r="B9" s="448" t="s">
        <v>217</v>
      </c>
      <c r="C9" s="590">
        <v>0</v>
      </c>
      <c r="D9" s="590">
        <v>0</v>
      </c>
      <c r="E9" s="590">
        <v>0</v>
      </c>
      <c r="F9" s="590">
        <v>0</v>
      </c>
      <c r="G9" s="590">
        <v>0</v>
      </c>
      <c r="H9" s="590">
        <f t="shared" ref="H9:H21" si="0">SUM(C9:G9)</f>
        <v>0</v>
      </c>
    </row>
    <row r="10" spans="1:8">
      <c r="A10" s="447">
        <v>3</v>
      </c>
      <c r="B10" s="448" t="s">
        <v>218</v>
      </c>
      <c r="C10" s="590">
        <v>0</v>
      </c>
      <c r="D10" s="590">
        <v>0</v>
      </c>
      <c r="E10" s="590">
        <v>0</v>
      </c>
      <c r="F10" s="590">
        <v>0</v>
      </c>
      <c r="G10" s="590">
        <v>0</v>
      </c>
      <c r="H10" s="590">
        <f t="shared" si="0"/>
        <v>0</v>
      </c>
    </row>
    <row r="11" spans="1:8">
      <c r="A11" s="447">
        <v>4</v>
      </c>
      <c r="B11" s="448" t="s">
        <v>219</v>
      </c>
      <c r="C11" s="590">
        <v>0</v>
      </c>
      <c r="D11" s="590">
        <v>0</v>
      </c>
      <c r="E11" s="590">
        <v>0</v>
      </c>
      <c r="F11" s="590">
        <v>0</v>
      </c>
      <c r="G11" s="590">
        <v>0</v>
      </c>
      <c r="H11" s="590">
        <f t="shared" si="0"/>
        <v>0</v>
      </c>
    </row>
    <row r="12" spans="1:8">
      <c r="A12" s="447">
        <v>5</v>
      </c>
      <c r="B12" s="448" t="s">
        <v>220</v>
      </c>
      <c r="C12" s="590">
        <v>0</v>
      </c>
      <c r="D12" s="590">
        <v>0</v>
      </c>
      <c r="E12" s="590">
        <v>0</v>
      </c>
      <c r="F12" s="590">
        <v>0</v>
      </c>
      <c r="G12" s="590">
        <v>0</v>
      </c>
      <c r="H12" s="590">
        <f t="shared" si="0"/>
        <v>0</v>
      </c>
    </row>
    <row r="13" spans="1:8">
      <c r="A13" s="447">
        <v>6</v>
      </c>
      <c r="B13" s="448" t="s">
        <v>221</v>
      </c>
      <c r="C13" s="590">
        <v>56744573.340000004</v>
      </c>
      <c r="D13" s="590">
        <v>0</v>
      </c>
      <c r="E13" s="590">
        <v>0</v>
      </c>
      <c r="F13" s="590">
        <v>2439061.85</v>
      </c>
      <c r="G13" s="590">
        <v>0</v>
      </c>
      <c r="H13" s="590">
        <f t="shared" si="0"/>
        <v>59183635.190000005</v>
      </c>
    </row>
    <row r="14" spans="1:8">
      <c r="A14" s="447">
        <v>7</v>
      </c>
      <c r="B14" s="448" t="s">
        <v>73</v>
      </c>
      <c r="C14" s="590">
        <v>0</v>
      </c>
      <c r="D14" s="590">
        <v>136170521.04746389</v>
      </c>
      <c r="E14" s="590">
        <v>234821486.24482352</v>
      </c>
      <c r="F14" s="590">
        <v>356076020.54438394</v>
      </c>
      <c r="G14" s="590">
        <v>963332.76663448615</v>
      </c>
      <c r="H14" s="590">
        <f t="shared" si="0"/>
        <v>728031360.60330582</v>
      </c>
    </row>
    <row r="15" spans="1:8">
      <c r="A15" s="447">
        <v>8</v>
      </c>
      <c r="B15" s="450" t="s">
        <v>74</v>
      </c>
      <c r="C15" s="590">
        <v>0</v>
      </c>
      <c r="D15" s="590">
        <v>9404399.6712281443</v>
      </c>
      <c r="E15" s="590">
        <v>90164819.448518649</v>
      </c>
      <c r="F15" s="590">
        <v>98841467.706887588</v>
      </c>
      <c r="G15" s="590">
        <v>637371.49592814478</v>
      </c>
      <c r="H15" s="590">
        <f t="shared" si="0"/>
        <v>199048058.32256252</v>
      </c>
    </row>
    <row r="16" spans="1:8">
      <c r="A16" s="447">
        <v>9</v>
      </c>
      <c r="B16" s="448" t="s">
        <v>75</v>
      </c>
      <c r="C16" s="590">
        <v>0</v>
      </c>
      <c r="D16" s="590">
        <v>6350028.2626006557</v>
      </c>
      <c r="E16" s="590">
        <v>29845936.397824217</v>
      </c>
      <c r="F16" s="590">
        <v>70928021.974531353</v>
      </c>
      <c r="G16" s="590">
        <v>94508.556743967201</v>
      </c>
      <c r="H16" s="590">
        <f t="shared" si="0"/>
        <v>107218495.19170019</v>
      </c>
    </row>
    <row r="17" spans="1:8">
      <c r="A17" s="447">
        <v>10</v>
      </c>
      <c r="B17" s="500" t="s">
        <v>558</v>
      </c>
      <c r="C17" s="590">
        <v>0</v>
      </c>
      <c r="D17" s="590">
        <v>1938174.6895781995</v>
      </c>
      <c r="E17" s="590">
        <v>2061436.7346647698</v>
      </c>
      <c r="F17" s="590">
        <v>6028189.2151938556</v>
      </c>
      <c r="G17" s="590">
        <v>1565987.0295362552</v>
      </c>
      <c r="H17" s="590">
        <f t="shared" si="0"/>
        <v>11593787.668973081</v>
      </c>
    </row>
    <row r="18" spans="1:8">
      <c r="A18" s="447">
        <v>11</v>
      </c>
      <c r="B18" s="448" t="s">
        <v>70</v>
      </c>
      <c r="C18" s="590">
        <v>0</v>
      </c>
      <c r="D18" s="590">
        <v>757940.01648391318</v>
      </c>
      <c r="E18" s="590">
        <v>8523210.6496567037</v>
      </c>
      <c r="F18" s="590">
        <v>23914664.85460205</v>
      </c>
      <c r="G18" s="590">
        <v>34600.094088661841</v>
      </c>
      <c r="H18" s="590">
        <f t="shared" si="0"/>
        <v>33230415.614831328</v>
      </c>
    </row>
    <row r="19" spans="1:8">
      <c r="A19" s="447">
        <v>12</v>
      </c>
      <c r="B19" s="448" t="s">
        <v>71</v>
      </c>
      <c r="C19" s="590">
        <v>0</v>
      </c>
      <c r="D19" s="590">
        <v>0</v>
      </c>
      <c r="E19" s="590">
        <v>0</v>
      </c>
      <c r="F19" s="590">
        <v>0</v>
      </c>
      <c r="G19" s="590">
        <v>0</v>
      </c>
      <c r="H19" s="590">
        <f t="shared" si="0"/>
        <v>0</v>
      </c>
    </row>
    <row r="20" spans="1:8">
      <c r="A20" s="451">
        <v>13</v>
      </c>
      <c r="B20" s="450" t="s">
        <v>72</v>
      </c>
      <c r="C20" s="590">
        <v>0</v>
      </c>
      <c r="D20" s="590">
        <v>0</v>
      </c>
      <c r="E20" s="590">
        <v>0</v>
      </c>
      <c r="F20" s="590">
        <v>0</v>
      </c>
      <c r="G20" s="590">
        <v>0</v>
      </c>
      <c r="H20" s="590">
        <f t="shared" si="0"/>
        <v>0</v>
      </c>
    </row>
    <row r="21" spans="1:8">
      <c r="A21" s="447">
        <v>14</v>
      </c>
      <c r="B21" s="448" t="s">
        <v>537</v>
      </c>
      <c r="C21" s="590">
        <v>38333041.159909822</v>
      </c>
      <c r="D21" s="590">
        <v>0</v>
      </c>
      <c r="E21" s="590">
        <v>0</v>
      </c>
      <c r="F21" s="590">
        <v>6806361.8733999981</v>
      </c>
      <c r="G21" s="590">
        <v>27757060.190000027</v>
      </c>
      <c r="H21" s="590">
        <f t="shared" si="0"/>
        <v>72896463.223309845</v>
      </c>
    </row>
    <row r="22" spans="1:8">
      <c r="A22" s="452">
        <v>15</v>
      </c>
      <c r="B22" s="449" t="s">
        <v>68</v>
      </c>
      <c r="C22" s="590">
        <f>SUM(C18:C21)+SUM(C8:C16)</f>
        <v>242460272.97990981</v>
      </c>
      <c r="D22" s="590">
        <f t="shared" ref="D22:G22" si="1">SUM(D18:D21)+SUM(D8:D16)</f>
        <v>215117222.94777659</v>
      </c>
      <c r="E22" s="590">
        <f t="shared" si="1"/>
        <v>441219908.81082308</v>
      </c>
      <c r="F22" s="590">
        <f t="shared" si="1"/>
        <v>569795598.80380499</v>
      </c>
      <c r="G22" s="590">
        <f t="shared" si="1"/>
        <v>29486873.103395287</v>
      </c>
      <c r="H22" s="590">
        <f>SUM(H18:H21)+SUM(H8:H16)</f>
        <v>1498079876.6457098</v>
      </c>
    </row>
    <row r="26" spans="1:8" ht="38.25">
      <c r="B26" s="499" t="s">
        <v>707</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F1" zoomScale="85" zoomScaleNormal="85" workbookViewId="0">
      <selection activeCell="B1" sqref="B1"/>
    </sheetView>
  </sheetViews>
  <sheetFormatPr defaultColWidth="9.140625" defaultRowHeight="12.75"/>
  <cols>
    <col min="1" max="1" width="11.85546875" style="453" bestFit="1" customWidth="1"/>
    <col min="2" max="2" width="114.7109375" style="443" customWidth="1"/>
    <col min="3" max="3" width="22.42578125" style="443" customWidth="1"/>
    <col min="4" max="4" width="23.5703125" style="443" customWidth="1"/>
    <col min="5" max="8" width="22.140625" style="443" customWidth="1"/>
    <col min="9" max="9" width="41.42578125" style="443" customWidth="1"/>
    <col min="10" max="16384" width="9.140625" style="443"/>
  </cols>
  <sheetData>
    <row r="1" spans="1:9">
      <c r="A1" s="442" t="s">
        <v>188</v>
      </c>
      <c r="B1" s="624" t="str">
        <f>'1. key ratios'!B1</f>
        <v>ს.ს. "ტერაბანკი"</v>
      </c>
    </row>
    <row r="2" spans="1:9">
      <c r="A2" s="442" t="s">
        <v>189</v>
      </c>
    </row>
    <row r="3" spans="1:9">
      <c r="A3" s="444" t="s">
        <v>538</v>
      </c>
      <c r="B3" s="445">
        <f>'1. key ratios'!B2</f>
        <v>44926</v>
      </c>
    </row>
    <row r="4" spans="1:9">
      <c r="C4" s="454" t="s">
        <v>539</v>
      </c>
      <c r="D4" s="454" t="s">
        <v>540</v>
      </c>
      <c r="E4" s="454" t="s">
        <v>541</v>
      </c>
      <c r="F4" s="454" t="s">
        <v>542</v>
      </c>
      <c r="G4" s="454" t="s">
        <v>543</v>
      </c>
      <c r="H4" s="454" t="s">
        <v>544</v>
      </c>
      <c r="I4" s="454" t="s">
        <v>545</v>
      </c>
    </row>
    <row r="5" spans="1:9" ht="33.950000000000003" customHeight="1">
      <c r="A5" s="673" t="s">
        <v>548</v>
      </c>
      <c r="B5" s="674"/>
      <c r="C5" s="687" t="s">
        <v>549</v>
      </c>
      <c r="D5" s="687"/>
      <c r="E5" s="687" t="s">
        <v>550</v>
      </c>
      <c r="F5" s="687" t="s">
        <v>551</v>
      </c>
      <c r="G5" s="685" t="s">
        <v>552</v>
      </c>
      <c r="H5" s="685" t="s">
        <v>553</v>
      </c>
      <c r="I5" s="455" t="s">
        <v>554</v>
      </c>
    </row>
    <row r="6" spans="1:9" ht="38.25">
      <c r="A6" s="677"/>
      <c r="B6" s="678"/>
      <c r="C6" s="493" t="s">
        <v>555</v>
      </c>
      <c r="D6" s="493" t="s">
        <v>556</v>
      </c>
      <c r="E6" s="687"/>
      <c r="F6" s="687"/>
      <c r="G6" s="686"/>
      <c r="H6" s="686"/>
      <c r="I6" s="455" t="s">
        <v>557</v>
      </c>
    </row>
    <row r="7" spans="1:9">
      <c r="A7" s="456">
        <v>1</v>
      </c>
      <c r="B7" s="448" t="s">
        <v>216</v>
      </c>
      <c r="C7" s="591">
        <v>0</v>
      </c>
      <c r="D7" s="591">
        <v>298471448.5</v>
      </c>
      <c r="E7" s="592">
        <v>0</v>
      </c>
      <c r="F7" s="592">
        <v>0</v>
      </c>
      <c r="G7" s="592">
        <v>0</v>
      </c>
      <c r="H7" s="591">
        <v>0</v>
      </c>
      <c r="I7" s="593">
        <f t="shared" ref="I7:I23" si="0">C7+D7-E7-F7-G7</f>
        <v>298471448.5</v>
      </c>
    </row>
    <row r="8" spans="1:9">
      <c r="A8" s="456">
        <v>2</v>
      </c>
      <c r="B8" s="448" t="s">
        <v>217</v>
      </c>
      <c r="C8" s="591">
        <v>0</v>
      </c>
      <c r="D8" s="591">
        <v>0</v>
      </c>
      <c r="E8" s="592">
        <v>0</v>
      </c>
      <c r="F8" s="592">
        <v>0</v>
      </c>
      <c r="G8" s="592">
        <v>0</v>
      </c>
      <c r="H8" s="591">
        <v>0</v>
      </c>
      <c r="I8" s="593">
        <f t="shared" si="0"/>
        <v>0</v>
      </c>
    </row>
    <row r="9" spans="1:9">
      <c r="A9" s="456">
        <v>3</v>
      </c>
      <c r="B9" s="448" t="s">
        <v>218</v>
      </c>
      <c r="C9" s="591">
        <v>0</v>
      </c>
      <c r="D9" s="591">
        <v>0</v>
      </c>
      <c r="E9" s="592">
        <v>0</v>
      </c>
      <c r="F9" s="592">
        <v>0</v>
      </c>
      <c r="G9" s="592">
        <v>0</v>
      </c>
      <c r="H9" s="591">
        <v>0</v>
      </c>
      <c r="I9" s="593">
        <f t="shared" si="0"/>
        <v>0</v>
      </c>
    </row>
    <row r="10" spans="1:9">
      <c r="A10" s="456">
        <v>4</v>
      </c>
      <c r="B10" s="448" t="s">
        <v>219</v>
      </c>
      <c r="C10" s="591">
        <v>0</v>
      </c>
      <c r="D10" s="591">
        <v>0</v>
      </c>
      <c r="E10" s="592">
        <v>0</v>
      </c>
      <c r="F10" s="592">
        <v>0</v>
      </c>
      <c r="G10" s="592">
        <v>0</v>
      </c>
      <c r="H10" s="591">
        <v>0</v>
      </c>
      <c r="I10" s="593">
        <f t="shared" si="0"/>
        <v>0</v>
      </c>
    </row>
    <row r="11" spans="1:9">
      <c r="A11" s="456">
        <v>5</v>
      </c>
      <c r="B11" s="448" t="s">
        <v>220</v>
      </c>
      <c r="C11" s="591">
        <v>0</v>
      </c>
      <c r="D11" s="591">
        <v>0</v>
      </c>
      <c r="E11" s="592">
        <v>0</v>
      </c>
      <c r="F11" s="592">
        <v>0</v>
      </c>
      <c r="G11" s="592">
        <v>0</v>
      </c>
      <c r="H11" s="591">
        <v>0</v>
      </c>
      <c r="I11" s="593">
        <f t="shared" si="0"/>
        <v>0</v>
      </c>
    </row>
    <row r="12" spans="1:9">
      <c r="A12" s="456">
        <v>6</v>
      </c>
      <c r="B12" s="448" t="s">
        <v>221</v>
      </c>
      <c r="C12" s="591">
        <v>61750.82</v>
      </c>
      <c r="D12" s="591">
        <v>59183635.190000005</v>
      </c>
      <c r="E12" s="592">
        <v>61750.82</v>
      </c>
      <c r="F12" s="592">
        <v>0</v>
      </c>
      <c r="G12" s="592">
        <v>0</v>
      </c>
      <c r="H12" s="591">
        <v>0</v>
      </c>
      <c r="I12" s="593">
        <f t="shared" si="0"/>
        <v>59183635.190000005</v>
      </c>
    </row>
    <row r="13" spans="1:9">
      <c r="A13" s="456">
        <v>7</v>
      </c>
      <c r="B13" s="448" t="s">
        <v>73</v>
      </c>
      <c r="C13" s="591">
        <v>6800910.8625847753</v>
      </c>
      <c r="D13" s="591">
        <v>729446521.73312163</v>
      </c>
      <c r="E13" s="592">
        <v>7733743.1819144739</v>
      </c>
      <c r="F13" s="592">
        <v>13053368.952575767</v>
      </c>
      <c r="G13" s="592">
        <v>482328.81049015693</v>
      </c>
      <c r="H13" s="591">
        <v>10216.25</v>
      </c>
      <c r="I13" s="593">
        <f t="shared" si="0"/>
        <v>714977991.65072608</v>
      </c>
    </row>
    <row r="14" spans="1:9">
      <c r="A14" s="456">
        <v>8</v>
      </c>
      <c r="B14" s="450" t="s">
        <v>74</v>
      </c>
      <c r="C14" s="591">
        <v>24084561.916856617</v>
      </c>
      <c r="D14" s="591">
        <v>187775578.61318797</v>
      </c>
      <c r="E14" s="592">
        <v>12482343.807402244</v>
      </c>
      <c r="F14" s="592">
        <v>3192945.7955266694</v>
      </c>
      <c r="G14" s="592">
        <v>329738.40007908968</v>
      </c>
      <c r="H14" s="591">
        <v>2285119.209999999</v>
      </c>
      <c r="I14" s="593">
        <f t="shared" si="0"/>
        <v>195855112.52703655</v>
      </c>
    </row>
    <row r="15" spans="1:9">
      <c r="A15" s="456">
        <v>9</v>
      </c>
      <c r="B15" s="448" t="s">
        <v>75</v>
      </c>
      <c r="C15" s="591">
        <v>9294220.3805586174</v>
      </c>
      <c r="D15" s="591">
        <v>102395436.59775704</v>
      </c>
      <c r="E15" s="592">
        <v>4188389.4256832721</v>
      </c>
      <c r="F15" s="592">
        <v>1852357.2102180442</v>
      </c>
      <c r="G15" s="592">
        <v>282772.36093237146</v>
      </c>
      <c r="H15" s="591">
        <v>0</v>
      </c>
      <c r="I15" s="593">
        <f t="shared" si="0"/>
        <v>105366137.98148197</v>
      </c>
    </row>
    <row r="16" spans="1:9">
      <c r="A16" s="456">
        <v>10</v>
      </c>
      <c r="B16" s="500" t="s">
        <v>558</v>
      </c>
      <c r="C16" s="591">
        <v>19886713.660000015</v>
      </c>
      <c r="D16" s="591">
        <v>937601.27000000014</v>
      </c>
      <c r="E16" s="592">
        <v>9217542.805999998</v>
      </c>
      <c r="F16" s="592">
        <v>9999.9074000000001</v>
      </c>
      <c r="G16" s="592">
        <v>12984.455026918013</v>
      </c>
      <c r="H16" s="591">
        <v>650568.97</v>
      </c>
      <c r="I16" s="593">
        <f t="shared" si="0"/>
        <v>11583787.761573099</v>
      </c>
    </row>
    <row r="17" spans="1:9">
      <c r="A17" s="456">
        <v>11</v>
      </c>
      <c r="B17" s="448" t="s">
        <v>70</v>
      </c>
      <c r="C17" s="591">
        <v>817801.49999999988</v>
      </c>
      <c r="D17" s="591">
        <v>33183800.487329751</v>
      </c>
      <c r="E17" s="592">
        <v>566923.94400000013</v>
      </c>
      <c r="F17" s="592">
        <v>636370.1231074814</v>
      </c>
      <c r="G17" s="592">
        <v>204262.42849838512</v>
      </c>
      <c r="H17" s="591">
        <v>0</v>
      </c>
      <c r="I17" s="593">
        <f t="shared" si="0"/>
        <v>32594045.491723888</v>
      </c>
    </row>
    <row r="18" spans="1:9">
      <c r="A18" s="456">
        <v>12</v>
      </c>
      <c r="B18" s="448" t="s">
        <v>71</v>
      </c>
      <c r="C18" s="591">
        <v>0</v>
      </c>
      <c r="D18" s="591">
        <v>0</v>
      </c>
      <c r="E18" s="592">
        <v>0</v>
      </c>
      <c r="F18" s="592">
        <v>0</v>
      </c>
      <c r="G18" s="592">
        <v>0</v>
      </c>
      <c r="H18" s="591">
        <v>0</v>
      </c>
      <c r="I18" s="593">
        <f t="shared" si="0"/>
        <v>0</v>
      </c>
    </row>
    <row r="19" spans="1:9">
      <c r="A19" s="458">
        <v>13</v>
      </c>
      <c r="B19" s="450" t="s">
        <v>72</v>
      </c>
      <c r="C19" s="591">
        <v>0</v>
      </c>
      <c r="D19" s="591">
        <v>0</v>
      </c>
      <c r="E19" s="592">
        <v>0</v>
      </c>
      <c r="F19" s="592">
        <v>0</v>
      </c>
      <c r="G19" s="592">
        <v>0</v>
      </c>
      <c r="H19" s="591">
        <v>0</v>
      </c>
      <c r="I19" s="593">
        <f t="shared" si="0"/>
        <v>0</v>
      </c>
    </row>
    <row r="20" spans="1:9">
      <c r="A20" s="456">
        <v>14</v>
      </c>
      <c r="B20" s="448" t="s">
        <v>537</v>
      </c>
      <c r="C20" s="591">
        <v>25522352.039999999</v>
      </c>
      <c r="D20" s="591">
        <v>92267632.553909853</v>
      </c>
      <c r="E20" s="592">
        <v>20510473.994000003</v>
      </c>
      <c r="F20" s="592">
        <v>0</v>
      </c>
      <c r="G20" s="592">
        <v>0</v>
      </c>
      <c r="H20" s="591">
        <v>0</v>
      </c>
      <c r="I20" s="593">
        <f t="shared" si="0"/>
        <v>97279510.599909857</v>
      </c>
    </row>
    <row r="21" spans="1:9" s="460" customFormat="1">
      <c r="A21" s="459">
        <v>15</v>
      </c>
      <c r="B21" s="449" t="s">
        <v>68</v>
      </c>
      <c r="C21" s="590">
        <f>SUM(C7:C15)+SUM(C17:C20)</f>
        <v>66581597.520000011</v>
      </c>
      <c r="D21" s="590">
        <f t="shared" ref="D21:H21" si="1">SUM(D7:D15)+SUM(D17:D20)</f>
        <v>1502724053.6753063</v>
      </c>
      <c r="E21" s="590">
        <f t="shared" si="1"/>
        <v>45543625.172999993</v>
      </c>
      <c r="F21" s="590">
        <f t="shared" si="1"/>
        <v>18735042.081427965</v>
      </c>
      <c r="G21" s="590">
        <v>1299102.0000000033</v>
      </c>
      <c r="H21" s="590">
        <f t="shared" si="1"/>
        <v>2295335.459999999</v>
      </c>
      <c r="I21" s="593">
        <f t="shared" si="0"/>
        <v>1503727881.9408782</v>
      </c>
    </row>
    <row r="22" spans="1:9">
      <c r="A22" s="461">
        <v>16</v>
      </c>
      <c r="B22" s="462" t="s">
        <v>559</v>
      </c>
      <c r="C22" s="591">
        <v>40997494.660000011</v>
      </c>
      <c r="D22" s="591">
        <v>1042744792.3713965</v>
      </c>
      <c r="E22" s="592">
        <v>24971400.358999986</v>
      </c>
      <c r="F22" s="592">
        <v>18635042.081427965</v>
      </c>
      <c r="G22" s="592">
        <v>1299102.0000000033</v>
      </c>
      <c r="H22" s="591">
        <v>2295335.459999999</v>
      </c>
      <c r="I22" s="593">
        <f t="shared" si="0"/>
        <v>1038836742.5909687</v>
      </c>
    </row>
    <row r="23" spans="1:9">
      <c r="A23" s="461">
        <v>17</v>
      </c>
      <c r="B23" s="462" t="s">
        <v>560</v>
      </c>
      <c r="C23" s="591">
        <v>0</v>
      </c>
      <c r="D23" s="591">
        <v>157460698.91999999</v>
      </c>
      <c r="E23" s="592">
        <v>0</v>
      </c>
      <c r="F23" s="592">
        <v>0</v>
      </c>
      <c r="G23" s="592">
        <v>0</v>
      </c>
      <c r="H23" s="591">
        <v>0</v>
      </c>
      <c r="I23" s="593">
        <f t="shared" si="0"/>
        <v>157460698.91999999</v>
      </c>
    </row>
    <row r="26" spans="1:9" ht="42.6" customHeight="1">
      <c r="B26" s="499" t="s">
        <v>707</v>
      </c>
    </row>
  </sheetData>
  <mergeCells count="6">
    <mergeCell ref="H5:H6"/>
    <mergeCell ref="A5:B6"/>
    <mergeCell ref="C5:D5"/>
    <mergeCell ref="E5:E6"/>
    <mergeCell ref="F5:F6"/>
    <mergeCell ref="G5:G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D1" zoomScale="90" zoomScaleNormal="90" workbookViewId="0">
      <selection activeCell="B1" sqref="B1"/>
    </sheetView>
  </sheetViews>
  <sheetFormatPr defaultColWidth="9.140625" defaultRowHeight="12.75"/>
  <cols>
    <col min="1" max="1" width="11" style="443" bestFit="1" customWidth="1"/>
    <col min="2" max="2" width="93.42578125" style="443" customWidth="1"/>
    <col min="3" max="8" width="22" style="443" customWidth="1"/>
    <col min="9" max="9" width="42.28515625" style="443" bestFit="1" customWidth="1"/>
    <col min="10" max="16384" width="9.140625" style="443"/>
  </cols>
  <sheetData>
    <row r="1" spans="1:9">
      <c r="A1" s="442" t="s">
        <v>188</v>
      </c>
      <c r="B1" s="624" t="str">
        <f>'1. key ratios'!B1</f>
        <v>ს.ს. "ტერაბანკი"</v>
      </c>
    </row>
    <row r="2" spans="1:9">
      <c r="A2" s="442" t="s">
        <v>189</v>
      </c>
    </row>
    <row r="3" spans="1:9">
      <c r="A3" s="444" t="s">
        <v>561</v>
      </c>
      <c r="B3" s="445">
        <f>'1. key ratios'!B2</f>
        <v>44926</v>
      </c>
    </row>
    <row r="4" spans="1:9">
      <c r="C4" s="454" t="s">
        <v>539</v>
      </c>
      <c r="D4" s="454" t="s">
        <v>540</v>
      </c>
      <c r="E4" s="454" t="s">
        <v>541</v>
      </c>
      <c r="F4" s="454" t="s">
        <v>542</v>
      </c>
      <c r="G4" s="454" t="s">
        <v>543</v>
      </c>
      <c r="H4" s="454" t="s">
        <v>544</v>
      </c>
      <c r="I4" s="454" t="s">
        <v>545</v>
      </c>
    </row>
    <row r="5" spans="1:9" ht="41.45" customHeight="1">
      <c r="A5" s="673" t="s">
        <v>711</v>
      </c>
      <c r="B5" s="674"/>
      <c r="C5" s="687" t="s">
        <v>549</v>
      </c>
      <c r="D5" s="687"/>
      <c r="E5" s="687" t="s">
        <v>550</v>
      </c>
      <c r="F5" s="687" t="s">
        <v>551</v>
      </c>
      <c r="G5" s="685" t="s">
        <v>552</v>
      </c>
      <c r="H5" s="685" t="s">
        <v>553</v>
      </c>
      <c r="I5" s="455" t="s">
        <v>554</v>
      </c>
    </row>
    <row r="6" spans="1:9" ht="41.45" customHeight="1">
      <c r="A6" s="677"/>
      <c r="B6" s="678"/>
      <c r="C6" s="493" t="s">
        <v>555</v>
      </c>
      <c r="D6" s="493" t="s">
        <v>556</v>
      </c>
      <c r="E6" s="687"/>
      <c r="F6" s="687"/>
      <c r="G6" s="686"/>
      <c r="H6" s="686"/>
      <c r="I6" s="455" t="s">
        <v>557</v>
      </c>
    </row>
    <row r="7" spans="1:9">
      <c r="A7" s="457">
        <v>1</v>
      </c>
      <c r="B7" s="463" t="s">
        <v>562</v>
      </c>
      <c r="C7" s="591">
        <v>2030671.4500000007</v>
      </c>
      <c r="D7" s="591">
        <v>363389837.44999993</v>
      </c>
      <c r="E7" s="591">
        <v>1106021.3600000008</v>
      </c>
      <c r="F7" s="591">
        <v>1242540.0799999952</v>
      </c>
      <c r="G7" s="591">
        <v>402738.61847094155</v>
      </c>
      <c r="H7" s="591">
        <v>172812.05000000002</v>
      </c>
      <c r="I7" s="593">
        <f t="shared" ref="I7:I34" si="0">C7+D7-E7-F7-G7</f>
        <v>362669208.84152895</v>
      </c>
    </row>
    <row r="8" spans="1:9">
      <c r="A8" s="457">
        <v>2</v>
      </c>
      <c r="B8" s="463" t="s">
        <v>563</v>
      </c>
      <c r="C8" s="591">
        <v>554204.7699999999</v>
      </c>
      <c r="D8" s="591">
        <v>100419983.38999999</v>
      </c>
      <c r="E8" s="591">
        <v>390486.73000000004</v>
      </c>
      <c r="F8" s="591">
        <v>705859.24000000011</v>
      </c>
      <c r="G8" s="591">
        <v>87501.704584897365</v>
      </c>
      <c r="H8" s="591">
        <v>233.68</v>
      </c>
      <c r="I8" s="593">
        <f t="shared" si="0"/>
        <v>99790340.485415086</v>
      </c>
    </row>
    <row r="9" spans="1:9">
      <c r="A9" s="457">
        <v>3</v>
      </c>
      <c r="B9" s="463" t="s">
        <v>564</v>
      </c>
      <c r="C9" s="591">
        <v>0</v>
      </c>
      <c r="D9" s="591">
        <v>28425603.180000003</v>
      </c>
      <c r="E9" s="591">
        <v>0</v>
      </c>
      <c r="F9" s="591">
        <v>567878.38</v>
      </c>
      <c r="G9" s="591">
        <v>102.90262074308258</v>
      </c>
      <c r="H9" s="591">
        <v>0</v>
      </c>
      <c r="I9" s="593">
        <f t="shared" si="0"/>
        <v>27857621.897379261</v>
      </c>
    </row>
    <row r="10" spans="1:9">
      <c r="A10" s="457">
        <v>4</v>
      </c>
      <c r="B10" s="463" t="s">
        <v>565</v>
      </c>
      <c r="C10" s="591">
        <v>1892168.3299999998</v>
      </c>
      <c r="D10" s="591">
        <v>94695904.639999986</v>
      </c>
      <c r="E10" s="591">
        <v>962699.33</v>
      </c>
      <c r="F10" s="591">
        <v>1805203.8800000006</v>
      </c>
      <c r="G10" s="591">
        <v>33567.788137106116</v>
      </c>
      <c r="H10" s="591">
        <v>5227.53</v>
      </c>
      <c r="I10" s="593">
        <f t="shared" si="0"/>
        <v>93786601.971862882</v>
      </c>
    </row>
    <row r="11" spans="1:9">
      <c r="A11" s="457">
        <v>5</v>
      </c>
      <c r="B11" s="463" t="s">
        <v>566</v>
      </c>
      <c r="C11" s="591">
        <v>2911898.75</v>
      </c>
      <c r="D11" s="591">
        <v>74799571.86999996</v>
      </c>
      <c r="E11" s="591">
        <v>2683824.8299999996</v>
      </c>
      <c r="F11" s="591">
        <v>1190752.2599999993</v>
      </c>
      <c r="G11" s="591">
        <v>34395.475208202719</v>
      </c>
      <c r="H11" s="591">
        <v>0</v>
      </c>
      <c r="I11" s="593">
        <f t="shared" si="0"/>
        <v>73802498.054791749</v>
      </c>
    </row>
    <row r="12" spans="1:9">
      <c r="A12" s="457">
        <v>6</v>
      </c>
      <c r="B12" s="463" t="s">
        <v>567</v>
      </c>
      <c r="C12" s="591">
        <v>1432347.94</v>
      </c>
      <c r="D12" s="591">
        <v>24750103.670000002</v>
      </c>
      <c r="E12" s="591">
        <v>1366267.9500000002</v>
      </c>
      <c r="F12" s="591">
        <v>320176.63000000006</v>
      </c>
      <c r="G12" s="591">
        <v>26362.523733919505</v>
      </c>
      <c r="H12" s="591">
        <v>34341.159999999996</v>
      </c>
      <c r="I12" s="593">
        <f t="shared" si="0"/>
        <v>24469644.506266084</v>
      </c>
    </row>
    <row r="13" spans="1:9">
      <c r="A13" s="457">
        <v>7</v>
      </c>
      <c r="B13" s="463" t="s">
        <v>568</v>
      </c>
      <c r="C13" s="591">
        <v>1202008.75</v>
      </c>
      <c r="D13" s="591">
        <v>63822511.209999993</v>
      </c>
      <c r="E13" s="591">
        <v>622151.56999999995</v>
      </c>
      <c r="F13" s="591">
        <v>1256782.3900000004</v>
      </c>
      <c r="G13" s="591">
        <v>1415.2770369022801</v>
      </c>
      <c r="H13" s="591">
        <v>0</v>
      </c>
      <c r="I13" s="593">
        <f t="shared" si="0"/>
        <v>63144170.722963087</v>
      </c>
    </row>
    <row r="14" spans="1:9">
      <c r="A14" s="457">
        <v>8</v>
      </c>
      <c r="B14" s="463" t="s">
        <v>569</v>
      </c>
      <c r="C14" s="591">
        <v>1038124.7399999999</v>
      </c>
      <c r="D14" s="591">
        <v>46081805.600000024</v>
      </c>
      <c r="E14" s="591">
        <v>548657.69000000006</v>
      </c>
      <c r="F14" s="591">
        <v>879710.32999999949</v>
      </c>
      <c r="G14" s="591">
        <v>1316.641425731952</v>
      </c>
      <c r="H14" s="591">
        <v>60587.74</v>
      </c>
      <c r="I14" s="593">
        <f t="shared" si="0"/>
        <v>45690245.678574301</v>
      </c>
    </row>
    <row r="15" spans="1:9">
      <c r="A15" s="457">
        <v>9</v>
      </c>
      <c r="B15" s="463" t="s">
        <v>570</v>
      </c>
      <c r="C15" s="591">
        <v>11772.33</v>
      </c>
      <c r="D15" s="591">
        <v>31230056.530000001</v>
      </c>
      <c r="E15" s="591">
        <v>32211.09</v>
      </c>
      <c r="F15" s="591">
        <v>616382.00000000012</v>
      </c>
      <c r="G15" s="591">
        <v>68.906666659076791</v>
      </c>
      <c r="H15" s="591">
        <v>0</v>
      </c>
      <c r="I15" s="593">
        <f t="shared" si="0"/>
        <v>30593166.863333341</v>
      </c>
    </row>
    <row r="16" spans="1:9">
      <c r="A16" s="457">
        <v>10</v>
      </c>
      <c r="B16" s="463" t="s">
        <v>571</v>
      </c>
      <c r="C16" s="591">
        <v>701892.18</v>
      </c>
      <c r="D16" s="591">
        <v>15779048.900000004</v>
      </c>
      <c r="E16" s="591">
        <v>840710.89000000013</v>
      </c>
      <c r="F16" s="591">
        <v>216228.32000000004</v>
      </c>
      <c r="G16" s="591">
        <v>157.89913474620434</v>
      </c>
      <c r="H16" s="591">
        <v>0</v>
      </c>
      <c r="I16" s="593">
        <f t="shared" si="0"/>
        <v>15423843.970865257</v>
      </c>
    </row>
    <row r="17" spans="1:9">
      <c r="A17" s="457">
        <v>11</v>
      </c>
      <c r="B17" s="463" t="s">
        <v>572</v>
      </c>
      <c r="C17" s="591">
        <v>684785.30999999994</v>
      </c>
      <c r="D17" s="591">
        <v>7907754.8500000024</v>
      </c>
      <c r="E17" s="591">
        <v>423075.32</v>
      </c>
      <c r="F17" s="591">
        <v>139568.01</v>
      </c>
      <c r="G17" s="591">
        <v>94.509891271165813</v>
      </c>
      <c r="H17" s="591">
        <v>0</v>
      </c>
      <c r="I17" s="593">
        <f t="shared" si="0"/>
        <v>8029802.3201087303</v>
      </c>
    </row>
    <row r="18" spans="1:9">
      <c r="A18" s="457">
        <v>12</v>
      </c>
      <c r="B18" s="463" t="s">
        <v>573</v>
      </c>
      <c r="C18" s="591">
        <v>4330584.42</v>
      </c>
      <c r="D18" s="591">
        <v>64156153.399999917</v>
      </c>
      <c r="E18" s="591">
        <v>2288961.3299999996</v>
      </c>
      <c r="F18" s="591">
        <v>1087206.7499999998</v>
      </c>
      <c r="G18" s="591">
        <v>62210.861120829803</v>
      </c>
      <c r="H18" s="591">
        <v>43025.95</v>
      </c>
      <c r="I18" s="593">
        <f t="shared" si="0"/>
        <v>65048358.878879093</v>
      </c>
    </row>
    <row r="19" spans="1:9">
      <c r="A19" s="457">
        <v>13</v>
      </c>
      <c r="B19" s="463" t="s">
        <v>574</v>
      </c>
      <c r="C19" s="591">
        <v>1210513.26</v>
      </c>
      <c r="D19" s="591">
        <v>15327958.820000006</v>
      </c>
      <c r="E19" s="591">
        <v>552605.22</v>
      </c>
      <c r="F19" s="591">
        <v>287237.87000000011</v>
      </c>
      <c r="G19" s="591">
        <v>9427.1623437135913</v>
      </c>
      <c r="H19" s="591">
        <v>9430.4599999999991</v>
      </c>
      <c r="I19" s="593">
        <f t="shared" si="0"/>
        <v>15689201.827656291</v>
      </c>
    </row>
    <row r="20" spans="1:9">
      <c r="A20" s="457">
        <v>14</v>
      </c>
      <c r="B20" s="463" t="s">
        <v>575</v>
      </c>
      <c r="C20" s="591">
        <v>6254428.5200000014</v>
      </c>
      <c r="D20" s="591">
        <v>88908869.460000038</v>
      </c>
      <c r="E20" s="591">
        <v>3432603.7599999993</v>
      </c>
      <c r="F20" s="591">
        <v>1361759.51</v>
      </c>
      <c r="G20" s="591">
        <v>15892.008409872917</v>
      </c>
      <c r="H20" s="591">
        <v>15513.57</v>
      </c>
      <c r="I20" s="593">
        <f t="shared" si="0"/>
        <v>90353042.701590151</v>
      </c>
    </row>
    <row r="21" spans="1:9">
      <c r="A21" s="457">
        <v>15</v>
      </c>
      <c r="B21" s="463" t="s">
        <v>576</v>
      </c>
      <c r="C21" s="591">
        <v>985282.56000000006</v>
      </c>
      <c r="D21" s="591">
        <v>29663980.319999993</v>
      </c>
      <c r="E21" s="591">
        <v>1503131.6000000003</v>
      </c>
      <c r="F21" s="591">
        <v>354880.23</v>
      </c>
      <c r="G21" s="591">
        <v>5711.4299391857367</v>
      </c>
      <c r="H21" s="591">
        <v>18740.43</v>
      </c>
      <c r="I21" s="593">
        <f t="shared" si="0"/>
        <v>28785539.620060805</v>
      </c>
    </row>
    <row r="22" spans="1:9">
      <c r="A22" s="457">
        <v>16</v>
      </c>
      <c r="B22" s="463" t="s">
        <v>577</v>
      </c>
      <c r="C22" s="591">
        <v>0</v>
      </c>
      <c r="D22" s="591">
        <v>401562.98</v>
      </c>
      <c r="E22" s="591">
        <v>8196.3799999999992</v>
      </c>
      <c r="F22" s="591">
        <v>6312.93</v>
      </c>
      <c r="G22" s="591">
        <v>2442.5314718262694</v>
      </c>
      <c r="H22" s="591">
        <v>0</v>
      </c>
      <c r="I22" s="593">
        <f t="shared" si="0"/>
        <v>384611.13852817373</v>
      </c>
    </row>
    <row r="23" spans="1:9">
      <c r="A23" s="457">
        <v>17</v>
      </c>
      <c r="B23" s="463" t="s">
        <v>578</v>
      </c>
      <c r="C23" s="591">
        <v>1252303.93</v>
      </c>
      <c r="D23" s="591">
        <v>3245890.4800000004</v>
      </c>
      <c r="E23" s="591">
        <v>497504.02</v>
      </c>
      <c r="F23" s="591">
        <v>64618.220000000008</v>
      </c>
      <c r="G23" s="591">
        <v>1046.2341224986976</v>
      </c>
      <c r="H23" s="591">
        <v>0</v>
      </c>
      <c r="I23" s="593">
        <f t="shared" si="0"/>
        <v>3935025.935877501</v>
      </c>
    </row>
    <row r="24" spans="1:9">
      <c r="A24" s="457">
        <v>18</v>
      </c>
      <c r="B24" s="463" t="s">
        <v>579</v>
      </c>
      <c r="C24" s="591">
        <v>0</v>
      </c>
      <c r="D24" s="591">
        <v>15911077.610000001</v>
      </c>
      <c r="E24" s="591">
        <v>3433.3</v>
      </c>
      <c r="F24" s="591">
        <v>317288.67000000004</v>
      </c>
      <c r="G24" s="591">
        <v>3399.8356008456844</v>
      </c>
      <c r="H24" s="591">
        <v>0</v>
      </c>
      <c r="I24" s="593">
        <f t="shared" si="0"/>
        <v>15586955.804399155</v>
      </c>
    </row>
    <row r="25" spans="1:9">
      <c r="A25" s="457">
        <v>19</v>
      </c>
      <c r="B25" s="463" t="s">
        <v>580</v>
      </c>
      <c r="C25" s="591">
        <v>58750.37</v>
      </c>
      <c r="D25" s="591">
        <v>1393587.9900000002</v>
      </c>
      <c r="E25" s="591">
        <v>24313.410000000003</v>
      </c>
      <c r="F25" s="591">
        <v>27170.76</v>
      </c>
      <c r="G25" s="591">
        <v>505.48850225107816</v>
      </c>
      <c r="H25" s="591">
        <v>0</v>
      </c>
      <c r="I25" s="593">
        <f t="shared" si="0"/>
        <v>1400348.7014977494</v>
      </c>
    </row>
    <row r="26" spans="1:9">
      <c r="A26" s="457">
        <v>20</v>
      </c>
      <c r="B26" s="463" t="s">
        <v>581</v>
      </c>
      <c r="C26" s="591">
        <v>186627.08</v>
      </c>
      <c r="D26" s="591">
        <v>29739525.899999984</v>
      </c>
      <c r="E26" s="591">
        <v>206340.72000000003</v>
      </c>
      <c r="F26" s="591">
        <v>565760.95000000007</v>
      </c>
      <c r="G26" s="591">
        <v>54867.727175607004</v>
      </c>
      <c r="H26" s="591">
        <v>23080.95</v>
      </c>
      <c r="I26" s="593">
        <f t="shared" si="0"/>
        <v>29099183.582824375</v>
      </c>
    </row>
    <row r="27" spans="1:9">
      <c r="A27" s="457">
        <v>21</v>
      </c>
      <c r="B27" s="463" t="s">
        <v>582</v>
      </c>
      <c r="C27" s="591">
        <v>48023.86</v>
      </c>
      <c r="D27" s="591">
        <v>4761563.7799999993</v>
      </c>
      <c r="E27" s="591">
        <v>41417.839999999997</v>
      </c>
      <c r="F27" s="591">
        <v>91024.040000000008</v>
      </c>
      <c r="G27" s="591">
        <v>7999.6093842364617</v>
      </c>
      <c r="H27" s="591">
        <v>0</v>
      </c>
      <c r="I27" s="593">
        <f t="shared" si="0"/>
        <v>4669146.1506157629</v>
      </c>
    </row>
    <row r="28" spans="1:9">
      <c r="A28" s="457">
        <v>22</v>
      </c>
      <c r="B28" s="463" t="s">
        <v>583</v>
      </c>
      <c r="C28" s="591">
        <v>598535.75</v>
      </c>
      <c r="D28" s="591">
        <v>577588.78</v>
      </c>
      <c r="E28" s="591">
        <v>180571.61</v>
      </c>
      <c r="F28" s="591">
        <v>11182.5</v>
      </c>
      <c r="G28" s="591">
        <v>3489.5008535002785</v>
      </c>
      <c r="H28" s="591">
        <v>0</v>
      </c>
      <c r="I28" s="593">
        <f t="shared" si="0"/>
        <v>980880.91914649971</v>
      </c>
    </row>
    <row r="29" spans="1:9">
      <c r="A29" s="457">
        <v>23</v>
      </c>
      <c r="B29" s="463" t="s">
        <v>584</v>
      </c>
      <c r="C29" s="591">
        <v>5334084.5200000014</v>
      </c>
      <c r="D29" s="591">
        <v>102079275.46000008</v>
      </c>
      <c r="E29" s="591">
        <v>2734582.9099999983</v>
      </c>
      <c r="F29" s="591">
        <v>1904010.5299999968</v>
      </c>
      <c r="G29" s="591">
        <v>100107.67234275628</v>
      </c>
      <c r="H29" s="591">
        <v>66326.81</v>
      </c>
      <c r="I29" s="593">
        <f t="shared" si="0"/>
        <v>102674658.86765732</v>
      </c>
    </row>
    <row r="30" spans="1:9">
      <c r="A30" s="457">
        <v>24</v>
      </c>
      <c r="B30" s="463" t="s">
        <v>585</v>
      </c>
      <c r="C30" s="591">
        <v>3119002.77</v>
      </c>
      <c r="D30" s="591">
        <v>128867719.91000001</v>
      </c>
      <c r="E30" s="591">
        <v>1902160.75</v>
      </c>
      <c r="F30" s="591">
        <v>2432034.0499999993</v>
      </c>
      <c r="G30" s="591">
        <v>7972.8993086075143</v>
      </c>
      <c r="H30" s="591">
        <v>77186.820000000007</v>
      </c>
      <c r="I30" s="593">
        <f t="shared" si="0"/>
        <v>127644554.9806914</v>
      </c>
    </row>
    <row r="31" spans="1:9">
      <c r="A31" s="457">
        <v>25</v>
      </c>
      <c r="B31" s="463" t="s">
        <v>586</v>
      </c>
      <c r="C31" s="591">
        <v>2944466.8300000005</v>
      </c>
      <c r="D31" s="591">
        <v>45546503.839999959</v>
      </c>
      <c r="E31" s="591">
        <v>1451752.3800000001</v>
      </c>
      <c r="F31" s="591">
        <v>776711.25000000035</v>
      </c>
      <c r="G31" s="591">
        <v>251210.56142469036</v>
      </c>
      <c r="H31" s="591">
        <v>1768828.7399999995</v>
      </c>
      <c r="I31" s="593">
        <f t="shared" si="0"/>
        <v>46011296.478575267</v>
      </c>
    </row>
    <row r="32" spans="1:9">
      <c r="A32" s="457">
        <v>26</v>
      </c>
      <c r="B32" s="463" t="s">
        <v>587</v>
      </c>
      <c r="C32" s="591">
        <v>2276767.3099940489</v>
      </c>
      <c r="D32" s="591">
        <v>28573521.819999989</v>
      </c>
      <c r="E32" s="591">
        <v>1229471.3200000008</v>
      </c>
      <c r="F32" s="591">
        <v>506763.75999999919</v>
      </c>
      <c r="G32" s="591">
        <v>185096.23108845728</v>
      </c>
      <c r="H32" s="591">
        <v>0</v>
      </c>
      <c r="I32" s="593">
        <f t="shared" si="0"/>
        <v>28928957.818905585</v>
      </c>
    </row>
    <row r="33" spans="1:9">
      <c r="A33" s="457">
        <v>27</v>
      </c>
      <c r="B33" s="457" t="s">
        <v>165</v>
      </c>
      <c r="C33" s="591">
        <v>25522352.039999999</v>
      </c>
      <c r="D33" s="591">
        <v>92267632.553909853</v>
      </c>
      <c r="E33" s="591">
        <v>20510473.994000003</v>
      </c>
      <c r="F33" s="591">
        <v>0</v>
      </c>
      <c r="G33" s="591">
        <v>0</v>
      </c>
      <c r="H33" s="591">
        <v>0</v>
      </c>
      <c r="I33" s="593">
        <f t="shared" si="0"/>
        <v>97279510.599909857</v>
      </c>
    </row>
    <row r="34" spans="1:9">
      <c r="A34" s="457">
        <v>28</v>
      </c>
      <c r="B34" s="449" t="s">
        <v>68</v>
      </c>
      <c r="C34" s="590">
        <f>SUM(C7:C33)</f>
        <v>66581597.76999405</v>
      </c>
      <c r="D34" s="590">
        <f t="shared" ref="D34:H34" si="1">SUM(D7:D33)</f>
        <v>1502724594.3939097</v>
      </c>
      <c r="E34" s="590">
        <f t="shared" si="1"/>
        <v>45543627.304000005</v>
      </c>
      <c r="F34" s="590">
        <f t="shared" si="1"/>
        <v>18735043.539999988</v>
      </c>
      <c r="G34" s="590">
        <v>1299102</v>
      </c>
      <c r="H34" s="590">
        <f t="shared" si="1"/>
        <v>2295335.8899999997</v>
      </c>
      <c r="I34" s="593">
        <f t="shared" si="0"/>
        <v>1503728419.3199039</v>
      </c>
    </row>
    <row r="36" spans="1:9">
      <c r="B36" s="464"/>
    </row>
    <row r="42" spans="1:9">
      <c r="A42" s="460"/>
      <c r="B42" s="460"/>
    </row>
    <row r="43" spans="1:9">
      <c r="A43" s="460"/>
      <c r="B43" s="460"/>
    </row>
  </sheetData>
  <mergeCells count="6">
    <mergeCell ref="H5:H6"/>
    <mergeCell ref="A5:B6"/>
    <mergeCell ref="C5:D5"/>
    <mergeCell ref="E5:E6"/>
    <mergeCell ref="F5:F6"/>
    <mergeCell ref="G5:G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topLeftCell="C4" zoomScaleNormal="100" workbookViewId="0">
      <selection activeCell="B1" sqref="B1"/>
    </sheetView>
  </sheetViews>
  <sheetFormatPr defaultColWidth="9.140625" defaultRowHeight="12.75"/>
  <cols>
    <col min="1" max="1" width="11.85546875" style="443" bestFit="1" customWidth="1"/>
    <col min="2" max="2" width="108" style="443" bestFit="1" customWidth="1"/>
    <col min="3" max="3" width="35.5703125" style="443" customWidth="1"/>
    <col min="4" max="4" width="38.42578125" style="443" customWidth="1"/>
    <col min="5" max="16384" width="9.140625" style="443"/>
  </cols>
  <sheetData>
    <row r="1" spans="1:4">
      <c r="A1" s="442" t="s">
        <v>188</v>
      </c>
      <c r="B1" s="624" t="str">
        <f>'1. key ratios'!B1</f>
        <v>ს.ს. "ტერაბანკი"</v>
      </c>
    </row>
    <row r="2" spans="1:4">
      <c r="A2" s="442" t="s">
        <v>189</v>
      </c>
    </row>
    <row r="3" spans="1:4">
      <c r="A3" s="444" t="s">
        <v>588</v>
      </c>
      <c r="B3" s="445">
        <f>'1. key ratios'!B2</f>
        <v>44926</v>
      </c>
    </row>
    <row r="5" spans="1:4" ht="51">
      <c r="A5" s="688" t="s">
        <v>589</v>
      </c>
      <c r="B5" s="688"/>
      <c r="C5" s="446" t="s">
        <v>590</v>
      </c>
      <c r="D5" s="446" t="s">
        <v>591</v>
      </c>
    </row>
    <row r="6" spans="1:4">
      <c r="A6" s="465">
        <v>1</v>
      </c>
      <c r="B6" s="466" t="s">
        <v>592</v>
      </c>
      <c r="C6" s="591">
        <v>45060508.269999981</v>
      </c>
      <c r="D6" s="591">
        <v>100000</v>
      </c>
    </row>
    <row r="7" spans="1:4">
      <c r="A7" s="467">
        <v>2</v>
      </c>
      <c r="B7" s="466" t="s">
        <v>593</v>
      </c>
      <c r="C7" s="590">
        <f>SUM(C8:C11)</f>
        <v>7935375.6109297173</v>
      </c>
      <c r="D7" s="590">
        <f>SUM(D8:D11)</f>
        <v>0</v>
      </c>
    </row>
    <row r="8" spans="1:4">
      <c r="A8" s="467">
        <v>2.1</v>
      </c>
      <c r="B8" s="468" t="s">
        <v>594</v>
      </c>
      <c r="C8" s="591">
        <v>4523413.321579</v>
      </c>
      <c r="D8" s="591"/>
    </row>
    <row r="9" spans="1:4">
      <c r="A9" s="467">
        <v>2.2000000000000002</v>
      </c>
      <c r="B9" s="468" t="s">
        <v>595</v>
      </c>
      <c r="C9" s="591">
        <v>3066968.8803997166</v>
      </c>
      <c r="D9" s="591"/>
    </row>
    <row r="10" spans="1:4">
      <c r="A10" s="467">
        <v>2.2999999999999998</v>
      </c>
      <c r="B10" s="468" t="s">
        <v>596</v>
      </c>
      <c r="C10" s="591">
        <v>344993.40895099996</v>
      </c>
      <c r="D10" s="591"/>
    </row>
    <row r="11" spans="1:4">
      <c r="A11" s="467">
        <v>2.4</v>
      </c>
      <c r="B11" s="468" t="s">
        <v>597</v>
      </c>
      <c r="C11" s="591">
        <v>0</v>
      </c>
      <c r="D11" s="591"/>
    </row>
    <row r="12" spans="1:4">
      <c r="A12" s="465">
        <v>3</v>
      </c>
      <c r="B12" s="466" t="s">
        <v>598</v>
      </c>
      <c r="C12" s="590">
        <f>SUM(C13:C18)</f>
        <v>8090336.3609289993</v>
      </c>
      <c r="D12" s="590">
        <f>SUM(D13:D18)</f>
        <v>0</v>
      </c>
    </row>
    <row r="13" spans="1:4">
      <c r="A13" s="467">
        <v>3.1</v>
      </c>
      <c r="B13" s="468" t="s">
        <v>599</v>
      </c>
      <c r="C13" s="591">
        <v>679466.08000000007</v>
      </c>
      <c r="D13" s="591"/>
    </row>
    <row r="14" spans="1:4">
      <c r="A14" s="467">
        <v>3.2</v>
      </c>
      <c r="B14" s="468" t="s">
        <v>600</v>
      </c>
      <c r="C14" s="591">
        <v>2767915.4082849999</v>
      </c>
      <c r="D14" s="591"/>
    </row>
    <row r="15" spans="1:4">
      <c r="A15" s="467">
        <v>3.3</v>
      </c>
      <c r="B15" s="468" t="s">
        <v>601</v>
      </c>
      <c r="C15" s="591">
        <v>2530408.9480819991</v>
      </c>
      <c r="D15" s="591"/>
    </row>
    <row r="16" spans="1:4">
      <c r="A16" s="467">
        <v>3.4</v>
      </c>
      <c r="B16" s="468" t="s">
        <v>602</v>
      </c>
      <c r="C16" s="591">
        <v>1427464.8641619999</v>
      </c>
      <c r="D16" s="591"/>
    </row>
    <row r="17" spans="1:4">
      <c r="A17" s="467">
        <v>3.5</v>
      </c>
      <c r="B17" s="468" t="s">
        <v>603</v>
      </c>
      <c r="C17" s="591">
        <v>685081.06039999996</v>
      </c>
      <c r="D17" s="591"/>
    </row>
    <row r="18" spans="1:4">
      <c r="A18" s="467">
        <v>3.6</v>
      </c>
      <c r="B18" s="468" t="s">
        <v>604</v>
      </c>
      <c r="C18" s="591">
        <v>0</v>
      </c>
      <c r="D18" s="591"/>
    </row>
    <row r="19" spans="1:4">
      <c r="A19" s="469">
        <v>4</v>
      </c>
      <c r="B19" s="466" t="s">
        <v>605</v>
      </c>
      <c r="C19" s="590">
        <f>C6+C7-C12</f>
        <v>44905547.520000704</v>
      </c>
      <c r="D19" s="590">
        <f>D6+D7-D12</f>
        <v>100000</v>
      </c>
    </row>
  </sheetData>
  <mergeCells count="1">
    <mergeCell ref="A5:B5"/>
  </mergeCells>
  <pageMargins left="0.7" right="0.7" top="0.75" bottom="0.75" header="0.3" footer="0.3"/>
  <pageSetup orientation="portrait" horizontalDpi="4294967292"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5" zoomScaleNormal="85" workbookViewId="0">
      <selection activeCell="D18" sqref="D18"/>
    </sheetView>
  </sheetViews>
  <sheetFormatPr defaultColWidth="9.140625" defaultRowHeight="12.75"/>
  <cols>
    <col min="1" max="1" width="11.85546875" style="443" bestFit="1" customWidth="1"/>
    <col min="2" max="2" width="124.7109375" style="443" customWidth="1"/>
    <col min="3" max="3" width="21.5703125" style="443" customWidth="1"/>
    <col min="4" max="4" width="49.140625" style="443" customWidth="1"/>
    <col min="5" max="16384" width="9.140625" style="443"/>
  </cols>
  <sheetData>
    <row r="1" spans="1:4">
      <c r="A1" s="442" t="s">
        <v>188</v>
      </c>
      <c r="B1" s="624" t="str">
        <f>'1. key ratios'!B1</f>
        <v>ს.ს. "ტერაბანკი"</v>
      </c>
    </row>
    <row r="2" spans="1:4">
      <c r="A2" s="442" t="s">
        <v>189</v>
      </c>
    </row>
    <row r="3" spans="1:4">
      <c r="A3" s="444" t="s">
        <v>606</v>
      </c>
      <c r="B3" s="445">
        <f>'1. key ratios'!B2</f>
        <v>44926</v>
      </c>
    </row>
    <row r="4" spans="1:4">
      <c r="A4" s="444"/>
    </row>
    <row r="5" spans="1:4" ht="15" customHeight="1">
      <c r="A5" s="689" t="s">
        <v>607</v>
      </c>
      <c r="B5" s="690"/>
      <c r="C5" s="679" t="s">
        <v>608</v>
      </c>
      <c r="D5" s="693" t="s">
        <v>609</v>
      </c>
    </row>
    <row r="6" spans="1:4">
      <c r="A6" s="691"/>
      <c r="B6" s="692"/>
      <c r="C6" s="682"/>
      <c r="D6" s="693"/>
    </row>
    <row r="7" spans="1:4">
      <c r="A7" s="449">
        <v>1</v>
      </c>
      <c r="B7" s="449" t="s">
        <v>610</v>
      </c>
      <c r="C7" s="590">
        <v>47805623.216141641</v>
      </c>
      <c r="D7" s="470"/>
    </row>
    <row r="8" spans="1:4">
      <c r="A8" s="457">
        <v>2</v>
      </c>
      <c r="B8" s="457" t="s">
        <v>611</v>
      </c>
      <c r="C8" s="591">
        <v>4842936.2720307931</v>
      </c>
      <c r="D8" s="470"/>
    </row>
    <row r="9" spans="1:4">
      <c r="A9" s="457">
        <v>3</v>
      </c>
      <c r="B9" s="471" t="s">
        <v>612</v>
      </c>
      <c r="C9" s="591">
        <v>248918.22197543125</v>
      </c>
      <c r="D9" s="470"/>
    </row>
    <row r="10" spans="1:4">
      <c r="A10" s="457">
        <v>4</v>
      </c>
      <c r="B10" s="457" t="s">
        <v>613</v>
      </c>
      <c r="C10" s="591">
        <f>SUM(C11:C18)</f>
        <v>11899982.415706227</v>
      </c>
      <c r="D10" s="470"/>
    </row>
    <row r="11" spans="1:4">
      <c r="A11" s="457">
        <v>5</v>
      </c>
      <c r="B11" s="472" t="s">
        <v>614</v>
      </c>
      <c r="C11" s="591">
        <v>39836.270000000004</v>
      </c>
      <c r="D11" s="470"/>
    </row>
    <row r="12" spans="1:4">
      <c r="A12" s="457">
        <v>6</v>
      </c>
      <c r="B12" s="472" t="s">
        <v>615</v>
      </c>
      <c r="C12" s="591">
        <v>5878457.6706000008</v>
      </c>
      <c r="D12" s="470"/>
    </row>
    <row r="13" spans="1:4">
      <c r="A13" s="457">
        <v>7</v>
      </c>
      <c r="B13" s="472" t="s">
        <v>616</v>
      </c>
      <c r="C13" s="591">
        <v>4476677.3471248057</v>
      </c>
      <c r="D13" s="470"/>
    </row>
    <row r="14" spans="1:4">
      <c r="A14" s="457">
        <v>8</v>
      </c>
      <c r="B14" s="472" t="s">
        <v>617</v>
      </c>
      <c r="C14" s="591">
        <v>0</v>
      </c>
      <c r="D14" s="592">
        <v>0</v>
      </c>
    </row>
    <row r="15" spans="1:4">
      <c r="A15" s="457">
        <v>9</v>
      </c>
      <c r="B15" s="472" t="s">
        <v>618</v>
      </c>
      <c r="C15" s="591">
        <v>0</v>
      </c>
      <c r="D15" s="592">
        <v>0</v>
      </c>
    </row>
    <row r="16" spans="1:4">
      <c r="A16" s="457">
        <v>10</v>
      </c>
      <c r="B16" s="472" t="s">
        <v>619</v>
      </c>
      <c r="C16" s="591">
        <v>660890.22</v>
      </c>
      <c r="D16" s="470"/>
    </row>
    <row r="17" spans="1:4">
      <c r="A17" s="457">
        <v>11</v>
      </c>
      <c r="B17" s="472" t="s">
        <v>620</v>
      </c>
      <c r="C17" s="591">
        <v>0</v>
      </c>
      <c r="D17" s="592">
        <v>0</v>
      </c>
    </row>
    <row r="18" spans="1:4" ht="25.5">
      <c r="A18" s="457">
        <v>12</v>
      </c>
      <c r="B18" s="472" t="s">
        <v>621</v>
      </c>
      <c r="C18" s="591">
        <v>844120.9079814197</v>
      </c>
      <c r="D18" s="470"/>
    </row>
    <row r="19" spans="1:4">
      <c r="A19" s="449">
        <v>13</v>
      </c>
      <c r="B19" s="473" t="s">
        <v>622</v>
      </c>
      <c r="C19" s="590">
        <f>C7+C8+C9-C10</f>
        <v>40997495.29444164</v>
      </c>
      <c r="D19" s="474"/>
    </row>
    <row r="22" spans="1:4">
      <c r="B22" s="442"/>
    </row>
    <row r="23" spans="1:4">
      <c r="B23" s="442"/>
    </row>
    <row r="24" spans="1:4">
      <c r="B24" s="44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90" zoomScaleNormal="90" workbookViewId="0">
      <selection activeCell="C8" sqref="C8"/>
    </sheetView>
  </sheetViews>
  <sheetFormatPr defaultColWidth="9.140625" defaultRowHeight="12.75"/>
  <cols>
    <col min="1" max="1" width="11.85546875" style="443" bestFit="1" customWidth="1"/>
    <col min="2" max="2" width="80.7109375" style="443" customWidth="1"/>
    <col min="3" max="3" width="17.85546875" style="443" bestFit="1" customWidth="1"/>
    <col min="4" max="5" width="22.28515625" style="443" customWidth="1"/>
    <col min="6" max="6" width="23.42578125" style="443" customWidth="1"/>
    <col min="7" max="14" width="22.28515625" style="443" customWidth="1"/>
    <col min="15" max="15" width="23.42578125" style="443" bestFit="1" customWidth="1"/>
    <col min="16" max="16" width="21.85546875" style="443" bestFit="1" customWidth="1"/>
    <col min="17" max="19" width="19.140625" style="443" bestFit="1" customWidth="1"/>
    <col min="20" max="20" width="16.140625" style="443" customWidth="1"/>
    <col min="21" max="21" width="13.42578125" style="443" bestFit="1" customWidth="1"/>
    <col min="22" max="22" width="20" style="443" customWidth="1"/>
    <col min="23" max="16384" width="9.140625" style="443"/>
  </cols>
  <sheetData>
    <row r="1" spans="1:22">
      <c r="A1" s="442" t="s">
        <v>188</v>
      </c>
      <c r="B1" s="624" t="str">
        <f>'1. key ratios'!B1</f>
        <v>ს.ს. "ტერაბანკი"</v>
      </c>
    </row>
    <row r="2" spans="1:22">
      <c r="A2" s="442" t="s">
        <v>189</v>
      </c>
      <c r="B2" s="453"/>
      <c r="C2" s="453"/>
    </row>
    <row r="3" spans="1:22">
      <c r="A3" s="444" t="s">
        <v>623</v>
      </c>
      <c r="B3" s="445">
        <f>'1. key ratios'!B2</f>
        <v>44926</v>
      </c>
    </row>
    <row r="5" spans="1:22" ht="15" customHeight="1">
      <c r="A5" s="679" t="s">
        <v>624</v>
      </c>
      <c r="B5" s="681"/>
      <c r="C5" s="696" t="s">
        <v>625</v>
      </c>
      <c r="D5" s="697"/>
      <c r="E5" s="697"/>
      <c r="F5" s="697"/>
      <c r="G5" s="697"/>
      <c r="H5" s="697"/>
      <c r="I5" s="697"/>
      <c r="J5" s="697"/>
      <c r="K5" s="697"/>
      <c r="L5" s="697"/>
      <c r="M5" s="697"/>
      <c r="N5" s="697"/>
      <c r="O5" s="697"/>
      <c r="P5" s="697"/>
      <c r="Q5" s="697"/>
      <c r="R5" s="697"/>
      <c r="S5" s="697"/>
      <c r="T5" s="697"/>
      <c r="U5" s="698"/>
      <c r="V5" s="475"/>
    </row>
    <row r="6" spans="1:22">
      <c r="A6" s="694"/>
      <c r="B6" s="695"/>
      <c r="C6" s="699" t="s">
        <v>68</v>
      </c>
      <c r="D6" s="701" t="s">
        <v>626</v>
      </c>
      <c r="E6" s="701"/>
      <c r="F6" s="686"/>
      <c r="G6" s="702" t="s">
        <v>627</v>
      </c>
      <c r="H6" s="703"/>
      <c r="I6" s="703"/>
      <c r="J6" s="703"/>
      <c r="K6" s="704"/>
      <c r="L6" s="476"/>
      <c r="M6" s="705" t="s">
        <v>628</v>
      </c>
      <c r="N6" s="705"/>
      <c r="O6" s="686"/>
      <c r="P6" s="686"/>
      <c r="Q6" s="686"/>
      <c r="R6" s="686"/>
      <c r="S6" s="686"/>
      <c r="T6" s="686"/>
      <c r="U6" s="686"/>
      <c r="V6" s="476"/>
    </row>
    <row r="7" spans="1:22" ht="25.5">
      <c r="A7" s="682"/>
      <c r="B7" s="684"/>
      <c r="C7" s="700"/>
      <c r="D7" s="477"/>
      <c r="E7" s="455" t="s">
        <v>629</v>
      </c>
      <c r="F7" s="455" t="s">
        <v>630</v>
      </c>
      <c r="G7" s="453"/>
      <c r="H7" s="455" t="s">
        <v>629</v>
      </c>
      <c r="I7" s="455" t="s">
        <v>656</v>
      </c>
      <c r="J7" s="455" t="s">
        <v>631</v>
      </c>
      <c r="K7" s="455" t="s">
        <v>632</v>
      </c>
      <c r="L7" s="478"/>
      <c r="M7" s="493" t="s">
        <v>633</v>
      </c>
      <c r="N7" s="455" t="s">
        <v>631</v>
      </c>
      <c r="O7" s="455" t="s">
        <v>634</v>
      </c>
      <c r="P7" s="455" t="s">
        <v>635</v>
      </c>
      <c r="Q7" s="455" t="s">
        <v>636</v>
      </c>
      <c r="R7" s="455" t="s">
        <v>637</v>
      </c>
      <c r="S7" s="455" t="s">
        <v>638</v>
      </c>
      <c r="T7" s="479" t="s">
        <v>639</v>
      </c>
      <c r="U7" s="455" t="s">
        <v>640</v>
      </c>
      <c r="V7" s="475"/>
    </row>
    <row r="8" spans="1:22">
      <c r="A8" s="480">
        <v>1</v>
      </c>
      <c r="B8" s="449" t="s">
        <v>641</v>
      </c>
      <c r="C8" s="590">
        <v>1074139565.8299985</v>
      </c>
      <c r="D8" s="591">
        <v>946357355.5299989</v>
      </c>
      <c r="E8" s="591">
        <v>21777034.310000002</v>
      </c>
      <c r="F8" s="591">
        <v>499995.37</v>
      </c>
      <c r="G8" s="591">
        <v>86784715.62999998</v>
      </c>
      <c r="H8" s="591">
        <v>6627637.790000001</v>
      </c>
      <c r="I8" s="591">
        <v>3087555.24</v>
      </c>
      <c r="J8" s="591">
        <v>1166759.82</v>
      </c>
      <c r="K8" s="591">
        <v>0</v>
      </c>
      <c r="L8" s="591">
        <v>40997494.669999994</v>
      </c>
      <c r="M8" s="591">
        <v>3662310.0699999994</v>
      </c>
      <c r="N8" s="591">
        <v>754199.85999999975</v>
      </c>
      <c r="O8" s="591">
        <v>7445717.6100000022</v>
      </c>
      <c r="P8" s="591">
        <v>4198880.1000000015</v>
      </c>
      <c r="Q8" s="591">
        <v>4293917.3499999996</v>
      </c>
      <c r="R8" s="591">
        <v>3604678.4300000006</v>
      </c>
      <c r="S8" s="591">
        <v>0</v>
      </c>
      <c r="T8" s="591">
        <v>0</v>
      </c>
      <c r="U8" s="591">
        <v>1756010.6400000025</v>
      </c>
    </row>
    <row r="9" spans="1:22">
      <c r="A9" s="457">
        <v>1.1000000000000001</v>
      </c>
      <c r="B9" s="481" t="s">
        <v>642</v>
      </c>
      <c r="C9" s="594"/>
      <c r="D9" s="591"/>
      <c r="E9" s="591"/>
      <c r="F9" s="591"/>
      <c r="G9" s="591"/>
      <c r="H9" s="591"/>
      <c r="I9" s="591"/>
      <c r="J9" s="591"/>
      <c r="K9" s="591"/>
      <c r="L9" s="591"/>
      <c r="M9" s="591"/>
      <c r="N9" s="591"/>
      <c r="O9" s="591"/>
      <c r="P9" s="591"/>
      <c r="Q9" s="591"/>
      <c r="R9" s="591"/>
      <c r="S9" s="591"/>
      <c r="T9" s="591"/>
      <c r="U9" s="591"/>
    </row>
    <row r="10" spans="1:22">
      <c r="A10" s="457">
        <v>1.2</v>
      </c>
      <c r="B10" s="481" t="s">
        <v>643</v>
      </c>
      <c r="C10" s="594"/>
      <c r="D10" s="591"/>
      <c r="E10" s="591"/>
      <c r="F10" s="591"/>
      <c r="G10" s="591"/>
      <c r="H10" s="591"/>
      <c r="I10" s="591"/>
      <c r="J10" s="591"/>
      <c r="K10" s="591"/>
      <c r="L10" s="591"/>
      <c r="M10" s="591"/>
      <c r="N10" s="591"/>
      <c r="O10" s="591"/>
      <c r="P10" s="591"/>
      <c r="Q10" s="591"/>
      <c r="R10" s="591"/>
      <c r="S10" s="591"/>
      <c r="T10" s="591"/>
      <c r="U10" s="591"/>
    </row>
    <row r="11" spans="1:22">
      <c r="A11" s="457">
        <v>1.3</v>
      </c>
      <c r="B11" s="481" t="s">
        <v>644</v>
      </c>
      <c r="C11" s="594"/>
      <c r="D11" s="591"/>
      <c r="E11" s="591"/>
      <c r="F11" s="591"/>
      <c r="G11" s="591"/>
      <c r="H11" s="591"/>
      <c r="I11" s="591"/>
      <c r="J11" s="591"/>
      <c r="K11" s="591"/>
      <c r="L11" s="591"/>
      <c r="M11" s="591"/>
      <c r="N11" s="591"/>
      <c r="O11" s="591"/>
      <c r="P11" s="591"/>
      <c r="Q11" s="591"/>
      <c r="R11" s="591"/>
      <c r="S11" s="591"/>
      <c r="T11" s="591"/>
      <c r="U11" s="591"/>
    </row>
    <row r="12" spans="1:22">
      <c r="A12" s="457">
        <v>1.4</v>
      </c>
      <c r="B12" s="481" t="s">
        <v>645</v>
      </c>
      <c r="C12" s="594">
        <v>44163458.299999997</v>
      </c>
      <c r="D12" s="591">
        <v>43957947.689999998</v>
      </c>
      <c r="E12" s="591">
        <v>0</v>
      </c>
      <c r="F12" s="591">
        <v>0</v>
      </c>
      <c r="G12" s="591">
        <v>0</v>
      </c>
      <c r="H12" s="591">
        <v>0</v>
      </c>
      <c r="I12" s="591">
        <v>0</v>
      </c>
      <c r="J12" s="591">
        <v>0</v>
      </c>
      <c r="K12" s="591">
        <v>0</v>
      </c>
      <c r="L12" s="591">
        <v>205510.61000000002</v>
      </c>
      <c r="M12" s="591">
        <v>0</v>
      </c>
      <c r="N12" s="591">
        <v>0</v>
      </c>
      <c r="O12" s="591">
        <v>155292.51</v>
      </c>
      <c r="P12" s="591">
        <v>0</v>
      </c>
      <c r="Q12" s="591">
        <v>50218.1</v>
      </c>
      <c r="R12" s="591">
        <v>0</v>
      </c>
      <c r="S12" s="591">
        <v>0</v>
      </c>
      <c r="T12" s="591">
        <v>0</v>
      </c>
      <c r="U12" s="591">
        <v>0</v>
      </c>
    </row>
    <row r="13" spans="1:22">
      <c r="A13" s="457">
        <v>1.5</v>
      </c>
      <c r="B13" s="481" t="s">
        <v>646</v>
      </c>
      <c r="C13" s="594">
        <v>466224506.38999993</v>
      </c>
      <c r="D13" s="591">
        <v>410389393.17000002</v>
      </c>
      <c r="E13" s="591">
        <v>13444109.279999999</v>
      </c>
      <c r="F13" s="591">
        <v>499995.37</v>
      </c>
      <c r="G13" s="591">
        <v>42541990.650000013</v>
      </c>
      <c r="H13" s="591">
        <v>2171049.3299999996</v>
      </c>
      <c r="I13" s="591">
        <v>1848213.05</v>
      </c>
      <c r="J13" s="591">
        <v>978770.01</v>
      </c>
      <c r="K13" s="591">
        <v>0</v>
      </c>
      <c r="L13" s="591">
        <v>13293122.569999998</v>
      </c>
      <c r="M13" s="591">
        <v>1455166.81</v>
      </c>
      <c r="N13" s="591">
        <v>67429.98000000001</v>
      </c>
      <c r="O13" s="591">
        <v>3042828.5</v>
      </c>
      <c r="P13" s="591">
        <v>2130299.5</v>
      </c>
      <c r="Q13" s="591">
        <v>2401408.92</v>
      </c>
      <c r="R13" s="591">
        <v>712491.91</v>
      </c>
      <c r="S13" s="591">
        <v>0</v>
      </c>
      <c r="T13" s="591">
        <v>0</v>
      </c>
      <c r="U13" s="591">
        <v>150791.07999999999</v>
      </c>
    </row>
    <row r="14" spans="1:22">
      <c r="A14" s="457">
        <v>1.6</v>
      </c>
      <c r="B14" s="481" t="s">
        <v>647</v>
      </c>
      <c r="C14" s="594">
        <v>563751601.13999844</v>
      </c>
      <c r="D14" s="591">
        <v>492010014.66999888</v>
      </c>
      <c r="E14" s="591">
        <v>8332925.0300000031</v>
      </c>
      <c r="F14" s="591">
        <v>0</v>
      </c>
      <c r="G14" s="591">
        <v>44242724.979999967</v>
      </c>
      <c r="H14" s="591">
        <v>4456588.4600000009</v>
      </c>
      <c r="I14" s="591">
        <v>1239342.19</v>
      </c>
      <c r="J14" s="591">
        <v>187989.81000000003</v>
      </c>
      <c r="K14" s="591">
        <v>0</v>
      </c>
      <c r="L14" s="591">
        <v>27498861.489999998</v>
      </c>
      <c r="M14" s="591">
        <v>2207143.2599999993</v>
      </c>
      <c r="N14" s="591">
        <v>686769.87999999977</v>
      </c>
      <c r="O14" s="591">
        <v>4247596.6000000024</v>
      </c>
      <c r="P14" s="591">
        <v>2068580.600000001</v>
      </c>
      <c r="Q14" s="591">
        <v>1842290.3299999998</v>
      </c>
      <c r="R14" s="591">
        <v>2892186.5200000005</v>
      </c>
      <c r="S14" s="591">
        <v>0</v>
      </c>
      <c r="T14" s="591">
        <v>0</v>
      </c>
      <c r="U14" s="591">
        <v>1605219.5600000024</v>
      </c>
    </row>
    <row r="15" spans="1:22">
      <c r="A15" s="480">
        <v>2</v>
      </c>
      <c r="B15" s="449" t="s">
        <v>648</v>
      </c>
      <c r="C15" s="590">
        <v>155988800.59999999</v>
      </c>
      <c r="D15" s="591">
        <v>155988800.59999999</v>
      </c>
      <c r="E15" s="591">
        <v>0</v>
      </c>
      <c r="F15" s="591">
        <v>0</v>
      </c>
      <c r="G15" s="591">
        <v>0</v>
      </c>
      <c r="H15" s="591">
        <v>0</v>
      </c>
      <c r="I15" s="591">
        <v>0</v>
      </c>
      <c r="J15" s="591">
        <v>0</v>
      </c>
      <c r="K15" s="591">
        <v>0</v>
      </c>
      <c r="L15" s="591">
        <v>0</v>
      </c>
      <c r="M15" s="591">
        <v>0</v>
      </c>
      <c r="N15" s="591">
        <v>0</v>
      </c>
      <c r="O15" s="591">
        <v>0</v>
      </c>
      <c r="P15" s="591">
        <v>0</v>
      </c>
      <c r="Q15" s="591">
        <v>0</v>
      </c>
      <c r="R15" s="591">
        <v>0</v>
      </c>
      <c r="S15" s="591">
        <v>0</v>
      </c>
      <c r="T15" s="591">
        <v>0</v>
      </c>
      <c r="U15" s="591">
        <v>0</v>
      </c>
    </row>
    <row r="16" spans="1:22">
      <c r="A16" s="457">
        <v>2.1</v>
      </c>
      <c r="B16" s="481" t="s">
        <v>642</v>
      </c>
      <c r="C16" s="594">
        <v>14818713.120000001</v>
      </c>
      <c r="D16" s="591">
        <v>14818713.120000001</v>
      </c>
      <c r="E16" s="591">
        <v>0</v>
      </c>
      <c r="F16" s="591">
        <v>0</v>
      </c>
      <c r="G16" s="591">
        <v>0</v>
      </c>
      <c r="H16" s="591">
        <v>0</v>
      </c>
      <c r="I16" s="591">
        <v>0</v>
      </c>
      <c r="J16" s="591">
        <v>0</v>
      </c>
      <c r="K16" s="591">
        <v>0</v>
      </c>
      <c r="L16" s="591">
        <v>0</v>
      </c>
      <c r="M16" s="591">
        <v>0</v>
      </c>
      <c r="N16" s="591">
        <v>0</v>
      </c>
      <c r="O16" s="591">
        <v>0</v>
      </c>
      <c r="P16" s="591">
        <v>0</v>
      </c>
      <c r="Q16" s="591">
        <v>0</v>
      </c>
      <c r="R16" s="591">
        <v>0</v>
      </c>
      <c r="S16" s="591">
        <v>0</v>
      </c>
      <c r="T16" s="591">
        <v>0</v>
      </c>
      <c r="U16" s="591">
        <v>0</v>
      </c>
    </row>
    <row r="17" spans="1:21">
      <c r="A17" s="457">
        <v>2.2000000000000002</v>
      </c>
      <c r="B17" s="481" t="s">
        <v>643</v>
      </c>
      <c r="C17" s="594">
        <v>67170087.479999989</v>
      </c>
      <c r="D17" s="591">
        <v>67170087.479999989</v>
      </c>
      <c r="E17" s="591">
        <v>0</v>
      </c>
      <c r="F17" s="591">
        <v>0</v>
      </c>
      <c r="G17" s="591">
        <v>0</v>
      </c>
      <c r="H17" s="591">
        <v>0</v>
      </c>
      <c r="I17" s="591">
        <v>0</v>
      </c>
      <c r="J17" s="591">
        <v>0</v>
      </c>
      <c r="K17" s="591">
        <v>0</v>
      </c>
      <c r="L17" s="591">
        <v>0</v>
      </c>
      <c r="M17" s="591">
        <v>0</v>
      </c>
      <c r="N17" s="591">
        <v>0</v>
      </c>
      <c r="O17" s="591">
        <v>0</v>
      </c>
      <c r="P17" s="591">
        <v>0</v>
      </c>
      <c r="Q17" s="591">
        <v>0</v>
      </c>
      <c r="R17" s="591">
        <v>0</v>
      </c>
      <c r="S17" s="591">
        <v>0</v>
      </c>
      <c r="T17" s="591">
        <v>0</v>
      </c>
      <c r="U17" s="591">
        <v>0</v>
      </c>
    </row>
    <row r="18" spans="1:21">
      <c r="A18" s="457">
        <v>2.2999999999999998</v>
      </c>
      <c r="B18" s="481" t="s">
        <v>644</v>
      </c>
      <c r="C18" s="594">
        <v>64000000</v>
      </c>
      <c r="D18" s="591">
        <v>64000000</v>
      </c>
      <c r="E18" s="591">
        <v>0</v>
      </c>
      <c r="F18" s="591">
        <v>0</v>
      </c>
      <c r="G18" s="591">
        <v>0</v>
      </c>
      <c r="H18" s="591">
        <v>0</v>
      </c>
      <c r="I18" s="591">
        <v>0</v>
      </c>
      <c r="J18" s="591">
        <v>0</v>
      </c>
      <c r="K18" s="591">
        <v>0</v>
      </c>
      <c r="L18" s="591">
        <v>0</v>
      </c>
      <c r="M18" s="591">
        <v>0</v>
      </c>
      <c r="N18" s="591">
        <v>0</v>
      </c>
      <c r="O18" s="591">
        <v>0</v>
      </c>
      <c r="P18" s="591">
        <v>0</v>
      </c>
      <c r="Q18" s="591">
        <v>0</v>
      </c>
      <c r="R18" s="591">
        <v>0</v>
      </c>
      <c r="S18" s="591">
        <v>0</v>
      </c>
      <c r="T18" s="591">
        <v>0</v>
      </c>
      <c r="U18" s="591">
        <v>0</v>
      </c>
    </row>
    <row r="19" spans="1:21">
      <c r="A19" s="457">
        <v>2.4</v>
      </c>
      <c r="B19" s="481" t="s">
        <v>645</v>
      </c>
      <c r="C19" s="594">
        <v>10000000</v>
      </c>
      <c r="D19" s="591">
        <v>10000000</v>
      </c>
      <c r="E19" s="591">
        <v>0</v>
      </c>
      <c r="F19" s="591">
        <v>0</v>
      </c>
      <c r="G19" s="591">
        <v>0</v>
      </c>
      <c r="H19" s="591">
        <v>0</v>
      </c>
      <c r="I19" s="591">
        <v>0</v>
      </c>
      <c r="J19" s="591">
        <v>0</v>
      </c>
      <c r="K19" s="591">
        <v>0</v>
      </c>
      <c r="L19" s="591">
        <v>0</v>
      </c>
      <c r="M19" s="591">
        <v>0</v>
      </c>
      <c r="N19" s="591">
        <v>0</v>
      </c>
      <c r="O19" s="591">
        <v>0</v>
      </c>
      <c r="P19" s="591">
        <v>0</v>
      </c>
      <c r="Q19" s="591">
        <v>0</v>
      </c>
      <c r="R19" s="591">
        <v>0</v>
      </c>
      <c r="S19" s="591">
        <v>0</v>
      </c>
      <c r="T19" s="591">
        <v>0</v>
      </c>
      <c r="U19" s="591">
        <v>0</v>
      </c>
    </row>
    <row r="20" spans="1:21">
      <c r="A20" s="457">
        <v>2.5</v>
      </c>
      <c r="B20" s="481" t="s">
        <v>646</v>
      </c>
      <c r="C20" s="594">
        <v>0</v>
      </c>
      <c r="D20" s="591">
        <v>0</v>
      </c>
      <c r="E20" s="591">
        <v>0</v>
      </c>
      <c r="F20" s="591">
        <v>0</v>
      </c>
      <c r="G20" s="591">
        <v>0</v>
      </c>
      <c r="H20" s="591">
        <v>0</v>
      </c>
      <c r="I20" s="591">
        <v>0</v>
      </c>
      <c r="J20" s="591">
        <v>0</v>
      </c>
      <c r="K20" s="591">
        <v>0</v>
      </c>
      <c r="L20" s="591">
        <v>0</v>
      </c>
      <c r="M20" s="591">
        <v>0</v>
      </c>
      <c r="N20" s="591">
        <v>0</v>
      </c>
      <c r="O20" s="591">
        <v>0</v>
      </c>
      <c r="P20" s="591">
        <v>0</v>
      </c>
      <c r="Q20" s="591">
        <v>0</v>
      </c>
      <c r="R20" s="591">
        <v>0</v>
      </c>
      <c r="S20" s="591">
        <v>0</v>
      </c>
      <c r="T20" s="591">
        <v>0</v>
      </c>
      <c r="U20" s="591">
        <v>0</v>
      </c>
    </row>
    <row r="21" spans="1:21">
      <c r="A21" s="457">
        <v>2.6</v>
      </c>
      <c r="B21" s="481" t="s">
        <v>647</v>
      </c>
      <c r="C21" s="594">
        <v>0</v>
      </c>
      <c r="D21" s="591">
        <v>0</v>
      </c>
      <c r="E21" s="591">
        <v>0</v>
      </c>
      <c r="F21" s="591">
        <v>0</v>
      </c>
      <c r="G21" s="591">
        <v>0</v>
      </c>
      <c r="H21" s="591">
        <v>0</v>
      </c>
      <c r="I21" s="591">
        <v>0</v>
      </c>
      <c r="J21" s="591">
        <v>0</v>
      </c>
      <c r="K21" s="591">
        <v>0</v>
      </c>
      <c r="L21" s="591">
        <v>0</v>
      </c>
      <c r="M21" s="591">
        <v>0</v>
      </c>
      <c r="N21" s="591">
        <v>0</v>
      </c>
      <c r="O21" s="591">
        <v>0</v>
      </c>
      <c r="P21" s="591">
        <v>0</v>
      </c>
      <c r="Q21" s="591">
        <v>0</v>
      </c>
      <c r="R21" s="591">
        <v>0</v>
      </c>
      <c r="S21" s="591">
        <v>0</v>
      </c>
      <c r="T21" s="591">
        <v>0</v>
      </c>
      <c r="U21" s="591">
        <v>0</v>
      </c>
    </row>
    <row r="22" spans="1:21">
      <c r="A22" s="480">
        <v>3</v>
      </c>
      <c r="B22" s="449" t="s">
        <v>649</v>
      </c>
      <c r="C22" s="590">
        <v>84274941.190000013</v>
      </c>
      <c r="D22" s="591">
        <v>42015330.419999994</v>
      </c>
      <c r="E22" s="482"/>
      <c r="F22" s="482"/>
      <c r="G22" s="591">
        <v>2985174.6</v>
      </c>
      <c r="H22" s="482"/>
      <c r="I22" s="482"/>
      <c r="J22" s="482"/>
      <c r="K22" s="482"/>
      <c r="L22" s="591">
        <v>0</v>
      </c>
      <c r="M22" s="482"/>
      <c r="N22" s="482"/>
      <c r="O22" s="482"/>
      <c r="P22" s="482"/>
      <c r="Q22" s="482"/>
      <c r="R22" s="482"/>
      <c r="S22" s="482"/>
      <c r="T22" s="482"/>
      <c r="U22" s="591">
        <v>0</v>
      </c>
    </row>
    <row r="23" spans="1:21">
      <c r="A23" s="457">
        <v>3.1</v>
      </c>
      <c r="B23" s="481" t="s">
        <v>642</v>
      </c>
      <c r="C23" s="594">
        <v>0</v>
      </c>
      <c r="D23" s="591">
        <v>0</v>
      </c>
      <c r="E23" s="482"/>
      <c r="F23" s="482"/>
      <c r="G23" s="591">
        <v>0</v>
      </c>
      <c r="H23" s="482"/>
      <c r="I23" s="482"/>
      <c r="J23" s="482"/>
      <c r="K23" s="482"/>
      <c r="L23" s="591">
        <v>0</v>
      </c>
      <c r="M23" s="482"/>
      <c r="N23" s="482"/>
      <c r="O23" s="482"/>
      <c r="P23" s="482"/>
      <c r="Q23" s="482"/>
      <c r="R23" s="482"/>
      <c r="S23" s="482"/>
      <c r="T23" s="482"/>
      <c r="U23" s="591">
        <v>0</v>
      </c>
    </row>
    <row r="24" spans="1:21">
      <c r="A24" s="457">
        <v>3.2</v>
      </c>
      <c r="B24" s="481" t="s">
        <v>643</v>
      </c>
      <c r="C24" s="594">
        <v>0</v>
      </c>
      <c r="D24" s="591">
        <v>0</v>
      </c>
      <c r="E24" s="482"/>
      <c r="F24" s="482"/>
      <c r="G24" s="591">
        <v>0</v>
      </c>
      <c r="H24" s="482"/>
      <c r="I24" s="482"/>
      <c r="J24" s="482"/>
      <c r="K24" s="482"/>
      <c r="L24" s="591">
        <v>0</v>
      </c>
      <c r="M24" s="482"/>
      <c r="N24" s="482"/>
      <c r="O24" s="482"/>
      <c r="P24" s="482"/>
      <c r="Q24" s="482"/>
      <c r="R24" s="482"/>
      <c r="S24" s="482"/>
      <c r="T24" s="482"/>
      <c r="U24" s="591">
        <v>0</v>
      </c>
    </row>
    <row r="25" spans="1:21">
      <c r="A25" s="457">
        <v>3.3</v>
      </c>
      <c r="B25" s="481" t="s">
        <v>644</v>
      </c>
      <c r="C25" s="594">
        <v>0</v>
      </c>
      <c r="D25" s="591">
        <v>0</v>
      </c>
      <c r="E25" s="482"/>
      <c r="F25" s="482"/>
      <c r="G25" s="591">
        <v>0</v>
      </c>
      <c r="H25" s="482"/>
      <c r="I25" s="482"/>
      <c r="J25" s="482"/>
      <c r="K25" s="482"/>
      <c r="L25" s="591">
        <v>0</v>
      </c>
      <c r="M25" s="482"/>
      <c r="N25" s="482"/>
      <c r="O25" s="482"/>
      <c r="P25" s="482"/>
      <c r="Q25" s="482"/>
      <c r="R25" s="482"/>
      <c r="S25" s="482"/>
      <c r="T25" s="482"/>
      <c r="U25" s="591">
        <v>0</v>
      </c>
    </row>
    <row r="26" spans="1:21">
      <c r="A26" s="457">
        <v>3.4</v>
      </c>
      <c r="B26" s="481" t="s">
        <v>645</v>
      </c>
      <c r="C26" s="594">
        <v>1940671.7999999998</v>
      </c>
      <c r="D26" s="591">
        <v>1940671.7999999998</v>
      </c>
      <c r="E26" s="482"/>
      <c r="F26" s="482"/>
      <c r="G26" s="591">
        <v>0</v>
      </c>
      <c r="H26" s="482"/>
      <c r="I26" s="482"/>
      <c r="J26" s="482"/>
      <c r="K26" s="482"/>
      <c r="L26" s="591">
        <v>0</v>
      </c>
      <c r="M26" s="482"/>
      <c r="N26" s="482"/>
      <c r="O26" s="482"/>
      <c r="P26" s="482"/>
      <c r="Q26" s="482"/>
      <c r="R26" s="482"/>
      <c r="S26" s="482"/>
      <c r="T26" s="482"/>
      <c r="U26" s="591">
        <v>0</v>
      </c>
    </row>
    <row r="27" spans="1:21">
      <c r="A27" s="457">
        <v>3.5</v>
      </c>
      <c r="B27" s="481" t="s">
        <v>646</v>
      </c>
      <c r="C27" s="594">
        <v>82334269.390000015</v>
      </c>
      <c r="D27" s="591">
        <v>40074658.619999997</v>
      </c>
      <c r="E27" s="482"/>
      <c r="F27" s="482"/>
      <c r="G27" s="591">
        <v>2985174.6</v>
      </c>
      <c r="H27" s="482"/>
      <c r="I27" s="482"/>
      <c r="J27" s="482"/>
      <c r="K27" s="482"/>
      <c r="L27" s="591">
        <v>0</v>
      </c>
      <c r="M27" s="482"/>
      <c r="N27" s="482"/>
      <c r="O27" s="482"/>
      <c r="P27" s="482"/>
      <c r="Q27" s="482"/>
      <c r="R27" s="482"/>
      <c r="S27" s="482"/>
      <c r="T27" s="482"/>
      <c r="U27" s="591">
        <v>0</v>
      </c>
    </row>
    <row r="28" spans="1:21">
      <c r="A28" s="457">
        <v>3.6</v>
      </c>
      <c r="B28" s="481" t="s">
        <v>647</v>
      </c>
      <c r="C28" s="594">
        <v>0</v>
      </c>
      <c r="D28" s="591">
        <v>0</v>
      </c>
      <c r="E28" s="482"/>
      <c r="F28" s="482"/>
      <c r="G28" s="591">
        <v>0</v>
      </c>
      <c r="H28" s="482"/>
      <c r="I28" s="482"/>
      <c r="J28" s="482"/>
      <c r="K28" s="482"/>
      <c r="L28" s="591">
        <v>0</v>
      </c>
      <c r="M28" s="482"/>
      <c r="N28" s="482"/>
      <c r="O28" s="482"/>
      <c r="P28" s="482"/>
      <c r="Q28" s="482"/>
      <c r="R28" s="482"/>
      <c r="S28" s="482"/>
      <c r="T28" s="482"/>
      <c r="U28" s="591">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N1" zoomScale="90" zoomScaleNormal="90" workbookViewId="0">
      <selection activeCell="B1" sqref="B1"/>
    </sheetView>
  </sheetViews>
  <sheetFormatPr defaultColWidth="9.140625" defaultRowHeight="12.75"/>
  <cols>
    <col min="1" max="1" width="11.85546875" style="443" bestFit="1" customWidth="1"/>
    <col min="2" max="2" width="90.28515625" style="443" bestFit="1" customWidth="1"/>
    <col min="3" max="3" width="20.140625" style="443" customWidth="1"/>
    <col min="4" max="4" width="22.28515625" style="443" customWidth="1"/>
    <col min="5" max="5" width="17.140625" style="443" customWidth="1"/>
    <col min="6" max="7" width="22.28515625" style="443" customWidth="1"/>
    <col min="8" max="8" width="17.140625" style="443" customWidth="1"/>
    <col min="9" max="14" width="22.28515625" style="443" customWidth="1"/>
    <col min="15" max="15" width="23.28515625" style="443" bestFit="1" customWidth="1"/>
    <col min="16" max="16" width="21.7109375" style="443" bestFit="1" customWidth="1"/>
    <col min="17" max="19" width="19" style="443" bestFit="1" customWidth="1"/>
    <col min="20" max="20" width="15.42578125" style="443" customWidth="1"/>
    <col min="21" max="21" width="20" style="443" customWidth="1"/>
    <col min="22" max="16384" width="9.140625" style="443"/>
  </cols>
  <sheetData>
    <row r="1" spans="1:21">
      <c r="A1" s="442" t="s">
        <v>188</v>
      </c>
      <c r="B1" s="624" t="str">
        <f>'1. key ratios'!B1</f>
        <v>ს.ს. "ტერაბანკი"</v>
      </c>
    </row>
    <row r="2" spans="1:21">
      <c r="A2" s="442" t="s">
        <v>189</v>
      </c>
    </row>
    <row r="3" spans="1:21">
      <c r="A3" s="444" t="s">
        <v>650</v>
      </c>
      <c r="B3" s="445">
        <f>'1. key ratios'!B2</f>
        <v>44926</v>
      </c>
      <c r="C3" s="445"/>
    </row>
    <row r="4" spans="1:21">
      <c r="A4" s="444"/>
      <c r="B4" s="445"/>
      <c r="C4" s="445"/>
    </row>
    <row r="5" spans="1:21" ht="13.5" customHeight="1">
      <c r="A5" s="706" t="s">
        <v>651</v>
      </c>
      <c r="B5" s="707"/>
      <c r="C5" s="712" t="s">
        <v>652</v>
      </c>
      <c r="D5" s="713"/>
      <c r="E5" s="713"/>
      <c r="F5" s="713"/>
      <c r="G5" s="713"/>
      <c r="H5" s="713"/>
      <c r="I5" s="713"/>
      <c r="J5" s="713"/>
      <c r="K5" s="713"/>
      <c r="L5" s="713"/>
      <c r="M5" s="713"/>
      <c r="N5" s="713"/>
      <c r="O5" s="713"/>
      <c r="P5" s="713"/>
      <c r="Q5" s="713"/>
      <c r="R5" s="713"/>
      <c r="S5" s="713"/>
      <c r="T5" s="714"/>
      <c r="U5" s="475"/>
    </row>
    <row r="6" spans="1:21">
      <c r="A6" s="708"/>
      <c r="B6" s="709"/>
      <c r="C6" s="693" t="s">
        <v>68</v>
      </c>
      <c r="D6" s="712" t="s">
        <v>653</v>
      </c>
      <c r="E6" s="713"/>
      <c r="F6" s="714"/>
      <c r="G6" s="712" t="s">
        <v>654</v>
      </c>
      <c r="H6" s="713"/>
      <c r="I6" s="713"/>
      <c r="J6" s="713"/>
      <c r="K6" s="714"/>
      <c r="L6" s="715" t="s">
        <v>655</v>
      </c>
      <c r="M6" s="716"/>
      <c r="N6" s="716"/>
      <c r="O6" s="716"/>
      <c r="P6" s="716"/>
      <c r="Q6" s="716"/>
      <c r="R6" s="716"/>
      <c r="S6" s="716"/>
      <c r="T6" s="717"/>
      <c r="U6" s="476"/>
    </row>
    <row r="7" spans="1:21" ht="25.5">
      <c r="A7" s="710"/>
      <c r="B7" s="711"/>
      <c r="C7" s="693"/>
      <c r="E7" s="493" t="s">
        <v>629</v>
      </c>
      <c r="F7" s="455" t="s">
        <v>630</v>
      </c>
      <c r="H7" s="493" t="s">
        <v>629</v>
      </c>
      <c r="I7" s="455" t="s">
        <v>656</v>
      </c>
      <c r="J7" s="455" t="s">
        <v>631</v>
      </c>
      <c r="K7" s="455" t="s">
        <v>632</v>
      </c>
      <c r="L7" s="483"/>
      <c r="M7" s="493" t="s">
        <v>633</v>
      </c>
      <c r="N7" s="455" t="s">
        <v>631</v>
      </c>
      <c r="O7" s="455" t="s">
        <v>634</v>
      </c>
      <c r="P7" s="455" t="s">
        <v>635</v>
      </c>
      <c r="Q7" s="455" t="s">
        <v>636</v>
      </c>
      <c r="R7" s="455" t="s">
        <v>637</v>
      </c>
      <c r="S7" s="455" t="s">
        <v>638</v>
      </c>
      <c r="T7" s="479" t="s">
        <v>639</v>
      </c>
      <c r="U7" s="475"/>
    </row>
    <row r="8" spans="1:21">
      <c r="A8" s="483">
        <v>1</v>
      </c>
      <c r="B8" s="473" t="s">
        <v>641</v>
      </c>
      <c r="C8" s="595">
        <v>1074139566.0699959</v>
      </c>
      <c r="D8" s="591">
        <v>946357355.5300014</v>
      </c>
      <c r="E8" s="591">
        <v>21777034.31000001</v>
      </c>
      <c r="F8" s="591">
        <v>499995.37</v>
      </c>
      <c r="G8" s="591">
        <v>86784715.629999995</v>
      </c>
      <c r="H8" s="591">
        <v>6627637.7900000028</v>
      </c>
      <c r="I8" s="591">
        <v>3083845.1900000004</v>
      </c>
      <c r="J8" s="591">
        <v>1166759.8199999998</v>
      </c>
      <c r="K8" s="591">
        <v>0</v>
      </c>
      <c r="L8" s="591">
        <v>40997494.909994654</v>
      </c>
      <c r="M8" s="591">
        <v>3662076.0700000008</v>
      </c>
      <c r="N8" s="591">
        <v>754199.86</v>
      </c>
      <c r="O8" s="591">
        <v>7445717.6100000022</v>
      </c>
      <c r="P8" s="591">
        <v>4198880.1000000006</v>
      </c>
      <c r="Q8" s="591">
        <v>4293917.3500000006</v>
      </c>
      <c r="R8" s="591">
        <v>3604678.43</v>
      </c>
      <c r="S8" s="591">
        <v>0</v>
      </c>
      <c r="T8" s="591">
        <v>0</v>
      </c>
    </row>
    <row r="9" spans="1:21">
      <c r="A9" s="481">
        <v>1.1000000000000001</v>
      </c>
      <c r="B9" s="481" t="s">
        <v>657</v>
      </c>
      <c r="C9" s="594">
        <v>264950733.73999971</v>
      </c>
      <c r="D9" s="591">
        <v>234571259.04999965</v>
      </c>
      <c r="E9" s="591">
        <v>4928379.43</v>
      </c>
      <c r="F9" s="591">
        <v>0</v>
      </c>
      <c r="G9" s="591">
        <v>15986392.220000001</v>
      </c>
      <c r="H9" s="591">
        <v>132481.29999999999</v>
      </c>
      <c r="I9" s="591">
        <v>819109.34000000008</v>
      </c>
      <c r="J9" s="591">
        <v>0</v>
      </c>
      <c r="K9" s="591">
        <v>0</v>
      </c>
      <c r="L9" s="591">
        <v>14393082.469999995</v>
      </c>
      <c r="M9" s="591">
        <v>1120707.1099999996</v>
      </c>
      <c r="N9" s="591">
        <v>201810.47999999998</v>
      </c>
      <c r="O9" s="591">
        <v>1579332.2600000002</v>
      </c>
      <c r="P9" s="591">
        <v>1433671.6</v>
      </c>
      <c r="Q9" s="591">
        <v>1600936.27</v>
      </c>
      <c r="R9" s="591">
        <v>174962.06000000003</v>
      </c>
      <c r="S9" s="591">
        <v>0</v>
      </c>
      <c r="T9" s="591">
        <v>0</v>
      </c>
    </row>
    <row r="10" spans="1:21">
      <c r="A10" s="484" t="s">
        <v>252</v>
      </c>
      <c r="B10" s="484" t="s">
        <v>658</v>
      </c>
      <c r="C10" s="596">
        <v>893132038.15999901</v>
      </c>
      <c r="D10" s="591">
        <v>770696959.32999909</v>
      </c>
      <c r="E10" s="591">
        <v>20429307.91</v>
      </c>
      <c r="F10" s="591">
        <v>0</v>
      </c>
      <c r="G10" s="591">
        <v>84506053.520000011</v>
      </c>
      <c r="H10" s="591">
        <v>6369995.1199999992</v>
      </c>
      <c r="I10" s="591">
        <v>2634203.2200000002</v>
      </c>
      <c r="J10" s="591">
        <v>1068196.22</v>
      </c>
      <c r="K10" s="591">
        <v>0</v>
      </c>
      <c r="L10" s="591">
        <v>37929025.31000001</v>
      </c>
      <c r="M10" s="591">
        <v>3408605.0500000003</v>
      </c>
      <c r="N10" s="591">
        <v>537020.42000000004</v>
      </c>
      <c r="O10" s="591">
        <v>6467657.8099999996</v>
      </c>
      <c r="P10" s="591">
        <v>3255153.2900000005</v>
      </c>
      <c r="Q10" s="591">
        <v>4221392.9000000004</v>
      </c>
      <c r="R10" s="591">
        <v>3558757.91</v>
      </c>
      <c r="S10" s="591">
        <v>0</v>
      </c>
      <c r="T10" s="591">
        <v>0</v>
      </c>
    </row>
    <row r="11" spans="1:21">
      <c r="A11" s="485" t="s">
        <v>659</v>
      </c>
      <c r="B11" s="485" t="s">
        <v>660</v>
      </c>
      <c r="C11" s="597">
        <v>508075890.32000011</v>
      </c>
      <c r="D11" s="591">
        <v>443586073.37000006</v>
      </c>
      <c r="E11" s="591">
        <v>11256592.640000002</v>
      </c>
      <c r="F11" s="591">
        <v>0</v>
      </c>
      <c r="G11" s="591">
        <v>44746025.179999985</v>
      </c>
      <c r="H11" s="591">
        <v>3588296.7499999995</v>
      </c>
      <c r="I11" s="591">
        <v>1559529.05</v>
      </c>
      <c r="J11" s="591">
        <v>1018909.78</v>
      </c>
      <c r="K11" s="591">
        <v>0</v>
      </c>
      <c r="L11" s="591">
        <v>19743791.770000003</v>
      </c>
      <c r="M11" s="591">
        <v>2581564.4499999997</v>
      </c>
      <c r="N11" s="591">
        <v>269076.57</v>
      </c>
      <c r="O11" s="591">
        <v>2381036.67</v>
      </c>
      <c r="P11" s="591">
        <v>2242927.7999999998</v>
      </c>
      <c r="Q11" s="591">
        <v>1013022.7000000001</v>
      </c>
      <c r="R11" s="591">
        <v>1408484.4600000002</v>
      </c>
      <c r="S11" s="591">
        <v>0</v>
      </c>
      <c r="T11" s="591">
        <v>0</v>
      </c>
    </row>
    <row r="12" spans="1:21">
      <c r="A12" s="485" t="s">
        <v>661</v>
      </c>
      <c r="B12" s="485" t="s">
        <v>662</v>
      </c>
      <c r="C12" s="597">
        <v>189890645.87999991</v>
      </c>
      <c r="D12" s="591">
        <v>157851143.83999985</v>
      </c>
      <c r="E12" s="591">
        <v>5832687.7599999998</v>
      </c>
      <c r="F12" s="591">
        <v>0</v>
      </c>
      <c r="G12" s="591">
        <v>25606983.5</v>
      </c>
      <c r="H12" s="591">
        <v>272424.13</v>
      </c>
      <c r="I12" s="591">
        <v>162418.53</v>
      </c>
      <c r="J12" s="591">
        <v>49286.44</v>
      </c>
      <c r="K12" s="591">
        <v>0</v>
      </c>
      <c r="L12" s="591">
        <v>6432518.5399999991</v>
      </c>
      <c r="M12" s="591">
        <v>334323.32999999996</v>
      </c>
      <c r="N12" s="591">
        <v>81398.289999999994</v>
      </c>
      <c r="O12" s="591">
        <v>229260.72999999998</v>
      </c>
      <c r="P12" s="591">
        <v>997518.77</v>
      </c>
      <c r="Q12" s="591">
        <v>1753720.95</v>
      </c>
      <c r="R12" s="591">
        <v>1506182.8599999999</v>
      </c>
      <c r="S12" s="591">
        <v>0</v>
      </c>
      <c r="T12" s="591">
        <v>0</v>
      </c>
    </row>
    <row r="13" spans="1:21">
      <c r="A13" s="485" t="s">
        <v>663</v>
      </c>
      <c r="B13" s="485" t="s">
        <v>664</v>
      </c>
      <c r="C13" s="597">
        <v>73502307.350000054</v>
      </c>
      <c r="D13" s="591">
        <v>65961809.789999969</v>
      </c>
      <c r="E13" s="591">
        <v>2295377.9199999999</v>
      </c>
      <c r="F13" s="591">
        <v>0</v>
      </c>
      <c r="G13" s="591">
        <v>2588351.0799999996</v>
      </c>
      <c r="H13" s="591">
        <v>616355.26</v>
      </c>
      <c r="I13" s="591">
        <v>401377.56</v>
      </c>
      <c r="J13" s="591">
        <v>0</v>
      </c>
      <c r="K13" s="591">
        <v>0</v>
      </c>
      <c r="L13" s="591">
        <v>4952146.4799999995</v>
      </c>
      <c r="M13" s="591">
        <v>0</v>
      </c>
      <c r="N13" s="591">
        <v>0</v>
      </c>
      <c r="O13" s="591">
        <v>988172.86999999988</v>
      </c>
      <c r="P13" s="591">
        <v>0</v>
      </c>
      <c r="Q13" s="591">
        <v>698900.51</v>
      </c>
      <c r="R13" s="591">
        <v>165933.24</v>
      </c>
      <c r="S13" s="591">
        <v>0</v>
      </c>
      <c r="T13" s="591">
        <v>0</v>
      </c>
    </row>
    <row r="14" spans="1:21">
      <c r="A14" s="485" t="s">
        <v>665</v>
      </c>
      <c r="B14" s="485" t="s">
        <v>666</v>
      </c>
      <c r="C14" s="597">
        <v>121663194.61000006</v>
      </c>
      <c r="D14" s="591">
        <v>103297932.33000007</v>
      </c>
      <c r="E14" s="591">
        <v>1044649.5900000001</v>
      </c>
      <c r="F14" s="591">
        <v>0</v>
      </c>
      <c r="G14" s="591">
        <v>11564693.76</v>
      </c>
      <c r="H14" s="591">
        <v>1892918.98</v>
      </c>
      <c r="I14" s="591">
        <v>510878.08</v>
      </c>
      <c r="J14" s="591">
        <v>0</v>
      </c>
      <c r="K14" s="591">
        <v>0</v>
      </c>
      <c r="L14" s="591">
        <v>6800568.5199999996</v>
      </c>
      <c r="M14" s="591">
        <v>492717.27</v>
      </c>
      <c r="N14" s="591">
        <v>186545.56</v>
      </c>
      <c r="O14" s="591">
        <v>2869187.54</v>
      </c>
      <c r="P14" s="591">
        <v>14706.72</v>
      </c>
      <c r="Q14" s="591">
        <v>755748.74</v>
      </c>
      <c r="R14" s="591">
        <v>478157.35</v>
      </c>
      <c r="S14" s="591">
        <v>0</v>
      </c>
      <c r="T14" s="591">
        <v>0</v>
      </c>
    </row>
    <row r="15" spans="1:21">
      <c r="A15" s="486">
        <v>1.2</v>
      </c>
      <c r="B15" s="486" t="s">
        <v>667</v>
      </c>
      <c r="C15" s="598">
        <v>11410381.130000019</v>
      </c>
      <c r="D15" s="591">
        <v>4691425.3899999969</v>
      </c>
      <c r="E15" s="591">
        <v>98567.549999999974</v>
      </c>
      <c r="F15" s="591">
        <v>0</v>
      </c>
      <c r="G15" s="591">
        <v>1598639.3799999997</v>
      </c>
      <c r="H15" s="591">
        <v>13248.13</v>
      </c>
      <c r="I15" s="591">
        <v>81910.95</v>
      </c>
      <c r="J15" s="591">
        <v>0</v>
      </c>
      <c r="K15" s="591">
        <v>0</v>
      </c>
      <c r="L15" s="591">
        <v>5120316.3599999985</v>
      </c>
      <c r="M15" s="591">
        <v>390858.25</v>
      </c>
      <c r="N15" s="591">
        <v>87481.11</v>
      </c>
      <c r="O15" s="591">
        <v>672666.35</v>
      </c>
      <c r="P15" s="591">
        <v>480921.65000000008</v>
      </c>
      <c r="Q15" s="591">
        <v>800468.15999999992</v>
      </c>
      <c r="R15" s="591">
        <v>87481.040000000023</v>
      </c>
      <c r="S15" s="591">
        <v>0</v>
      </c>
      <c r="T15" s="591">
        <v>0</v>
      </c>
    </row>
    <row r="16" spans="1:21">
      <c r="A16" s="481">
        <v>1.3</v>
      </c>
      <c r="B16" s="486" t="s">
        <v>668</v>
      </c>
      <c r="C16" s="487"/>
      <c r="D16" s="487"/>
      <c r="E16" s="487"/>
      <c r="F16" s="487"/>
      <c r="G16" s="487"/>
      <c r="H16" s="487"/>
      <c r="I16" s="487"/>
      <c r="J16" s="487"/>
      <c r="K16" s="487"/>
      <c r="L16" s="487"/>
      <c r="M16" s="487"/>
      <c r="N16" s="487"/>
      <c r="O16" s="487"/>
      <c r="P16" s="487"/>
      <c r="Q16" s="487"/>
      <c r="R16" s="487"/>
      <c r="S16" s="487"/>
      <c r="T16" s="487"/>
    </row>
    <row r="17" spans="1:20" ht="25.5">
      <c r="A17" s="488" t="s">
        <v>669</v>
      </c>
      <c r="B17" s="489" t="s">
        <v>670</v>
      </c>
      <c r="C17" s="599">
        <v>951139492.72000134</v>
      </c>
      <c r="D17" s="592">
        <v>828361489.69000053</v>
      </c>
      <c r="E17" s="592">
        <v>21055042.530000005</v>
      </c>
      <c r="F17" s="592">
        <v>499995.37</v>
      </c>
      <c r="G17" s="592">
        <v>84852777.009999961</v>
      </c>
      <c r="H17" s="592">
        <v>6486537.0599999987</v>
      </c>
      <c r="I17" s="592">
        <v>2789588.8299999996</v>
      </c>
      <c r="J17" s="592">
        <v>1150504.8599999999</v>
      </c>
      <c r="K17" s="592">
        <v>0</v>
      </c>
      <c r="L17" s="592">
        <v>37925226.020000003</v>
      </c>
      <c r="M17" s="592">
        <v>3390527.04</v>
      </c>
      <c r="N17" s="592">
        <v>523228.77</v>
      </c>
      <c r="O17" s="592">
        <v>6301501.71</v>
      </c>
      <c r="P17" s="592">
        <v>3338888.3500000006</v>
      </c>
      <c r="Q17" s="592">
        <v>4251689.95</v>
      </c>
      <c r="R17" s="592">
        <v>3590694.5</v>
      </c>
      <c r="S17" s="592">
        <v>0</v>
      </c>
      <c r="T17" s="592">
        <v>0</v>
      </c>
    </row>
    <row r="18" spans="1:20" ht="25.5">
      <c r="A18" s="490" t="s">
        <v>671</v>
      </c>
      <c r="B18" s="490" t="s">
        <v>672</v>
      </c>
      <c r="C18" s="600">
        <v>840584967.63999987</v>
      </c>
      <c r="D18" s="592">
        <v>721986021.75999939</v>
      </c>
      <c r="E18" s="592">
        <v>20215733.379999999</v>
      </c>
      <c r="F18" s="592">
        <v>0</v>
      </c>
      <c r="G18" s="592">
        <v>82101126.270000011</v>
      </c>
      <c r="H18" s="592">
        <v>5930951.4799999986</v>
      </c>
      <c r="I18" s="592">
        <v>2569155.14</v>
      </c>
      <c r="J18" s="592">
        <v>1068196.22</v>
      </c>
      <c r="K18" s="592">
        <v>0</v>
      </c>
      <c r="L18" s="592">
        <v>36497819.610000014</v>
      </c>
      <c r="M18" s="592">
        <v>3358696.5599999996</v>
      </c>
      <c r="N18" s="592">
        <v>523228.77</v>
      </c>
      <c r="O18" s="592">
        <v>5799530.8900000006</v>
      </c>
      <c r="P18" s="592">
        <v>3245580.3700000006</v>
      </c>
      <c r="Q18" s="592">
        <v>4033751.16</v>
      </c>
      <c r="R18" s="592">
        <v>3353802.7800000007</v>
      </c>
      <c r="S18" s="592">
        <v>0</v>
      </c>
      <c r="T18" s="592">
        <v>0</v>
      </c>
    </row>
    <row r="19" spans="1:20">
      <c r="A19" s="488" t="s">
        <v>673</v>
      </c>
      <c r="B19" s="488" t="s">
        <v>674</v>
      </c>
      <c r="C19" s="601">
        <v>932543015.35000205</v>
      </c>
      <c r="D19" s="592">
        <v>818163648.0500015</v>
      </c>
      <c r="E19" s="592">
        <v>13484187.220000001</v>
      </c>
      <c r="F19" s="592">
        <v>4.6300000000046566</v>
      </c>
      <c r="G19" s="592">
        <v>74411264.129999951</v>
      </c>
      <c r="H19" s="592">
        <v>7216680.21</v>
      </c>
      <c r="I19" s="592">
        <v>2557829.7100000004</v>
      </c>
      <c r="J19" s="592">
        <v>1072534.3500000001</v>
      </c>
      <c r="K19" s="592">
        <v>0</v>
      </c>
      <c r="L19" s="592">
        <v>39968103.169999994</v>
      </c>
      <c r="M19" s="592">
        <v>5849584.870000001</v>
      </c>
      <c r="N19" s="592">
        <v>1060549.8600000001</v>
      </c>
      <c r="O19" s="592">
        <v>2858136.19</v>
      </c>
      <c r="P19" s="592">
        <v>3834067.74</v>
      </c>
      <c r="Q19" s="592">
        <v>4179802.6199999992</v>
      </c>
      <c r="R19" s="592">
        <v>3323510.7100000009</v>
      </c>
      <c r="S19" s="592">
        <v>0</v>
      </c>
      <c r="T19" s="592">
        <v>0</v>
      </c>
    </row>
    <row r="20" spans="1:20">
      <c r="A20" s="490" t="s">
        <v>675</v>
      </c>
      <c r="B20" s="490" t="s">
        <v>676</v>
      </c>
      <c r="C20" s="600">
        <v>814835716.14000237</v>
      </c>
      <c r="D20" s="592">
        <v>706754147.28000164</v>
      </c>
      <c r="E20" s="592">
        <v>12556750.740000002</v>
      </c>
      <c r="F20" s="592">
        <v>0</v>
      </c>
      <c r="G20" s="592">
        <v>70850133.169999957</v>
      </c>
      <c r="H20" s="592">
        <v>6865895.1500000004</v>
      </c>
      <c r="I20" s="592">
        <v>1680904.26</v>
      </c>
      <c r="J20" s="592">
        <v>871126.63000000012</v>
      </c>
      <c r="K20" s="592">
        <v>0</v>
      </c>
      <c r="L20" s="592">
        <v>37231435.68999999</v>
      </c>
      <c r="M20" s="592">
        <v>5480271.0600000005</v>
      </c>
      <c r="N20" s="592">
        <v>1060549.8600000001</v>
      </c>
      <c r="O20" s="592">
        <v>2345937.17</v>
      </c>
      <c r="P20" s="592">
        <v>3737732.57</v>
      </c>
      <c r="Q20" s="592">
        <v>3736758.4</v>
      </c>
      <c r="R20" s="592">
        <v>3098810.4899999998</v>
      </c>
      <c r="S20" s="592">
        <v>0</v>
      </c>
      <c r="T20" s="592">
        <v>0</v>
      </c>
    </row>
    <row r="21" spans="1:20">
      <c r="A21" s="491">
        <v>1.4</v>
      </c>
      <c r="B21" s="498" t="s">
        <v>709</v>
      </c>
      <c r="C21" s="602">
        <v>30141492.049999993</v>
      </c>
      <c r="D21" s="592">
        <v>29998185.249999996</v>
      </c>
      <c r="E21" s="592">
        <v>49859.72</v>
      </c>
      <c r="F21" s="592">
        <v>0</v>
      </c>
      <c r="G21" s="592">
        <v>124782.5</v>
      </c>
      <c r="H21" s="592">
        <v>0</v>
      </c>
      <c r="I21" s="592">
        <v>84328.79</v>
      </c>
      <c r="J21" s="592">
        <v>0</v>
      </c>
      <c r="K21" s="592">
        <v>0</v>
      </c>
      <c r="L21" s="592">
        <v>18524.3</v>
      </c>
      <c r="M21" s="592">
        <v>18524.3</v>
      </c>
      <c r="N21" s="592">
        <v>0</v>
      </c>
      <c r="O21" s="592">
        <v>0</v>
      </c>
      <c r="P21" s="592">
        <v>0</v>
      </c>
      <c r="Q21" s="592">
        <v>0</v>
      </c>
      <c r="R21" s="592">
        <v>0</v>
      </c>
      <c r="S21" s="592">
        <v>0</v>
      </c>
      <c r="T21" s="592">
        <v>0</v>
      </c>
    </row>
    <row r="22" spans="1:20">
      <c r="A22" s="491">
        <v>1.5</v>
      </c>
      <c r="B22" s="498" t="s">
        <v>710</v>
      </c>
      <c r="C22" s="602">
        <v>0</v>
      </c>
      <c r="D22" s="592">
        <v>0</v>
      </c>
      <c r="E22" s="592">
        <v>0</v>
      </c>
      <c r="F22" s="592">
        <v>0</v>
      </c>
      <c r="G22" s="592">
        <v>0</v>
      </c>
      <c r="H22" s="592">
        <v>0</v>
      </c>
      <c r="I22" s="592">
        <v>0</v>
      </c>
      <c r="J22" s="592">
        <v>0</v>
      </c>
      <c r="K22" s="592">
        <v>0</v>
      </c>
      <c r="L22" s="592">
        <v>0</v>
      </c>
      <c r="M22" s="592">
        <v>0</v>
      </c>
      <c r="N22" s="592">
        <v>0</v>
      </c>
      <c r="O22" s="592">
        <v>0</v>
      </c>
      <c r="P22" s="592">
        <v>0</v>
      </c>
      <c r="Q22" s="592">
        <v>0</v>
      </c>
      <c r="R22" s="592">
        <v>0</v>
      </c>
      <c r="S22" s="592">
        <v>0</v>
      </c>
      <c r="T22" s="592">
        <v>0</v>
      </c>
    </row>
  </sheetData>
  <mergeCells count="6">
    <mergeCell ref="A5:B7"/>
    <mergeCell ref="D6:F6"/>
    <mergeCell ref="G6:K6"/>
    <mergeCell ref="L6:T6"/>
    <mergeCell ref="C6:C7"/>
    <mergeCell ref="C5:T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D8" zoomScale="90" zoomScaleNormal="90" workbookViewId="0">
      <selection activeCell="B1" sqref="B1"/>
    </sheetView>
  </sheetViews>
  <sheetFormatPr defaultColWidth="9.140625" defaultRowHeight="12.75"/>
  <cols>
    <col min="1" max="1" width="11.85546875" style="443" bestFit="1" customWidth="1"/>
    <col min="2" max="2" width="93.42578125" style="443" customWidth="1"/>
    <col min="3" max="3" width="16.5703125" style="443" bestFit="1" customWidth="1"/>
    <col min="4" max="4" width="15.42578125" style="443" bestFit="1" customWidth="1"/>
    <col min="5" max="5" width="15" style="443" bestFit="1" customWidth="1"/>
    <col min="6" max="6" width="18" style="475" bestFit="1" customWidth="1"/>
    <col min="7" max="7" width="13.85546875" style="475" bestFit="1" customWidth="1"/>
    <col min="8" max="8" width="13.42578125" style="443" bestFit="1" customWidth="1"/>
    <col min="9" max="9" width="11.5703125" style="443" bestFit="1" customWidth="1"/>
    <col min="10" max="10" width="14.85546875" style="475" bestFit="1" customWidth="1"/>
    <col min="11" max="11" width="13.85546875" style="475" bestFit="1" customWidth="1"/>
    <col min="12" max="12" width="18" style="475" bestFit="1" customWidth="1"/>
    <col min="13" max="13" width="13.7109375" style="475" bestFit="1" customWidth="1"/>
    <col min="14" max="14" width="13.42578125" style="475" bestFit="1" customWidth="1"/>
    <col min="15" max="15" width="19" style="443" bestFit="1" customWidth="1"/>
    <col min="16" max="16384" width="9.140625" style="443"/>
  </cols>
  <sheetData>
    <row r="1" spans="1:15">
      <c r="A1" s="442" t="s">
        <v>188</v>
      </c>
      <c r="B1" s="624" t="str">
        <f>'1. key ratios'!B1</f>
        <v>ს.ს. "ტერაბანკი"</v>
      </c>
      <c r="F1" s="443"/>
      <c r="G1" s="443"/>
      <c r="J1" s="443"/>
      <c r="K1" s="443"/>
      <c r="L1" s="443"/>
      <c r="M1" s="443"/>
      <c r="N1" s="443"/>
    </row>
    <row r="2" spans="1:15">
      <c r="A2" s="442" t="s">
        <v>189</v>
      </c>
      <c r="F2" s="443"/>
      <c r="G2" s="443"/>
      <c r="J2" s="443"/>
      <c r="K2" s="443"/>
      <c r="L2" s="443"/>
      <c r="M2" s="443"/>
      <c r="N2" s="443"/>
    </row>
    <row r="3" spans="1:15">
      <c r="A3" s="444" t="s">
        <v>679</v>
      </c>
      <c r="B3" s="445">
        <f>'1. key ratios'!B2</f>
        <v>44926</v>
      </c>
      <c r="F3" s="443"/>
      <c r="G3" s="443"/>
      <c r="J3" s="443"/>
      <c r="K3" s="443"/>
      <c r="L3" s="443"/>
      <c r="M3" s="443"/>
      <c r="N3" s="443"/>
    </row>
    <row r="4" spans="1:15">
      <c r="F4" s="443"/>
      <c r="G4" s="443"/>
      <c r="J4" s="443"/>
      <c r="K4" s="443"/>
      <c r="L4" s="443"/>
      <c r="M4" s="443"/>
      <c r="N4" s="443"/>
    </row>
    <row r="5" spans="1:15" ht="37.5" customHeight="1">
      <c r="A5" s="673" t="s">
        <v>680</v>
      </c>
      <c r="B5" s="674"/>
      <c r="C5" s="718" t="s">
        <v>681</v>
      </c>
      <c r="D5" s="719"/>
      <c r="E5" s="719"/>
      <c r="F5" s="719"/>
      <c r="G5" s="719"/>
      <c r="H5" s="720"/>
      <c r="I5" s="718" t="s">
        <v>682</v>
      </c>
      <c r="J5" s="721"/>
      <c r="K5" s="721"/>
      <c r="L5" s="721"/>
      <c r="M5" s="721"/>
      <c r="N5" s="722"/>
      <c r="O5" s="723" t="s">
        <v>552</v>
      </c>
    </row>
    <row r="6" spans="1:15" ht="39.6" customHeight="1">
      <c r="A6" s="677"/>
      <c r="B6" s="678"/>
      <c r="C6" s="492"/>
      <c r="D6" s="493" t="s">
        <v>683</v>
      </c>
      <c r="E6" s="493" t="s">
        <v>684</v>
      </c>
      <c r="F6" s="493" t="s">
        <v>685</v>
      </c>
      <c r="G6" s="493" t="s">
        <v>686</v>
      </c>
      <c r="H6" s="493" t="s">
        <v>687</v>
      </c>
      <c r="I6" s="478"/>
      <c r="J6" s="493" t="s">
        <v>683</v>
      </c>
      <c r="K6" s="493" t="s">
        <v>684</v>
      </c>
      <c r="L6" s="493" t="s">
        <v>685</v>
      </c>
      <c r="M6" s="493" t="s">
        <v>686</v>
      </c>
      <c r="N6" s="493" t="s">
        <v>687</v>
      </c>
      <c r="O6" s="724"/>
    </row>
    <row r="7" spans="1:15" ht="15">
      <c r="A7" s="457">
        <v>1</v>
      </c>
      <c r="B7" s="463" t="s">
        <v>562</v>
      </c>
      <c r="C7" s="607">
        <v>66315270.828199998</v>
      </c>
      <c r="D7" s="608">
        <v>62126983.022099994</v>
      </c>
      <c r="E7" s="608">
        <v>2157616.3680000002</v>
      </c>
      <c r="F7" s="608">
        <v>1329418.3421</v>
      </c>
      <c r="G7" s="608">
        <v>419638.08669999999</v>
      </c>
      <c r="H7" s="608">
        <v>281615.00929999998</v>
      </c>
      <c r="I7" s="609">
        <v>2348561.3654</v>
      </c>
      <c r="J7" s="608">
        <v>1242540.0297999999</v>
      </c>
      <c r="K7" s="608">
        <v>215761.66740000001</v>
      </c>
      <c r="L7" s="608">
        <v>398825.52710000001</v>
      </c>
      <c r="M7" s="608">
        <v>209819.1318</v>
      </c>
      <c r="N7" s="608">
        <v>281615.00929999998</v>
      </c>
      <c r="O7" s="608">
        <v>402738.61847094155</v>
      </c>
    </row>
    <row r="8" spans="1:15">
      <c r="A8" s="457">
        <v>2</v>
      </c>
      <c r="B8" s="463" t="s">
        <v>563</v>
      </c>
      <c r="C8" s="603">
        <v>31436433.688099999</v>
      </c>
      <c r="D8" s="591">
        <v>30292962.699000001</v>
      </c>
      <c r="E8" s="591">
        <v>651017.04150000005</v>
      </c>
      <c r="F8" s="604">
        <v>186886.25529999999</v>
      </c>
      <c r="G8" s="604">
        <v>195998.8645</v>
      </c>
      <c r="H8" s="591">
        <v>109568.8278</v>
      </c>
      <c r="I8" s="591">
        <v>934595.147</v>
      </c>
      <c r="J8" s="604">
        <v>605859.24190000002</v>
      </c>
      <c r="K8" s="604">
        <v>65101.739199999996</v>
      </c>
      <c r="L8" s="604">
        <v>56065.868900000001</v>
      </c>
      <c r="M8" s="604">
        <v>97999.469199999992</v>
      </c>
      <c r="N8" s="604">
        <v>109568.8278</v>
      </c>
      <c r="O8" s="591">
        <v>87501.704584897365</v>
      </c>
    </row>
    <row r="9" spans="1:15">
      <c r="A9" s="457">
        <v>3</v>
      </c>
      <c r="B9" s="463" t="s">
        <v>564</v>
      </c>
      <c r="C9" s="603">
        <v>28393919.565099999</v>
      </c>
      <c r="D9" s="591">
        <v>28393919.565099999</v>
      </c>
      <c r="E9" s="591">
        <v>0</v>
      </c>
      <c r="F9" s="605">
        <v>0</v>
      </c>
      <c r="G9" s="605">
        <v>0</v>
      </c>
      <c r="H9" s="591">
        <v>0</v>
      </c>
      <c r="I9" s="591">
        <v>567878.38920000009</v>
      </c>
      <c r="J9" s="605">
        <v>567878.38920000009</v>
      </c>
      <c r="K9" s="605">
        <v>0</v>
      </c>
      <c r="L9" s="605">
        <v>0</v>
      </c>
      <c r="M9" s="605">
        <v>0</v>
      </c>
      <c r="N9" s="605">
        <v>0</v>
      </c>
      <c r="O9" s="591">
        <v>102.90262074308258</v>
      </c>
    </row>
    <row r="10" spans="1:15">
      <c r="A10" s="457">
        <v>4</v>
      </c>
      <c r="B10" s="463" t="s">
        <v>565</v>
      </c>
      <c r="C10" s="603">
        <v>95873575.891100004</v>
      </c>
      <c r="D10" s="591">
        <v>90260190.093400016</v>
      </c>
      <c r="E10" s="591">
        <v>3721217.4753999999</v>
      </c>
      <c r="F10" s="605">
        <v>1859415.379</v>
      </c>
      <c r="G10" s="605">
        <v>0</v>
      </c>
      <c r="H10" s="591">
        <v>32752.943300000003</v>
      </c>
      <c r="I10" s="591">
        <v>2767903.2069999999</v>
      </c>
      <c r="J10" s="605">
        <v>1805203.8683</v>
      </c>
      <c r="K10" s="605">
        <v>372121.75460000004</v>
      </c>
      <c r="L10" s="605">
        <v>557824.64080000005</v>
      </c>
      <c r="M10" s="605">
        <v>0</v>
      </c>
      <c r="N10" s="605">
        <v>32752.943300000003</v>
      </c>
      <c r="O10" s="591">
        <v>33567.788137106116</v>
      </c>
    </row>
    <row r="11" spans="1:15">
      <c r="A11" s="457">
        <v>5</v>
      </c>
      <c r="B11" s="463" t="s">
        <v>566</v>
      </c>
      <c r="C11" s="603">
        <v>77440071.796499982</v>
      </c>
      <c r="D11" s="591">
        <v>59537611.056599997</v>
      </c>
      <c r="E11" s="591">
        <v>14990561.992899999</v>
      </c>
      <c r="F11" s="605">
        <v>1360213.1923</v>
      </c>
      <c r="G11" s="605">
        <v>1549961.8447</v>
      </c>
      <c r="H11" s="591">
        <v>1723.71</v>
      </c>
      <c r="I11" s="591">
        <v>3874577.0884000002</v>
      </c>
      <c r="J11" s="605">
        <v>1190752.2418000002</v>
      </c>
      <c r="K11" s="605">
        <v>1499056.2232000001</v>
      </c>
      <c r="L11" s="605">
        <v>408063.98099999997</v>
      </c>
      <c r="M11" s="605">
        <v>774980.93239999993</v>
      </c>
      <c r="N11" s="605">
        <v>1723.71</v>
      </c>
      <c r="O11" s="591">
        <v>34395.475208202719</v>
      </c>
    </row>
    <row r="12" spans="1:15">
      <c r="A12" s="457">
        <v>6</v>
      </c>
      <c r="B12" s="463" t="s">
        <v>567</v>
      </c>
      <c r="C12" s="603">
        <v>26075378.808499999</v>
      </c>
      <c r="D12" s="591">
        <v>16008832.4307</v>
      </c>
      <c r="E12" s="591">
        <v>8634198.4416000005</v>
      </c>
      <c r="F12" s="605">
        <v>1087005.05</v>
      </c>
      <c r="G12" s="605">
        <v>337192.63620000001</v>
      </c>
      <c r="H12" s="591">
        <v>8150.25</v>
      </c>
      <c r="I12" s="591">
        <v>1686444.5804999999</v>
      </c>
      <c r="J12" s="605">
        <v>320176.63500000001</v>
      </c>
      <c r="K12" s="605">
        <v>863419.82889999996</v>
      </c>
      <c r="L12" s="605">
        <v>326101.52</v>
      </c>
      <c r="M12" s="605">
        <v>168596.34660000002</v>
      </c>
      <c r="N12" s="605">
        <v>8150.25</v>
      </c>
      <c r="O12" s="591">
        <v>26362.523733919505</v>
      </c>
    </row>
    <row r="13" spans="1:15">
      <c r="A13" s="457">
        <v>7</v>
      </c>
      <c r="B13" s="463" t="s">
        <v>568</v>
      </c>
      <c r="C13" s="603">
        <v>64604648.321200006</v>
      </c>
      <c r="D13" s="591">
        <v>62839125.542000003</v>
      </c>
      <c r="E13" s="591">
        <v>563514.02309999999</v>
      </c>
      <c r="F13" s="605">
        <v>197215.7916</v>
      </c>
      <c r="G13" s="605">
        <v>996315.15450000006</v>
      </c>
      <c r="H13" s="591">
        <v>8477.81</v>
      </c>
      <c r="I13" s="591">
        <v>1878933.9728000001</v>
      </c>
      <c r="J13" s="605">
        <v>1256782.4018999999</v>
      </c>
      <c r="K13" s="605">
        <v>56351.411799999994</v>
      </c>
      <c r="L13" s="605">
        <v>59164.748299999999</v>
      </c>
      <c r="M13" s="605">
        <v>498157.60080000001</v>
      </c>
      <c r="N13" s="605">
        <v>8477.81</v>
      </c>
      <c r="O13" s="591">
        <v>1415.2770369022801</v>
      </c>
    </row>
    <row r="14" spans="1:15">
      <c r="A14" s="457">
        <v>8</v>
      </c>
      <c r="B14" s="463" t="s">
        <v>569</v>
      </c>
      <c r="C14" s="603">
        <v>46938137.031800009</v>
      </c>
      <c r="D14" s="591">
        <v>43985516.686800003</v>
      </c>
      <c r="E14" s="591">
        <v>1914495.6021999998</v>
      </c>
      <c r="F14" s="605">
        <v>845217.9628000001</v>
      </c>
      <c r="G14" s="605">
        <v>178528.24</v>
      </c>
      <c r="H14" s="591">
        <v>14378.54</v>
      </c>
      <c r="I14" s="591">
        <v>1428368.0362999998</v>
      </c>
      <c r="J14" s="605">
        <v>879710.36170000001</v>
      </c>
      <c r="K14" s="605">
        <v>191449.58600000001</v>
      </c>
      <c r="L14" s="605">
        <v>253565.4086</v>
      </c>
      <c r="M14" s="605">
        <v>89264.14</v>
      </c>
      <c r="N14" s="605">
        <v>14378.54</v>
      </c>
      <c r="O14" s="591">
        <v>1316.641425731952</v>
      </c>
    </row>
    <row r="15" spans="1:15">
      <c r="A15" s="457">
        <v>9</v>
      </c>
      <c r="B15" s="463" t="s">
        <v>570</v>
      </c>
      <c r="C15" s="603">
        <v>31054368.1809</v>
      </c>
      <c r="D15" s="591">
        <v>30819096.840599999</v>
      </c>
      <c r="E15" s="591">
        <v>223499.01029999999</v>
      </c>
      <c r="F15" s="605">
        <v>2730.19</v>
      </c>
      <c r="G15" s="605">
        <v>0</v>
      </c>
      <c r="H15" s="591">
        <v>9042.14</v>
      </c>
      <c r="I15" s="591">
        <v>648593.09140000003</v>
      </c>
      <c r="J15" s="605">
        <v>616382.00119999994</v>
      </c>
      <c r="K15" s="605">
        <v>22349.890200000002</v>
      </c>
      <c r="L15" s="605">
        <v>819.06</v>
      </c>
      <c r="M15" s="605">
        <v>0</v>
      </c>
      <c r="N15" s="605">
        <v>9042.14</v>
      </c>
      <c r="O15" s="591">
        <v>68.906666659076791</v>
      </c>
    </row>
    <row r="16" spans="1:15">
      <c r="A16" s="457">
        <v>10</v>
      </c>
      <c r="B16" s="463" t="s">
        <v>571</v>
      </c>
      <c r="C16" s="603">
        <v>16410956.7513</v>
      </c>
      <c r="D16" s="591">
        <v>10811416.6395</v>
      </c>
      <c r="E16" s="591">
        <v>4897647.9328999994</v>
      </c>
      <c r="F16" s="605">
        <v>0</v>
      </c>
      <c r="G16" s="605">
        <v>701892.17890000006</v>
      </c>
      <c r="H16" s="591">
        <v>0</v>
      </c>
      <c r="I16" s="591">
        <v>1056939.2298999999</v>
      </c>
      <c r="J16" s="605">
        <v>216228.33409999998</v>
      </c>
      <c r="K16" s="605">
        <v>489764.8014</v>
      </c>
      <c r="L16" s="605">
        <v>0</v>
      </c>
      <c r="M16" s="605">
        <v>350946.0944</v>
      </c>
      <c r="N16" s="605">
        <v>0</v>
      </c>
      <c r="O16" s="591">
        <v>157.89913474620434</v>
      </c>
    </row>
    <row r="17" spans="1:15">
      <c r="A17" s="457">
        <v>11</v>
      </c>
      <c r="B17" s="463" t="s">
        <v>572</v>
      </c>
      <c r="C17" s="603">
        <v>8548468.7429000009</v>
      </c>
      <c r="D17" s="591">
        <v>6978397.3052000012</v>
      </c>
      <c r="E17" s="591">
        <v>885286.13249999995</v>
      </c>
      <c r="F17" s="605">
        <v>39229.949999999997</v>
      </c>
      <c r="G17" s="605">
        <v>645555.35519999999</v>
      </c>
      <c r="H17" s="591">
        <v>0</v>
      </c>
      <c r="I17" s="591">
        <v>562643.32239999995</v>
      </c>
      <c r="J17" s="605">
        <v>139568.01699999999</v>
      </c>
      <c r="K17" s="605">
        <v>88528.637799999997</v>
      </c>
      <c r="L17" s="605">
        <v>11768.99</v>
      </c>
      <c r="M17" s="605">
        <v>322777.6776</v>
      </c>
      <c r="N17" s="605">
        <v>0</v>
      </c>
      <c r="O17" s="591">
        <v>94.509891271165813</v>
      </c>
    </row>
    <row r="18" spans="1:15">
      <c r="A18" s="457">
        <v>12</v>
      </c>
      <c r="B18" s="463" t="s">
        <v>573</v>
      </c>
      <c r="C18" s="603">
        <v>67983308.254299998</v>
      </c>
      <c r="D18" s="591">
        <v>57842926.632999994</v>
      </c>
      <c r="E18" s="591">
        <v>5809797.1952999998</v>
      </c>
      <c r="F18" s="605">
        <v>2507425.9313000003</v>
      </c>
      <c r="G18" s="605">
        <v>1734809.7568000001</v>
      </c>
      <c r="H18" s="591">
        <v>88348.737900000007</v>
      </c>
      <c r="I18" s="591">
        <v>3376168.1411999995</v>
      </c>
      <c r="J18" s="605">
        <v>1087206.8062999998</v>
      </c>
      <c r="K18" s="605">
        <v>580979.79749999999</v>
      </c>
      <c r="L18" s="605">
        <v>752227.82400000002</v>
      </c>
      <c r="M18" s="605">
        <v>867404.97549999994</v>
      </c>
      <c r="N18" s="605">
        <v>88348.737900000007</v>
      </c>
      <c r="O18" s="591">
        <v>62210.861120829803</v>
      </c>
    </row>
    <row r="19" spans="1:15">
      <c r="A19" s="457">
        <v>13</v>
      </c>
      <c r="B19" s="463" t="s">
        <v>574</v>
      </c>
      <c r="C19" s="603">
        <v>16436210.552100001</v>
      </c>
      <c r="D19" s="591">
        <v>14361892.477700001</v>
      </c>
      <c r="E19" s="591">
        <v>863804.82039999997</v>
      </c>
      <c r="F19" s="605">
        <v>708469.68180000002</v>
      </c>
      <c r="G19" s="605">
        <v>496719.60220000002</v>
      </c>
      <c r="H19" s="591">
        <v>5323.97</v>
      </c>
      <c r="I19" s="591">
        <v>839843.07990000001</v>
      </c>
      <c r="J19" s="605">
        <v>287237.86080000002</v>
      </c>
      <c r="K19" s="605">
        <v>86380.515000000014</v>
      </c>
      <c r="L19" s="605">
        <v>212540.91450000001</v>
      </c>
      <c r="M19" s="605">
        <v>248359.81960000002</v>
      </c>
      <c r="N19" s="605">
        <v>5323.97</v>
      </c>
      <c r="O19" s="591">
        <v>9427.1623437135913</v>
      </c>
    </row>
    <row r="20" spans="1:15">
      <c r="A20" s="457">
        <v>14</v>
      </c>
      <c r="B20" s="463" t="s">
        <v>575</v>
      </c>
      <c r="C20" s="603">
        <v>93963820.1646</v>
      </c>
      <c r="D20" s="591">
        <v>74911289.848099992</v>
      </c>
      <c r="E20" s="591">
        <v>12798101.8082</v>
      </c>
      <c r="F20" s="605">
        <v>5346772.1945000002</v>
      </c>
      <c r="G20" s="605">
        <v>717789.08310000005</v>
      </c>
      <c r="H20" s="591">
        <v>189867.23070000001</v>
      </c>
      <c r="I20" s="591">
        <v>4794363.2849999992</v>
      </c>
      <c r="J20" s="605">
        <v>1361759.5112999999</v>
      </c>
      <c r="K20" s="605">
        <v>1279810.2875000001</v>
      </c>
      <c r="L20" s="605">
        <v>1604031.7004999998</v>
      </c>
      <c r="M20" s="605">
        <v>358894.55499999999</v>
      </c>
      <c r="N20" s="605">
        <v>189867.23070000001</v>
      </c>
      <c r="O20" s="591">
        <v>15892.008409872917</v>
      </c>
    </row>
    <row r="21" spans="1:15">
      <c r="A21" s="457">
        <v>15</v>
      </c>
      <c r="B21" s="463" t="s">
        <v>576</v>
      </c>
      <c r="C21" s="603">
        <v>30508098.5931</v>
      </c>
      <c r="D21" s="591">
        <v>17744013.1635</v>
      </c>
      <c r="E21" s="591">
        <v>11778802.8718</v>
      </c>
      <c r="F21" s="605">
        <v>865142.04779999994</v>
      </c>
      <c r="G21" s="605">
        <v>108863.77</v>
      </c>
      <c r="H21" s="591">
        <v>11276.74</v>
      </c>
      <c r="I21" s="591">
        <v>1858011.8383999998</v>
      </c>
      <c r="J21" s="605">
        <v>354880.23739999998</v>
      </c>
      <c r="K21" s="605">
        <v>1177880.3621999999</v>
      </c>
      <c r="L21" s="605">
        <v>259542.59880000004</v>
      </c>
      <c r="M21" s="605">
        <v>54431.9</v>
      </c>
      <c r="N21" s="605">
        <v>11276.74</v>
      </c>
      <c r="O21" s="591">
        <v>5711.4299391857367</v>
      </c>
    </row>
    <row r="22" spans="1:15">
      <c r="A22" s="457">
        <v>16</v>
      </c>
      <c r="B22" s="463" t="s">
        <v>577</v>
      </c>
      <c r="C22" s="603">
        <v>397610.25770000002</v>
      </c>
      <c r="D22" s="591">
        <v>315646.66080000001</v>
      </c>
      <c r="E22" s="591">
        <v>81963.596900000004</v>
      </c>
      <c r="F22" s="605">
        <v>0</v>
      </c>
      <c r="G22" s="605">
        <v>0</v>
      </c>
      <c r="H22" s="591">
        <v>0</v>
      </c>
      <c r="I22" s="591">
        <v>14509.306700000001</v>
      </c>
      <c r="J22" s="605">
        <v>6312.9295000000002</v>
      </c>
      <c r="K22" s="605">
        <v>8196.3772000000008</v>
      </c>
      <c r="L22" s="605">
        <v>0</v>
      </c>
      <c r="M22" s="605">
        <v>0</v>
      </c>
      <c r="N22" s="605">
        <v>0</v>
      </c>
      <c r="O22" s="591">
        <v>2442.5314718262694</v>
      </c>
    </row>
    <row r="23" spans="1:15">
      <c r="A23" s="457">
        <v>17</v>
      </c>
      <c r="B23" s="463" t="s">
        <v>578</v>
      </c>
      <c r="C23" s="603">
        <v>4484473.8536</v>
      </c>
      <c r="D23" s="591">
        <v>3230912.3248000001</v>
      </c>
      <c r="E23" s="591">
        <v>1257.5999999999999</v>
      </c>
      <c r="F23" s="605">
        <v>1078465.2287999999</v>
      </c>
      <c r="G23" s="605">
        <v>0</v>
      </c>
      <c r="H23" s="591">
        <v>173838.7</v>
      </c>
      <c r="I23" s="591">
        <v>562122.23460000008</v>
      </c>
      <c r="J23" s="605">
        <v>64618.21409999999</v>
      </c>
      <c r="K23" s="605">
        <v>125.76</v>
      </c>
      <c r="L23" s="605">
        <v>323539.56050000002</v>
      </c>
      <c r="M23" s="605">
        <v>0</v>
      </c>
      <c r="N23" s="605">
        <v>173838.7</v>
      </c>
      <c r="O23" s="591">
        <v>1046.2341224986976</v>
      </c>
    </row>
    <row r="24" spans="1:15">
      <c r="A24" s="457">
        <v>18</v>
      </c>
      <c r="B24" s="463" t="s">
        <v>579</v>
      </c>
      <c r="C24" s="603">
        <v>15898766.089400003</v>
      </c>
      <c r="D24" s="591">
        <v>15864433.119400002</v>
      </c>
      <c r="E24" s="591">
        <v>34332.97</v>
      </c>
      <c r="F24" s="605">
        <v>0</v>
      </c>
      <c r="G24" s="605">
        <v>0</v>
      </c>
      <c r="H24" s="591">
        <v>0</v>
      </c>
      <c r="I24" s="591">
        <v>320721.96480000002</v>
      </c>
      <c r="J24" s="605">
        <v>317288.66480000003</v>
      </c>
      <c r="K24" s="605">
        <v>3433.3</v>
      </c>
      <c r="L24" s="605">
        <v>0</v>
      </c>
      <c r="M24" s="605">
        <v>0</v>
      </c>
      <c r="N24" s="605">
        <v>0</v>
      </c>
      <c r="O24" s="591">
        <v>3399.8356008456844</v>
      </c>
    </row>
    <row r="25" spans="1:15">
      <c r="A25" s="457">
        <v>19</v>
      </c>
      <c r="B25" s="463" t="s">
        <v>580</v>
      </c>
      <c r="C25" s="603">
        <v>1446541.7715</v>
      </c>
      <c r="D25" s="591">
        <v>1358537.4965000001</v>
      </c>
      <c r="E25" s="591">
        <v>29253.91</v>
      </c>
      <c r="F25" s="605">
        <v>53374.79</v>
      </c>
      <c r="G25" s="605">
        <v>0</v>
      </c>
      <c r="H25" s="591">
        <v>5375.5749999999998</v>
      </c>
      <c r="I25" s="591">
        <v>51484.165499999996</v>
      </c>
      <c r="J25" s="605">
        <v>27170.7605</v>
      </c>
      <c r="K25" s="605">
        <v>2925.39</v>
      </c>
      <c r="L25" s="605">
        <v>16012.44</v>
      </c>
      <c r="M25" s="605">
        <v>0</v>
      </c>
      <c r="N25" s="605">
        <v>5375.5749999999998</v>
      </c>
      <c r="O25" s="591">
        <v>505.48850225107816</v>
      </c>
    </row>
    <row r="26" spans="1:15">
      <c r="A26" s="457">
        <v>20</v>
      </c>
      <c r="B26" s="463" t="s">
        <v>581</v>
      </c>
      <c r="C26" s="603">
        <v>29716080.176300004</v>
      </c>
      <c r="D26" s="591">
        <v>28288041.696200002</v>
      </c>
      <c r="E26" s="591">
        <v>1241411.3985000001</v>
      </c>
      <c r="F26" s="605">
        <v>129667.78</v>
      </c>
      <c r="G26" s="605">
        <v>27320.199400000001</v>
      </c>
      <c r="H26" s="591">
        <v>29639.102200000001</v>
      </c>
      <c r="I26" s="591">
        <v>772101.66859999986</v>
      </c>
      <c r="J26" s="605">
        <v>565760.94719999994</v>
      </c>
      <c r="K26" s="605">
        <v>124141.1795</v>
      </c>
      <c r="L26" s="605">
        <v>38900.340000000004</v>
      </c>
      <c r="M26" s="605">
        <v>13660.099700000001</v>
      </c>
      <c r="N26" s="605">
        <v>29639.102200000001</v>
      </c>
      <c r="O26" s="591">
        <v>54867.727175607004</v>
      </c>
    </row>
    <row r="27" spans="1:15">
      <c r="A27" s="457">
        <v>21</v>
      </c>
      <c r="B27" s="463" t="s">
        <v>582</v>
      </c>
      <c r="C27" s="603">
        <v>4774102.0682000006</v>
      </c>
      <c r="D27" s="591">
        <v>4551199.0167000005</v>
      </c>
      <c r="E27" s="591">
        <v>174879.19150000002</v>
      </c>
      <c r="F27" s="605">
        <v>410</v>
      </c>
      <c r="G27" s="605">
        <v>47613.86</v>
      </c>
      <c r="H27" s="591">
        <v>0</v>
      </c>
      <c r="I27" s="591">
        <v>132441.86259999999</v>
      </c>
      <c r="J27" s="605">
        <v>91024.025599999994</v>
      </c>
      <c r="K27" s="605">
        <v>17487.906999999999</v>
      </c>
      <c r="L27" s="605">
        <v>123</v>
      </c>
      <c r="M27" s="605">
        <v>23806.93</v>
      </c>
      <c r="N27" s="605">
        <v>0</v>
      </c>
      <c r="O27" s="591">
        <v>7999.6093842364617</v>
      </c>
    </row>
    <row r="28" spans="1:15">
      <c r="A28" s="457">
        <v>22</v>
      </c>
      <c r="B28" s="463" t="s">
        <v>583</v>
      </c>
      <c r="C28" s="603">
        <v>1167770.7637</v>
      </c>
      <c r="D28" s="591">
        <v>559125.96310000005</v>
      </c>
      <c r="E28" s="591">
        <v>10109.050999999999</v>
      </c>
      <c r="F28" s="605">
        <v>598535.74959999998</v>
      </c>
      <c r="G28" s="605">
        <v>0</v>
      </c>
      <c r="H28" s="591">
        <v>0</v>
      </c>
      <c r="I28" s="591">
        <v>191754.10800000001</v>
      </c>
      <c r="J28" s="605">
        <v>11182.496200000001</v>
      </c>
      <c r="K28" s="605">
        <v>1010.8977</v>
      </c>
      <c r="L28" s="605">
        <v>179560.71410000001</v>
      </c>
      <c r="M28" s="605">
        <v>0</v>
      </c>
      <c r="N28" s="605">
        <v>0</v>
      </c>
      <c r="O28" s="591">
        <v>3489.5008535002785</v>
      </c>
    </row>
    <row r="29" spans="1:15">
      <c r="A29" s="457">
        <v>23</v>
      </c>
      <c r="B29" s="463" t="s">
        <v>584</v>
      </c>
      <c r="C29" s="603">
        <v>106673695.06729999</v>
      </c>
      <c r="D29" s="591">
        <v>95200509.100700006</v>
      </c>
      <c r="E29" s="591">
        <v>6139101.4408</v>
      </c>
      <c r="F29" s="605">
        <v>3017531.2716999999</v>
      </c>
      <c r="G29" s="605">
        <v>2202280.0940999999</v>
      </c>
      <c r="H29" s="591">
        <v>114273.16</v>
      </c>
      <c r="I29" s="591">
        <v>4638593.4321999997</v>
      </c>
      <c r="J29" s="605">
        <v>1904010.4987999999</v>
      </c>
      <c r="K29" s="605">
        <v>613910.21380000003</v>
      </c>
      <c r="L29" s="605">
        <v>905259.38059999992</v>
      </c>
      <c r="M29" s="605">
        <v>1101140.179</v>
      </c>
      <c r="N29" s="605">
        <v>114273.16</v>
      </c>
      <c r="O29" s="591">
        <v>100107.67234275628</v>
      </c>
    </row>
    <row r="30" spans="1:15">
      <c r="A30" s="457">
        <v>24</v>
      </c>
      <c r="B30" s="463" t="s">
        <v>585</v>
      </c>
      <c r="C30" s="603">
        <v>129424969.91710003</v>
      </c>
      <c r="D30" s="591">
        <v>121748364.19060001</v>
      </c>
      <c r="E30" s="591">
        <v>4557602.9482999993</v>
      </c>
      <c r="F30" s="605">
        <v>987755.2844</v>
      </c>
      <c r="G30" s="605">
        <v>1962347.4739999999</v>
      </c>
      <c r="H30" s="591">
        <v>168900.01979999998</v>
      </c>
      <c r="I30" s="591">
        <v>4334194.8203999996</v>
      </c>
      <c r="J30" s="605">
        <v>2432034.0663999994</v>
      </c>
      <c r="K30" s="605">
        <v>455760.34010000003</v>
      </c>
      <c r="L30" s="605">
        <v>296326.61210000003</v>
      </c>
      <c r="M30" s="605">
        <v>981173.78200000001</v>
      </c>
      <c r="N30" s="605">
        <v>168900.01979999998</v>
      </c>
      <c r="O30" s="591">
        <v>7972.8993086075143</v>
      </c>
    </row>
    <row r="31" spans="1:15">
      <c r="A31" s="457">
        <v>25</v>
      </c>
      <c r="B31" s="463" t="s">
        <v>586</v>
      </c>
      <c r="C31" s="603">
        <v>47839355.339900009</v>
      </c>
      <c r="D31" s="591">
        <v>42988239.227800004</v>
      </c>
      <c r="E31" s="591">
        <v>1906649.2694999999</v>
      </c>
      <c r="F31" s="605">
        <v>1808293.419</v>
      </c>
      <c r="G31" s="605">
        <v>835148.22360000003</v>
      </c>
      <c r="H31" s="591">
        <v>301025.2</v>
      </c>
      <c r="I31" s="591">
        <v>2228463.6414000001</v>
      </c>
      <c r="J31" s="605">
        <v>776711.2625999999</v>
      </c>
      <c r="K31" s="605">
        <v>190664.95179999998</v>
      </c>
      <c r="L31" s="605">
        <v>542488.06669999997</v>
      </c>
      <c r="M31" s="605">
        <v>417574.16029999999</v>
      </c>
      <c r="N31" s="605">
        <v>301025.2</v>
      </c>
      <c r="O31" s="591">
        <v>251210.56142469036</v>
      </c>
    </row>
    <row r="32" spans="1:15">
      <c r="A32" s="457">
        <v>26</v>
      </c>
      <c r="B32" s="463" t="s">
        <v>688</v>
      </c>
      <c r="C32" s="603">
        <v>30333533.185100019</v>
      </c>
      <c r="D32" s="591">
        <v>25338172.660300016</v>
      </c>
      <c r="E32" s="591">
        <v>2718593.4536000015</v>
      </c>
      <c r="F32" s="605">
        <v>1409943.8730999995</v>
      </c>
      <c r="G32" s="605">
        <v>664390.24369999999</v>
      </c>
      <c r="H32" s="591">
        <v>202432.95439999993</v>
      </c>
      <c r="I32" s="591">
        <v>1736234.5944999999</v>
      </c>
      <c r="J32" s="605">
        <v>506763.76899999985</v>
      </c>
      <c r="K32" s="605">
        <v>271859.44200000004</v>
      </c>
      <c r="L32" s="605">
        <v>422983.19830000005</v>
      </c>
      <c r="M32" s="605">
        <v>332195.23080000002</v>
      </c>
      <c r="N32" s="605">
        <v>202432.95439999993</v>
      </c>
      <c r="O32" s="591">
        <v>185096.23108845728</v>
      </c>
    </row>
    <row r="33" spans="1:15">
      <c r="A33" s="457">
        <v>27</v>
      </c>
      <c r="B33" s="494" t="s">
        <v>68</v>
      </c>
      <c r="C33" s="606">
        <v>1074139565.6595001</v>
      </c>
      <c r="D33" s="590">
        <v>946357355.46020007</v>
      </c>
      <c r="E33" s="590">
        <v>86784715.546199977</v>
      </c>
      <c r="F33" s="610">
        <v>25419119.365100004</v>
      </c>
      <c r="G33" s="610">
        <v>13822364.667599998</v>
      </c>
      <c r="H33" s="590">
        <v>1756010.6203999997</v>
      </c>
      <c r="I33" s="611">
        <v>43606445.574099988</v>
      </c>
      <c r="J33" s="610">
        <v>18635043.572400004</v>
      </c>
      <c r="K33" s="610">
        <v>8678472.2617999967</v>
      </c>
      <c r="L33" s="610">
        <v>7625736.094800001</v>
      </c>
      <c r="M33" s="610">
        <v>6911183.0247</v>
      </c>
      <c r="N33" s="610">
        <v>1756010.6203999997</v>
      </c>
      <c r="O33" s="590">
        <v>1299102</v>
      </c>
    </row>
    <row r="35" spans="1:15">
      <c r="B35" s="464"/>
      <c r="C35" s="464"/>
    </row>
    <row r="41" spans="1:15">
      <c r="A41" s="460"/>
      <c r="B41" s="460"/>
      <c r="C41" s="460"/>
    </row>
    <row r="42" spans="1:15">
      <c r="A42" s="460"/>
      <c r="B42" s="460"/>
      <c r="C42" s="460"/>
    </row>
  </sheetData>
  <mergeCells count="4">
    <mergeCell ref="A5:B6"/>
    <mergeCell ref="C5:H5"/>
    <mergeCell ref="I5:N5"/>
    <mergeCell ref="O5:O6"/>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G1" zoomScale="90" zoomScaleNormal="90" workbookViewId="0">
      <selection activeCell="B1" sqref="B1"/>
    </sheetView>
  </sheetViews>
  <sheetFormatPr defaultColWidth="8.7109375" defaultRowHeight="12"/>
  <cols>
    <col min="1" max="1" width="11.85546875" style="495" bestFit="1" customWidth="1"/>
    <col min="2" max="2" width="80.140625" style="495" customWidth="1"/>
    <col min="3" max="11" width="28.28515625" style="495" customWidth="1"/>
    <col min="12" max="16384" width="8.7109375" style="495"/>
  </cols>
  <sheetData>
    <row r="1" spans="1:11" s="443" customFormat="1" ht="12.75">
      <c r="A1" s="442" t="s">
        <v>188</v>
      </c>
      <c r="B1" s="624" t="str">
        <f>'1. key ratios'!B1</f>
        <v>ს.ს. "ტერაბანკი"</v>
      </c>
    </row>
    <row r="2" spans="1:11" s="443" customFormat="1" ht="12.75">
      <c r="A2" s="442" t="s">
        <v>189</v>
      </c>
    </row>
    <row r="3" spans="1:11" s="443" customFormat="1" ht="12.75">
      <c r="A3" s="444" t="s">
        <v>689</v>
      </c>
      <c r="B3" s="445">
        <f>'1. key ratios'!B2</f>
        <v>44926</v>
      </c>
    </row>
    <row r="4" spans="1:11">
      <c r="C4" s="496" t="s">
        <v>539</v>
      </c>
      <c r="D4" s="496" t="s">
        <v>540</v>
      </c>
      <c r="E4" s="496" t="s">
        <v>541</v>
      </c>
      <c r="F4" s="496" t="s">
        <v>542</v>
      </c>
      <c r="G4" s="496" t="s">
        <v>543</v>
      </c>
      <c r="H4" s="496" t="s">
        <v>544</v>
      </c>
      <c r="I4" s="496" t="s">
        <v>545</v>
      </c>
      <c r="J4" s="496" t="s">
        <v>546</v>
      </c>
      <c r="K4" s="496" t="s">
        <v>547</v>
      </c>
    </row>
    <row r="5" spans="1:11" ht="104.1" customHeight="1">
      <c r="A5" s="725" t="s">
        <v>690</v>
      </c>
      <c r="B5" s="726"/>
      <c r="C5" s="446" t="s">
        <v>691</v>
      </c>
      <c r="D5" s="446" t="s">
        <v>677</v>
      </c>
      <c r="E5" s="446" t="s">
        <v>678</v>
      </c>
      <c r="F5" s="446" t="s">
        <v>692</v>
      </c>
      <c r="G5" s="446" t="s">
        <v>693</v>
      </c>
      <c r="H5" s="446" t="s">
        <v>694</v>
      </c>
      <c r="I5" s="446" t="s">
        <v>695</v>
      </c>
      <c r="J5" s="446" t="s">
        <v>696</v>
      </c>
      <c r="K5" s="446" t="s">
        <v>697</v>
      </c>
    </row>
    <row r="6" spans="1:11" ht="12.75">
      <c r="A6" s="457">
        <v>1</v>
      </c>
      <c r="B6" s="457" t="s">
        <v>698</v>
      </c>
      <c r="C6" s="591">
        <v>24523919.119999997</v>
      </c>
      <c r="D6" s="591">
        <v>30141492.049999993</v>
      </c>
      <c r="E6" s="591">
        <v>0</v>
      </c>
      <c r="F6" s="591">
        <v>3823264.4</v>
      </c>
      <c r="G6" s="591">
        <v>840584967.63999987</v>
      </c>
      <c r="H6" s="591">
        <v>0</v>
      </c>
      <c r="I6" s="591">
        <v>82207341.559999943</v>
      </c>
      <c r="J6" s="591">
        <v>1123016722.9299941</v>
      </c>
      <c r="K6" s="591">
        <v>92858581.299996138</v>
      </c>
    </row>
    <row r="7" spans="1:11" ht="12.75">
      <c r="A7" s="457">
        <v>2</v>
      </c>
      <c r="B7" s="457" t="s">
        <v>699</v>
      </c>
      <c r="C7" s="591">
        <v>0</v>
      </c>
      <c r="D7" s="591">
        <v>0</v>
      </c>
      <c r="E7" s="591">
        <v>0</v>
      </c>
      <c r="F7" s="591">
        <v>0</v>
      </c>
      <c r="G7" s="591">
        <v>0</v>
      </c>
      <c r="H7" s="591">
        <v>0</v>
      </c>
      <c r="I7" s="591">
        <v>0</v>
      </c>
      <c r="J7" s="591">
        <v>0</v>
      </c>
      <c r="K7" s="591">
        <v>10000000</v>
      </c>
    </row>
    <row r="8" spans="1:11" ht="12.75">
      <c r="A8" s="457">
        <v>3</v>
      </c>
      <c r="B8" s="457" t="s">
        <v>649</v>
      </c>
      <c r="C8" s="591">
        <v>14920423.540000001</v>
      </c>
      <c r="D8" s="591">
        <v>0</v>
      </c>
      <c r="E8" s="591">
        <v>0</v>
      </c>
      <c r="F8" s="591">
        <v>0</v>
      </c>
      <c r="G8" s="591">
        <v>21738575.220000003</v>
      </c>
      <c r="H8" s="591">
        <v>0</v>
      </c>
      <c r="I8" s="591">
        <v>7889056.7799999993</v>
      </c>
      <c r="J8" s="591">
        <v>45051181.579999983</v>
      </c>
      <c r="K8" s="591">
        <v>39726885.650000006</v>
      </c>
    </row>
    <row r="9" spans="1:11" ht="12.75">
      <c r="A9" s="457">
        <v>4</v>
      </c>
      <c r="B9" s="481" t="s">
        <v>700</v>
      </c>
      <c r="C9" s="591">
        <v>23080.530000000002</v>
      </c>
      <c r="D9" s="591">
        <v>18524.3</v>
      </c>
      <c r="E9" s="591">
        <v>0</v>
      </c>
      <c r="F9" s="591">
        <v>0</v>
      </c>
      <c r="G9" s="591">
        <v>36497819.610000037</v>
      </c>
      <c r="H9" s="591">
        <v>0</v>
      </c>
      <c r="I9" s="591">
        <v>1210250.9099999999</v>
      </c>
      <c r="J9" s="591">
        <v>41092651.819999941</v>
      </c>
      <c r="K9" s="591">
        <v>3247819.9444416091</v>
      </c>
    </row>
    <row r="10" spans="1:11" ht="12.75">
      <c r="A10" s="457">
        <v>5</v>
      </c>
      <c r="B10" s="481" t="s">
        <v>701</v>
      </c>
      <c r="C10" s="591">
        <v>0</v>
      </c>
      <c r="D10" s="591">
        <v>0</v>
      </c>
      <c r="E10" s="591">
        <v>0</v>
      </c>
      <c r="F10" s="591">
        <v>0</v>
      </c>
      <c r="G10" s="591">
        <v>0</v>
      </c>
      <c r="H10" s="591">
        <v>0</v>
      </c>
      <c r="I10" s="591">
        <v>0</v>
      </c>
      <c r="J10" s="591">
        <v>0</v>
      </c>
      <c r="K10" s="591">
        <v>0</v>
      </c>
    </row>
    <row r="11" spans="1:11" ht="12.75">
      <c r="A11" s="457">
        <v>6</v>
      </c>
      <c r="B11" s="481" t="s">
        <v>702</v>
      </c>
      <c r="C11" s="591">
        <v>0</v>
      </c>
      <c r="D11" s="591">
        <v>0</v>
      </c>
      <c r="E11" s="591">
        <v>0</v>
      </c>
      <c r="F11" s="591">
        <v>0</v>
      </c>
      <c r="G11" s="591">
        <v>0</v>
      </c>
      <c r="H11" s="591">
        <v>0</v>
      </c>
      <c r="I11" s="591">
        <v>0</v>
      </c>
      <c r="J11" s="591">
        <v>0</v>
      </c>
      <c r="K11" s="591">
        <v>0</v>
      </c>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6B06B-8A4E-45B2-BAEB-85755C633A6B}">
  <dimension ref="A1:AT26"/>
  <sheetViews>
    <sheetView showGridLines="0" zoomScale="85" zoomScaleNormal="85" workbookViewId="0">
      <pane xSplit="2" ySplit="6" topLeftCell="C7" activePane="bottomRight" state="frozen"/>
      <selection pane="topRight" activeCell="C1" sqref="C1"/>
      <selection pane="bottomLeft" activeCell="A7" sqref="A7"/>
      <selection pane="bottomRight" activeCell="E16" sqref="E16"/>
    </sheetView>
  </sheetViews>
  <sheetFormatPr defaultColWidth="9.140625" defaultRowHeight="15"/>
  <cols>
    <col min="1" max="1" width="10" bestFit="1" customWidth="1"/>
    <col min="2" max="2" width="71.7109375" customWidth="1"/>
    <col min="3" max="4" width="18" bestFit="1" customWidth="1"/>
    <col min="5" max="5" width="17.42578125" customWidth="1"/>
    <col min="6" max="6" width="17.28515625" bestFit="1" customWidth="1"/>
    <col min="7" max="7" width="13.7109375" customWidth="1"/>
    <col min="8" max="8" width="16.7109375" customWidth="1"/>
    <col min="9" max="14" width="17.28515625" bestFit="1" customWidth="1"/>
    <col min="15" max="15" width="18.140625" bestFit="1" customWidth="1"/>
    <col min="16" max="16" width="48.140625" bestFit="1" customWidth="1"/>
    <col min="17" max="17" width="46" bestFit="1" customWidth="1"/>
    <col min="18" max="18" width="48.140625" bestFit="1" customWidth="1"/>
    <col min="19" max="19" width="44.5703125" bestFit="1" customWidth="1"/>
  </cols>
  <sheetData>
    <row r="1" spans="1:46">
      <c r="A1" s="442" t="s">
        <v>188</v>
      </c>
      <c r="B1" s="624" t="str">
        <f>'1. key ratios'!B1</f>
        <v>ს.ს. "ტერაბანკი"</v>
      </c>
    </row>
    <row r="2" spans="1:46">
      <c r="A2" s="442" t="s">
        <v>189</v>
      </c>
      <c r="B2" s="445">
        <f>'1. key ratios'!B2</f>
        <v>44926</v>
      </c>
    </row>
    <row r="3" spans="1:46">
      <c r="A3" s="444" t="s">
        <v>718</v>
      </c>
      <c r="B3" s="443"/>
    </row>
    <row r="4" spans="1:46">
      <c r="A4" s="444"/>
      <c r="B4" s="443"/>
    </row>
    <row r="5" spans="1:46" ht="24" customHeight="1">
      <c r="A5" s="728" t="s">
        <v>719</v>
      </c>
      <c r="B5" s="728"/>
      <c r="C5" s="729" t="s">
        <v>652</v>
      </c>
      <c r="D5" s="729"/>
      <c r="E5" s="729"/>
      <c r="F5" s="729"/>
      <c r="G5" s="729"/>
      <c r="H5" s="729"/>
      <c r="I5" s="729" t="s">
        <v>720</v>
      </c>
      <c r="J5" s="729"/>
      <c r="K5" s="729"/>
      <c r="L5" s="729"/>
      <c r="M5" s="729"/>
      <c r="N5" s="729"/>
      <c r="O5" s="727" t="s">
        <v>721</v>
      </c>
      <c r="P5" s="727" t="s">
        <v>722</v>
      </c>
      <c r="Q5" s="727" t="s">
        <v>723</v>
      </c>
      <c r="R5" s="727" t="s">
        <v>724</v>
      </c>
      <c r="S5" s="727" t="s">
        <v>725</v>
      </c>
    </row>
    <row r="6" spans="1:46" ht="36" customHeight="1">
      <c r="A6" s="728"/>
      <c r="B6" s="728"/>
      <c r="C6" s="612"/>
      <c r="D6" s="493" t="s">
        <v>683</v>
      </c>
      <c r="E6" s="493" t="s">
        <v>684</v>
      </c>
      <c r="F6" s="493" t="s">
        <v>685</v>
      </c>
      <c r="G6" s="493" t="s">
        <v>686</v>
      </c>
      <c r="H6" s="493" t="s">
        <v>687</v>
      </c>
      <c r="I6" s="612"/>
      <c r="J6" s="493" t="s">
        <v>683</v>
      </c>
      <c r="K6" s="493" t="s">
        <v>684</v>
      </c>
      <c r="L6" s="493" t="s">
        <v>685</v>
      </c>
      <c r="M6" s="493" t="s">
        <v>686</v>
      </c>
      <c r="N6" s="493" t="s">
        <v>687</v>
      </c>
      <c r="O6" s="727"/>
      <c r="P6" s="727"/>
      <c r="Q6" s="727"/>
      <c r="R6" s="727"/>
      <c r="S6" s="727"/>
    </row>
    <row r="7" spans="1:46">
      <c r="A7" s="613">
        <v>1</v>
      </c>
      <c r="B7" s="614" t="s">
        <v>726</v>
      </c>
      <c r="C7" s="615">
        <v>25319692.168600004</v>
      </c>
      <c r="D7" s="615">
        <v>24688619.248600002</v>
      </c>
      <c r="E7" s="615">
        <v>475886.23</v>
      </c>
      <c r="F7" s="615">
        <v>79067.91</v>
      </c>
      <c r="G7" s="615">
        <v>24525.68</v>
      </c>
      <c r="H7" s="615">
        <v>51593.1</v>
      </c>
      <c r="I7" s="615">
        <v>628937.58939999994</v>
      </c>
      <c r="J7" s="615">
        <v>493772.63940000004</v>
      </c>
      <c r="K7" s="615">
        <v>47588.65</v>
      </c>
      <c r="L7" s="615">
        <v>23720.36</v>
      </c>
      <c r="M7" s="615">
        <v>12262.84</v>
      </c>
      <c r="N7" s="615">
        <v>51593.1</v>
      </c>
      <c r="O7" s="615">
        <v>2354</v>
      </c>
      <c r="P7" s="616">
        <v>0.386222809624512</v>
      </c>
      <c r="Q7" s="616">
        <v>0.46577683103585882</v>
      </c>
      <c r="R7" s="616">
        <v>0.38560325000000001</v>
      </c>
      <c r="S7" s="615">
        <v>26.248799999999999</v>
      </c>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row>
    <row r="8" spans="1:46">
      <c r="A8" s="613">
        <v>2</v>
      </c>
      <c r="B8" s="614" t="s">
        <v>727</v>
      </c>
      <c r="C8" s="615">
        <v>85783880.917300001</v>
      </c>
      <c r="D8" s="615">
        <v>78606231.75999999</v>
      </c>
      <c r="E8" s="615">
        <v>3375485.8876</v>
      </c>
      <c r="F8" s="615">
        <v>1618616.1497</v>
      </c>
      <c r="G8" s="615">
        <v>1440074.8599999999</v>
      </c>
      <c r="H8" s="615">
        <v>743472.26</v>
      </c>
      <c r="I8" s="615">
        <v>3775714.8381000003</v>
      </c>
      <c r="J8" s="615">
        <v>1489071.2972000001</v>
      </c>
      <c r="K8" s="615">
        <v>337548.71960000001</v>
      </c>
      <c r="L8" s="615">
        <v>485584.93089999998</v>
      </c>
      <c r="M8" s="615">
        <v>720037.63040000002</v>
      </c>
      <c r="N8" s="615">
        <v>743472.26</v>
      </c>
      <c r="O8" s="615">
        <v>6521</v>
      </c>
      <c r="P8" s="616">
        <v>0.12993442254028015</v>
      </c>
      <c r="Q8" s="616">
        <v>0.15877861656519476</v>
      </c>
      <c r="R8" s="616">
        <v>0.13291627</v>
      </c>
      <c r="S8" s="615">
        <v>52.067300000000003</v>
      </c>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row>
    <row r="9" spans="1:46">
      <c r="A9" s="613">
        <v>3</v>
      </c>
      <c r="B9" s="614" t="s">
        <v>728</v>
      </c>
      <c r="C9" s="615">
        <v>0</v>
      </c>
      <c r="D9" s="615">
        <v>0</v>
      </c>
      <c r="E9" s="615">
        <v>0</v>
      </c>
      <c r="F9" s="615">
        <v>0</v>
      </c>
      <c r="G9" s="615">
        <v>0</v>
      </c>
      <c r="H9" s="615">
        <v>0</v>
      </c>
      <c r="I9" s="615">
        <v>0</v>
      </c>
      <c r="J9" s="615">
        <v>0</v>
      </c>
      <c r="K9" s="615">
        <v>0</v>
      </c>
      <c r="L9" s="615">
        <v>0</v>
      </c>
      <c r="M9" s="615">
        <v>0</v>
      </c>
      <c r="N9" s="615">
        <v>0</v>
      </c>
      <c r="O9" s="615">
        <v>0</v>
      </c>
      <c r="P9" s="616">
        <v>0</v>
      </c>
      <c r="Q9" s="616">
        <v>0</v>
      </c>
      <c r="R9" s="616">
        <v>0</v>
      </c>
      <c r="S9" s="615">
        <v>0</v>
      </c>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row>
    <row r="10" spans="1:46">
      <c r="A10" s="613">
        <v>4</v>
      </c>
      <c r="B10" s="614" t="s">
        <v>729</v>
      </c>
      <c r="C10" s="615">
        <v>10419.490000000002</v>
      </c>
      <c r="D10" s="615">
        <v>8739.7000000000007</v>
      </c>
      <c r="E10" s="615">
        <v>0</v>
      </c>
      <c r="F10" s="615">
        <v>0</v>
      </c>
      <c r="G10" s="615">
        <v>1679.79</v>
      </c>
      <c r="H10" s="615">
        <v>0</v>
      </c>
      <c r="I10" s="615">
        <v>1014.7</v>
      </c>
      <c r="J10" s="615">
        <v>174.8</v>
      </c>
      <c r="K10" s="615">
        <v>0</v>
      </c>
      <c r="L10" s="615">
        <v>0</v>
      </c>
      <c r="M10" s="615">
        <v>839.9</v>
      </c>
      <c r="N10" s="615">
        <v>0</v>
      </c>
      <c r="O10" s="615">
        <v>9</v>
      </c>
      <c r="P10" s="616">
        <v>0</v>
      </c>
      <c r="Q10" s="616">
        <v>0.25693156397457412</v>
      </c>
      <c r="R10" s="616">
        <v>0</v>
      </c>
      <c r="S10" s="615">
        <v>14.706</v>
      </c>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row>
    <row r="11" spans="1:46">
      <c r="A11" s="613">
        <v>5</v>
      </c>
      <c r="B11" s="614" t="s">
        <v>730</v>
      </c>
      <c r="C11" s="615">
        <v>1987240.3861000002</v>
      </c>
      <c r="D11" s="615">
        <v>1712631.81</v>
      </c>
      <c r="E11" s="615">
        <v>99600.12</v>
      </c>
      <c r="F11" s="615">
        <v>29882</v>
      </c>
      <c r="G11" s="615">
        <v>11650.8</v>
      </c>
      <c r="H11" s="615">
        <v>133475.65609999999</v>
      </c>
      <c r="I11" s="615">
        <v>192478.57610000001</v>
      </c>
      <c r="J11" s="615">
        <v>34252.78</v>
      </c>
      <c r="K11" s="615">
        <v>9960.08</v>
      </c>
      <c r="L11" s="615">
        <v>8964.6299999999992</v>
      </c>
      <c r="M11" s="615">
        <v>5825.43</v>
      </c>
      <c r="N11" s="615">
        <v>133475.65609999999</v>
      </c>
      <c r="O11" s="615">
        <v>3119</v>
      </c>
      <c r="P11" s="616">
        <v>0.1376895511527137</v>
      </c>
      <c r="Q11" s="616">
        <v>0.14577353234085841</v>
      </c>
      <c r="R11" s="616">
        <v>0.13390021999999999</v>
      </c>
      <c r="S11" s="615">
        <v>23.018599999999999</v>
      </c>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row>
    <row r="12" spans="1:46">
      <c r="A12" s="613">
        <v>6</v>
      </c>
      <c r="B12" s="614" t="s">
        <v>731</v>
      </c>
      <c r="C12" s="615">
        <v>2122696.7277000002</v>
      </c>
      <c r="D12" s="615">
        <v>1813059.6043</v>
      </c>
      <c r="E12" s="615">
        <v>217545.31840000002</v>
      </c>
      <c r="F12" s="615">
        <v>37715.9</v>
      </c>
      <c r="G12" s="615">
        <v>27642.3</v>
      </c>
      <c r="H12" s="615">
        <v>26733.605</v>
      </c>
      <c r="I12" s="615">
        <v>109885.64469999999</v>
      </c>
      <c r="J12" s="615">
        <v>36261.476999999999</v>
      </c>
      <c r="K12" s="615">
        <v>21754.602699999999</v>
      </c>
      <c r="L12" s="615">
        <v>11314.78</v>
      </c>
      <c r="M12" s="615">
        <v>13821.18</v>
      </c>
      <c r="N12" s="615">
        <v>26733.605</v>
      </c>
      <c r="O12" s="615">
        <v>1554</v>
      </c>
      <c r="P12" s="616">
        <v>0.26878227608402971</v>
      </c>
      <c r="Q12" s="616">
        <v>0.33638731511426501</v>
      </c>
      <c r="R12" s="616">
        <v>0.26893181999999999</v>
      </c>
      <c r="S12" s="615">
        <v>28.998899999999999</v>
      </c>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row>
    <row r="13" spans="1:46">
      <c r="A13" s="613">
        <v>7</v>
      </c>
      <c r="B13" s="614" t="s">
        <v>732</v>
      </c>
      <c r="C13" s="615">
        <v>97206680.3134</v>
      </c>
      <c r="D13" s="615">
        <v>88745570.918500006</v>
      </c>
      <c r="E13" s="615">
        <v>4844855.6911000004</v>
      </c>
      <c r="F13" s="615">
        <v>2913713.6167000001</v>
      </c>
      <c r="G13" s="615">
        <v>376343.38640000002</v>
      </c>
      <c r="H13" s="615">
        <v>326196.70069999999</v>
      </c>
      <c r="I13" s="615">
        <v>3647879.6631</v>
      </c>
      <c r="J13" s="615">
        <v>1774911.4945999999</v>
      </c>
      <c r="K13" s="615">
        <v>484485.6226</v>
      </c>
      <c r="L13" s="615">
        <v>874114.10150000011</v>
      </c>
      <c r="M13" s="615">
        <v>188171.74369999999</v>
      </c>
      <c r="N13" s="615">
        <v>326196.70069999999</v>
      </c>
      <c r="O13" s="615">
        <v>1338</v>
      </c>
      <c r="P13" s="616">
        <v>0.11935795929048236</v>
      </c>
      <c r="Q13" s="616">
        <v>0.13591351632336282</v>
      </c>
      <c r="R13" s="616">
        <v>0.11524217</v>
      </c>
      <c r="S13" s="615">
        <v>114.369</v>
      </c>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row>
    <row r="14" spans="1:46">
      <c r="A14" s="613">
        <v>7.1</v>
      </c>
      <c r="B14" s="614" t="s">
        <v>733</v>
      </c>
      <c r="C14" s="615">
        <v>72632412.423800007</v>
      </c>
      <c r="D14" s="615">
        <v>66555768.334800005</v>
      </c>
      <c r="E14" s="615">
        <v>3162482.6715000002</v>
      </c>
      <c r="F14" s="615">
        <v>2315268.0326</v>
      </c>
      <c r="G14" s="615">
        <v>272696.68420000002</v>
      </c>
      <c r="H14" s="615">
        <v>326196.70069999999</v>
      </c>
      <c r="I14" s="615">
        <v>2804489.1568</v>
      </c>
      <c r="J14" s="615">
        <v>1331115.3398</v>
      </c>
      <c r="K14" s="615">
        <v>316248.31209999998</v>
      </c>
      <c r="L14" s="615">
        <v>694580.43010000011</v>
      </c>
      <c r="M14" s="615">
        <v>136348.37409999999</v>
      </c>
      <c r="N14" s="615">
        <v>326196.70069999999</v>
      </c>
      <c r="O14" s="615">
        <v>915</v>
      </c>
      <c r="P14" s="616">
        <v>0.11347971743834398</v>
      </c>
      <c r="Q14" s="616">
        <v>0.128250271752889</v>
      </c>
      <c r="R14" s="616">
        <v>0.11213365</v>
      </c>
      <c r="S14" s="615">
        <v>116.28619999999999</v>
      </c>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row>
    <row r="15" spans="1:46" ht="25.5">
      <c r="A15" s="613">
        <v>7.2</v>
      </c>
      <c r="B15" s="614" t="s">
        <v>734</v>
      </c>
      <c r="C15" s="615">
        <v>17248079.235900003</v>
      </c>
      <c r="D15" s="615">
        <v>15609307.370600002</v>
      </c>
      <c r="E15" s="615">
        <v>1129219.6112000002</v>
      </c>
      <c r="F15" s="615">
        <v>420927.56409999996</v>
      </c>
      <c r="G15" s="615">
        <v>88624.69</v>
      </c>
      <c r="H15" s="615">
        <v>0</v>
      </c>
      <c r="I15" s="615">
        <v>595698.84359999991</v>
      </c>
      <c r="J15" s="615">
        <v>312186.26009999996</v>
      </c>
      <c r="K15" s="615">
        <v>112921.9721</v>
      </c>
      <c r="L15" s="615">
        <v>126278.2614</v>
      </c>
      <c r="M15" s="615">
        <v>44312.35</v>
      </c>
      <c r="N15" s="615">
        <v>0</v>
      </c>
      <c r="O15" s="615">
        <v>306</v>
      </c>
      <c r="P15" s="616">
        <v>0.13091261510135632</v>
      </c>
      <c r="Q15" s="616">
        <v>0.14605499389177465</v>
      </c>
      <c r="R15" s="616">
        <v>0.12391546000000001</v>
      </c>
      <c r="S15" s="615">
        <v>97.778000000000006</v>
      </c>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row>
    <row r="16" spans="1:46">
      <c r="A16" s="613">
        <v>7.3</v>
      </c>
      <c r="B16" s="614" t="s">
        <v>735</v>
      </c>
      <c r="C16" s="615">
        <v>7326188.6536999997</v>
      </c>
      <c r="D16" s="615">
        <v>6580495.2131000003</v>
      </c>
      <c r="E16" s="615">
        <v>553153.40839999996</v>
      </c>
      <c r="F16" s="615">
        <v>177518.02</v>
      </c>
      <c r="G16" s="615">
        <v>15022.012199999999</v>
      </c>
      <c r="H16" s="615">
        <v>0</v>
      </c>
      <c r="I16" s="615">
        <v>247691.66270000002</v>
      </c>
      <c r="J16" s="615">
        <v>131609.8947</v>
      </c>
      <c r="K16" s="615">
        <v>55315.338400000001</v>
      </c>
      <c r="L16" s="615">
        <v>53255.41</v>
      </c>
      <c r="M16" s="615">
        <v>7511.0195999999996</v>
      </c>
      <c r="N16" s="615">
        <v>0</v>
      </c>
      <c r="O16" s="615">
        <v>117</v>
      </c>
      <c r="P16" s="616">
        <v>0.12484454116336163</v>
      </c>
      <c r="Q16" s="616">
        <v>0.13877711060800674</v>
      </c>
      <c r="R16" s="616">
        <v>0.12566353999999999</v>
      </c>
      <c r="S16" s="615">
        <v>134.7903</v>
      </c>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row>
    <row r="17" spans="1:46">
      <c r="A17" s="613">
        <v>8</v>
      </c>
      <c r="B17" s="614" t="s">
        <v>736</v>
      </c>
      <c r="C17" s="615">
        <v>0</v>
      </c>
      <c r="D17" s="615">
        <v>0</v>
      </c>
      <c r="E17" s="615">
        <v>0</v>
      </c>
      <c r="F17" s="615">
        <v>0</v>
      </c>
      <c r="G17" s="615">
        <v>0</v>
      </c>
      <c r="H17" s="615">
        <v>0</v>
      </c>
      <c r="I17" s="615">
        <v>0</v>
      </c>
      <c r="J17" s="615">
        <v>0</v>
      </c>
      <c r="K17" s="615">
        <v>0</v>
      </c>
      <c r="L17" s="615">
        <v>0</v>
      </c>
      <c r="M17" s="615">
        <v>0</v>
      </c>
      <c r="N17" s="615">
        <v>0</v>
      </c>
      <c r="O17" s="615">
        <v>0</v>
      </c>
      <c r="P17" s="616">
        <v>0</v>
      </c>
      <c r="Q17" s="616">
        <v>0</v>
      </c>
      <c r="R17" s="616">
        <v>0</v>
      </c>
      <c r="S17" s="615">
        <v>0</v>
      </c>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row>
    <row r="18" spans="1:46">
      <c r="A18" s="613">
        <v>9</v>
      </c>
      <c r="B18" s="614" t="s">
        <v>737</v>
      </c>
      <c r="C18" s="615">
        <v>326656.03000000003</v>
      </c>
      <c r="D18" s="615">
        <v>319937.21000000002</v>
      </c>
      <c r="E18" s="615">
        <v>2478.8200000000002</v>
      </c>
      <c r="F18" s="615">
        <v>0</v>
      </c>
      <c r="G18" s="615">
        <v>4240</v>
      </c>
      <c r="H18" s="615">
        <v>0</v>
      </c>
      <c r="I18" s="615">
        <v>8766.61</v>
      </c>
      <c r="J18" s="615">
        <v>6398.73</v>
      </c>
      <c r="K18" s="615">
        <v>247.88</v>
      </c>
      <c r="L18" s="615">
        <v>0</v>
      </c>
      <c r="M18" s="615">
        <v>2120</v>
      </c>
      <c r="N18" s="615">
        <v>0</v>
      </c>
      <c r="O18" s="615">
        <v>34</v>
      </c>
      <c r="P18" s="616">
        <v>0.109</v>
      </c>
      <c r="Q18" s="616">
        <v>0.109</v>
      </c>
      <c r="R18" s="616">
        <v>0.10808375000000001</v>
      </c>
      <c r="S18" s="615">
        <v>70.7624</v>
      </c>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row>
    <row r="19" spans="1:46">
      <c r="A19" s="613">
        <v>10</v>
      </c>
      <c r="B19" s="614" t="s">
        <v>738</v>
      </c>
      <c r="C19" s="615">
        <v>212757266.03309998</v>
      </c>
      <c r="D19" s="615">
        <v>195894790.25140002</v>
      </c>
      <c r="E19" s="615">
        <v>9015852.0671000015</v>
      </c>
      <c r="F19" s="615">
        <v>4678995.5763999997</v>
      </c>
      <c r="G19" s="615">
        <v>1886156.8163999999</v>
      </c>
      <c r="H19" s="615">
        <v>1281471.3218</v>
      </c>
      <c r="I19" s="615">
        <v>8364677.6214000015</v>
      </c>
      <c r="J19" s="615">
        <v>3834843.2182</v>
      </c>
      <c r="K19" s="615">
        <v>901585.55489999999</v>
      </c>
      <c r="L19" s="615">
        <v>1403698.8023999999</v>
      </c>
      <c r="M19" s="615">
        <v>943078.72410000011</v>
      </c>
      <c r="N19" s="615">
        <v>1281471.3218</v>
      </c>
      <c r="O19" s="615">
        <v>14929</v>
      </c>
      <c r="P19" s="616">
        <v>0.20906209407131715</v>
      </c>
      <c r="Q19" s="616">
        <v>0.24765024562292676</v>
      </c>
      <c r="R19" s="616">
        <v>0.15623436647924935</v>
      </c>
      <c r="S19" s="615">
        <v>76.510999999999996</v>
      </c>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row>
    <row r="20" spans="1:46" ht="25.5">
      <c r="A20" s="613">
        <v>10.1</v>
      </c>
      <c r="B20" s="614" t="s">
        <v>739</v>
      </c>
      <c r="C20" s="615">
        <v>0</v>
      </c>
      <c r="D20" s="615">
        <v>0</v>
      </c>
      <c r="E20" s="615">
        <v>0</v>
      </c>
      <c r="F20" s="615">
        <v>0</v>
      </c>
      <c r="G20" s="615">
        <v>0</v>
      </c>
      <c r="H20" s="615">
        <v>0</v>
      </c>
      <c r="I20" s="615">
        <v>0</v>
      </c>
      <c r="J20" s="615">
        <v>0</v>
      </c>
      <c r="K20" s="615">
        <v>0</v>
      </c>
      <c r="L20" s="615">
        <v>0</v>
      </c>
      <c r="M20" s="615">
        <v>0</v>
      </c>
      <c r="N20" s="615">
        <v>0</v>
      </c>
      <c r="O20" s="615">
        <v>0</v>
      </c>
      <c r="P20" s="616">
        <v>0</v>
      </c>
      <c r="Q20" s="616">
        <v>0</v>
      </c>
      <c r="R20" s="616">
        <v>0</v>
      </c>
      <c r="S20" s="615">
        <v>0</v>
      </c>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row>
    <row r="21" spans="1:46">
      <c r="C21" s="618"/>
      <c r="D21" s="618"/>
      <c r="E21" s="618"/>
      <c r="F21" s="618"/>
      <c r="G21" s="618"/>
      <c r="H21" s="618"/>
      <c r="I21" s="618"/>
      <c r="J21" s="618"/>
      <c r="K21" s="618"/>
      <c r="L21" s="618"/>
      <c r="M21" s="618"/>
      <c r="N21" s="618"/>
      <c r="O21" s="618"/>
      <c r="P21" s="618"/>
      <c r="Q21" s="618"/>
      <c r="R21" s="618"/>
      <c r="S21" s="618"/>
    </row>
    <row r="22" spans="1:46">
      <c r="C22" s="618"/>
      <c r="D22" s="618"/>
      <c r="E22" s="618"/>
      <c r="F22" s="618"/>
      <c r="G22" s="618"/>
      <c r="H22" s="618"/>
      <c r="I22" s="618"/>
      <c r="J22" s="618"/>
      <c r="K22" s="618"/>
      <c r="L22" s="618"/>
      <c r="M22" s="618"/>
      <c r="N22" s="618"/>
      <c r="O22" s="618"/>
      <c r="P22" s="618"/>
      <c r="Q22" s="619"/>
      <c r="R22" s="618"/>
      <c r="S22" s="618"/>
    </row>
    <row r="23" spans="1:46">
      <c r="P23" s="618"/>
      <c r="Q23" s="620"/>
    </row>
    <row r="24" spans="1:46">
      <c r="P24" s="621"/>
    </row>
    <row r="25" spans="1:46">
      <c r="P25" s="621"/>
      <c r="Q25" s="622"/>
    </row>
    <row r="26" spans="1:46">
      <c r="P26" s="623"/>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activeCell="C50" sqref="C50"/>
      <selection pane="topRight" activeCell="C50" sqref="C50"/>
      <selection pane="bottomLeft" activeCell="C50" sqref="C50"/>
      <selection pane="bottomRight" activeCell="B1" sqref="B1"/>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"ტერაბანკი"</v>
      </c>
    </row>
    <row r="2" spans="1:8" ht="15.75">
      <c r="A2" s="14" t="s">
        <v>189</v>
      </c>
      <c r="B2" s="403">
        <f>'1. key ratios'!B2</f>
        <v>44926</v>
      </c>
    </row>
    <row r="3" spans="1:8" ht="15.75">
      <c r="A3" s="14"/>
    </row>
    <row r="4" spans="1:8" ht="16.5" thickBot="1">
      <c r="A4" s="15" t="s">
        <v>329</v>
      </c>
      <c r="B4" s="63" t="s">
        <v>244</v>
      </c>
      <c r="C4" s="15"/>
      <c r="D4" s="25"/>
      <c r="E4" s="25"/>
      <c r="F4" s="26"/>
      <c r="G4" s="26"/>
      <c r="H4" s="27" t="s">
        <v>93</v>
      </c>
    </row>
    <row r="5" spans="1:8" ht="15.75">
      <c r="A5" s="28"/>
      <c r="B5" s="29"/>
      <c r="C5" s="627" t="s">
        <v>194</v>
      </c>
      <c r="D5" s="628"/>
      <c r="E5" s="629"/>
      <c r="F5" s="627" t="s">
        <v>195</v>
      </c>
      <c r="G5" s="628"/>
      <c r="H5" s="630"/>
    </row>
    <row r="6" spans="1:8" ht="15.75">
      <c r="A6" s="30" t="s">
        <v>26</v>
      </c>
      <c r="B6" s="31" t="s">
        <v>153</v>
      </c>
      <c r="C6" s="32" t="s">
        <v>27</v>
      </c>
      <c r="D6" s="32" t="s">
        <v>94</v>
      </c>
      <c r="E6" s="32" t="s">
        <v>68</v>
      </c>
      <c r="F6" s="32" t="s">
        <v>27</v>
      </c>
      <c r="G6" s="32" t="s">
        <v>94</v>
      </c>
      <c r="H6" s="33" t="s">
        <v>68</v>
      </c>
    </row>
    <row r="7" spans="1:8" ht="15.75">
      <c r="A7" s="30">
        <v>1</v>
      </c>
      <c r="B7" s="34" t="s">
        <v>154</v>
      </c>
      <c r="C7" s="214">
        <v>16253544.479909834</v>
      </c>
      <c r="D7" s="214">
        <v>22702061.639999989</v>
      </c>
      <c r="E7" s="215">
        <f>C7+D7</f>
        <v>38955606.119909823</v>
      </c>
      <c r="F7" s="214">
        <v>13973379.049999995</v>
      </c>
      <c r="G7" s="214">
        <v>20310312.34</v>
      </c>
      <c r="H7" s="217">
        <f>F7+G7</f>
        <v>34283691.389999993</v>
      </c>
    </row>
    <row r="8" spans="1:8" ht="15.75">
      <c r="A8" s="30">
        <v>2</v>
      </c>
      <c r="B8" s="34" t="s">
        <v>155</v>
      </c>
      <c r="C8" s="214">
        <v>28611382.07</v>
      </c>
      <c r="D8" s="214">
        <v>118771276.41</v>
      </c>
      <c r="E8" s="215">
        <f t="shared" ref="E8:E20" si="0">C8+D8</f>
        <v>147382658.47999999</v>
      </c>
      <c r="F8" s="214">
        <v>21270443.460000001</v>
      </c>
      <c r="G8" s="214">
        <v>148013878.81999999</v>
      </c>
      <c r="H8" s="217">
        <f t="shared" ref="H8:H40" si="1">F8+G8</f>
        <v>169284322.28</v>
      </c>
    </row>
    <row r="9" spans="1:8" ht="15.75">
      <c r="A9" s="30">
        <v>3</v>
      </c>
      <c r="B9" s="34" t="s">
        <v>156</v>
      </c>
      <c r="C9" s="214">
        <v>767492.68000000017</v>
      </c>
      <c r="D9" s="214">
        <v>58416142.509999998</v>
      </c>
      <c r="E9" s="215">
        <f t="shared" si="0"/>
        <v>59183635.189999998</v>
      </c>
      <c r="F9" s="214">
        <v>181621.38</v>
      </c>
      <c r="G9" s="214">
        <v>27589534.109999992</v>
      </c>
      <c r="H9" s="217">
        <f t="shared" si="1"/>
        <v>27771155.489999991</v>
      </c>
    </row>
    <row r="10" spans="1:8" ht="15.75">
      <c r="A10" s="30">
        <v>4</v>
      </c>
      <c r="B10" s="34" t="s">
        <v>185</v>
      </c>
      <c r="C10" s="214">
        <v>0</v>
      </c>
      <c r="D10" s="214">
        <v>0</v>
      </c>
      <c r="E10" s="214">
        <v>0</v>
      </c>
      <c r="F10" s="214">
        <v>0</v>
      </c>
      <c r="G10" s="214">
        <v>0</v>
      </c>
      <c r="H10" s="217">
        <f t="shared" si="1"/>
        <v>0</v>
      </c>
    </row>
    <row r="11" spans="1:8" ht="15.75">
      <c r="A11" s="30">
        <v>5</v>
      </c>
      <c r="B11" s="34" t="s">
        <v>157</v>
      </c>
      <c r="C11" s="214">
        <v>155888800.59999999</v>
      </c>
      <c r="D11" s="214">
        <v>0</v>
      </c>
      <c r="E11" s="215">
        <f t="shared" si="0"/>
        <v>155888800.59999999</v>
      </c>
      <c r="F11" s="214">
        <v>125268448.30000001</v>
      </c>
      <c r="G11" s="214">
        <v>0</v>
      </c>
      <c r="H11" s="217">
        <f t="shared" si="1"/>
        <v>125268448.30000001</v>
      </c>
    </row>
    <row r="12" spans="1:8" ht="15.75">
      <c r="A12" s="30">
        <v>6.1</v>
      </c>
      <c r="B12" s="35" t="s">
        <v>158</v>
      </c>
      <c r="C12" s="214">
        <v>554958146.19999659</v>
      </c>
      <c r="D12" s="214">
        <v>519181419.86999935</v>
      </c>
      <c r="E12" s="215">
        <f t="shared" si="0"/>
        <v>1074139566.0699959</v>
      </c>
      <c r="F12" s="214">
        <v>439375169.17000103</v>
      </c>
      <c r="G12" s="214">
        <v>533363177.46999985</v>
      </c>
      <c r="H12" s="217">
        <f t="shared" si="1"/>
        <v>972738346.64000082</v>
      </c>
    </row>
    <row r="13" spans="1:8" ht="15.75">
      <c r="A13" s="30">
        <v>6.2</v>
      </c>
      <c r="B13" s="35" t="s">
        <v>159</v>
      </c>
      <c r="C13" s="214">
        <v>21548938.239999797</v>
      </c>
      <c r="D13" s="214">
        <v>23356609.280000005</v>
      </c>
      <c r="E13" s="215">
        <f t="shared" si="0"/>
        <v>44905547.519999802</v>
      </c>
      <c r="F13" s="214">
        <v>17954998.750000238</v>
      </c>
      <c r="G13" s="214">
        <v>31143445.489999987</v>
      </c>
      <c r="H13" s="217">
        <f t="shared" si="1"/>
        <v>49098444.240000226</v>
      </c>
    </row>
    <row r="14" spans="1:8" ht="15.75">
      <c r="A14" s="30">
        <v>6</v>
      </c>
      <c r="B14" s="34" t="s">
        <v>160</v>
      </c>
      <c r="C14" s="215">
        <f>C12-C13</f>
        <v>533409207.95999682</v>
      </c>
      <c r="D14" s="215">
        <f>D12-D13</f>
        <v>495824810.58999932</v>
      </c>
      <c r="E14" s="215">
        <f t="shared" si="0"/>
        <v>1029234018.5499961</v>
      </c>
      <c r="F14" s="215">
        <f>F12-F13</f>
        <v>421420170.42000079</v>
      </c>
      <c r="G14" s="215">
        <f>G12-G13</f>
        <v>502219731.97999984</v>
      </c>
      <c r="H14" s="217">
        <f t="shared" si="1"/>
        <v>923639902.40000057</v>
      </c>
    </row>
    <row r="15" spans="1:8" ht="15.75">
      <c r="A15" s="30">
        <v>7</v>
      </c>
      <c r="B15" s="34" t="s">
        <v>161</v>
      </c>
      <c r="C15" s="214">
        <v>7652410.3199999379</v>
      </c>
      <c r="D15" s="214">
        <v>3484839.5599999982</v>
      </c>
      <c r="E15" s="215">
        <f t="shared" si="0"/>
        <v>11137249.879999936</v>
      </c>
      <c r="F15" s="214">
        <v>6174846.1899999781</v>
      </c>
      <c r="G15" s="214">
        <v>6772223.1499999966</v>
      </c>
      <c r="H15" s="217">
        <f t="shared" si="1"/>
        <v>12947069.339999974</v>
      </c>
    </row>
    <row r="16" spans="1:8" ht="15.75">
      <c r="A16" s="30">
        <v>8</v>
      </c>
      <c r="B16" s="34" t="s">
        <v>162</v>
      </c>
      <c r="C16" s="214">
        <v>5126924.3300000019</v>
      </c>
      <c r="D16" s="214">
        <v>0</v>
      </c>
      <c r="E16" s="215">
        <f t="shared" si="0"/>
        <v>5126924.3300000019</v>
      </c>
      <c r="F16" s="214">
        <v>3324611.5599999987</v>
      </c>
      <c r="G16" s="214">
        <v>0</v>
      </c>
      <c r="H16" s="217">
        <f t="shared" si="1"/>
        <v>3324611.5599999987</v>
      </c>
    </row>
    <row r="17" spans="1:8" ht="15.75">
      <c r="A17" s="30">
        <v>9</v>
      </c>
      <c r="B17" s="34" t="s">
        <v>163</v>
      </c>
      <c r="C17" s="214">
        <v>0</v>
      </c>
      <c r="D17" s="214">
        <v>0</v>
      </c>
      <c r="E17" s="215">
        <f t="shared" si="0"/>
        <v>0</v>
      </c>
      <c r="F17" s="214">
        <v>0</v>
      </c>
      <c r="G17" s="214">
        <v>0</v>
      </c>
      <c r="H17" s="217">
        <f t="shared" si="1"/>
        <v>0</v>
      </c>
    </row>
    <row r="18" spans="1:8" ht="15.75">
      <c r="A18" s="30">
        <v>10</v>
      </c>
      <c r="B18" s="34" t="s">
        <v>164</v>
      </c>
      <c r="C18" s="214">
        <v>47013183.240000017</v>
      </c>
      <c r="D18" s="214">
        <v>0</v>
      </c>
      <c r="E18" s="215">
        <f t="shared" si="0"/>
        <v>47013183.240000017</v>
      </c>
      <c r="F18" s="214">
        <v>46782317.159999982</v>
      </c>
      <c r="G18" s="214">
        <v>0</v>
      </c>
      <c r="H18" s="217">
        <f t="shared" si="1"/>
        <v>46782317.159999982</v>
      </c>
    </row>
    <row r="19" spans="1:8" ht="15.75">
      <c r="A19" s="30">
        <v>11</v>
      </c>
      <c r="B19" s="34" t="s">
        <v>165</v>
      </c>
      <c r="C19" s="214">
        <v>8851239.5933999997</v>
      </c>
      <c r="D19" s="214">
        <v>955043.57</v>
      </c>
      <c r="E19" s="215">
        <f t="shared" si="0"/>
        <v>9806283.1634</v>
      </c>
      <c r="F19" s="214">
        <v>6761073.2130000005</v>
      </c>
      <c r="G19" s="214">
        <v>1238514.7999999998</v>
      </c>
      <c r="H19" s="217">
        <f t="shared" si="1"/>
        <v>7999588.0130000003</v>
      </c>
    </row>
    <row r="20" spans="1:8" ht="15.75">
      <c r="A20" s="30">
        <v>12</v>
      </c>
      <c r="B20" s="36" t="s">
        <v>166</v>
      </c>
      <c r="C20" s="215">
        <f>SUM(C7:C11)+SUM(C14:C19)</f>
        <v>803574185.27330661</v>
      </c>
      <c r="D20" s="215">
        <f>SUM(D7:D11)+SUM(D14:D19)</f>
        <v>700154174.27999926</v>
      </c>
      <c r="E20" s="215">
        <f t="shared" si="0"/>
        <v>1503728359.5533059</v>
      </c>
      <c r="F20" s="215">
        <f>SUM(F7:F11)+SUM(F14:F19)</f>
        <v>645156910.73300076</v>
      </c>
      <c r="G20" s="215">
        <f>SUM(G7:G11)+SUM(G14:G19)</f>
        <v>706144195.19999981</v>
      </c>
      <c r="H20" s="217">
        <f t="shared" si="1"/>
        <v>1351301105.9330006</v>
      </c>
    </row>
    <row r="21" spans="1:8" ht="15.75">
      <c r="A21" s="30"/>
      <c r="B21" s="31" t="s">
        <v>183</v>
      </c>
      <c r="C21" s="214"/>
      <c r="D21" s="214"/>
      <c r="E21" s="218"/>
      <c r="F21" s="214"/>
      <c r="G21" s="214"/>
      <c r="H21" s="219"/>
    </row>
    <row r="22" spans="1:8" ht="15.75">
      <c r="A22" s="30">
        <v>13</v>
      </c>
      <c r="B22" s="34" t="s">
        <v>167</v>
      </c>
      <c r="C22" s="214">
        <v>2493.98</v>
      </c>
      <c r="D22" s="214">
        <v>50957.53</v>
      </c>
      <c r="E22" s="215">
        <f>C22+D22</f>
        <v>53451.51</v>
      </c>
      <c r="F22" s="214">
        <v>2571.98</v>
      </c>
      <c r="G22" s="214">
        <v>11272035.07</v>
      </c>
      <c r="H22" s="217">
        <f t="shared" si="1"/>
        <v>11274607.050000001</v>
      </c>
    </row>
    <row r="23" spans="1:8" ht="15.75">
      <c r="A23" s="30">
        <v>14</v>
      </c>
      <c r="B23" s="34" t="s">
        <v>168</v>
      </c>
      <c r="C23" s="214">
        <v>129146492.51000002</v>
      </c>
      <c r="D23" s="214">
        <v>112977011.75002363</v>
      </c>
      <c r="E23" s="215">
        <f t="shared" ref="E23:E40" si="2">C23+D23</f>
        <v>242123504.26002365</v>
      </c>
      <c r="F23" s="214">
        <v>73118260.510000005</v>
      </c>
      <c r="G23" s="214">
        <v>160457853.31003541</v>
      </c>
      <c r="H23" s="217">
        <f t="shared" si="1"/>
        <v>233576113.8200354</v>
      </c>
    </row>
    <row r="24" spans="1:8" ht="15.75">
      <c r="A24" s="30">
        <v>15</v>
      </c>
      <c r="B24" s="34" t="s">
        <v>169</v>
      </c>
      <c r="C24" s="214">
        <v>103169052.22999996</v>
      </c>
      <c r="D24" s="214">
        <v>125405203.69999991</v>
      </c>
      <c r="E24" s="215">
        <f t="shared" si="2"/>
        <v>228574255.92999989</v>
      </c>
      <c r="F24" s="214">
        <v>82697277.729999974</v>
      </c>
      <c r="G24" s="214">
        <v>169586896.36000013</v>
      </c>
      <c r="H24" s="217">
        <f t="shared" si="1"/>
        <v>252284174.09000009</v>
      </c>
    </row>
    <row r="25" spans="1:8" ht="15.75">
      <c r="A25" s="30">
        <v>16</v>
      </c>
      <c r="B25" s="34" t="s">
        <v>170</v>
      </c>
      <c r="C25" s="214">
        <v>187947545.29999995</v>
      </c>
      <c r="D25" s="214">
        <v>293347395.56999981</v>
      </c>
      <c r="E25" s="215">
        <f t="shared" si="2"/>
        <v>481294940.86999977</v>
      </c>
      <c r="F25" s="214">
        <v>149054762.73999998</v>
      </c>
      <c r="G25" s="214">
        <v>249385577.38999927</v>
      </c>
      <c r="H25" s="217">
        <f t="shared" si="1"/>
        <v>398440340.12999928</v>
      </c>
    </row>
    <row r="26" spans="1:8" ht="15.75">
      <c r="A26" s="30">
        <v>17</v>
      </c>
      <c r="B26" s="34" t="s">
        <v>171</v>
      </c>
      <c r="C26" s="214">
        <v>0</v>
      </c>
      <c r="D26" s="214">
        <v>17563000</v>
      </c>
      <c r="E26" s="215">
        <f t="shared" si="2"/>
        <v>17563000</v>
      </c>
      <c r="F26" s="214">
        <v>0</v>
      </c>
      <c r="G26" s="214">
        <v>0</v>
      </c>
      <c r="H26" s="217">
        <f t="shared" si="1"/>
        <v>0</v>
      </c>
    </row>
    <row r="27" spans="1:8" ht="15.75">
      <c r="A27" s="30">
        <v>18</v>
      </c>
      <c r="B27" s="34" t="s">
        <v>172</v>
      </c>
      <c r="C27" s="214">
        <v>176611000</v>
      </c>
      <c r="D27" s="214">
        <v>76839566.030000001</v>
      </c>
      <c r="E27" s="215">
        <f t="shared" si="2"/>
        <v>253450566.03</v>
      </c>
      <c r="F27" s="214">
        <v>163722000</v>
      </c>
      <c r="G27" s="214">
        <v>47763840</v>
      </c>
      <c r="H27" s="217">
        <f t="shared" si="1"/>
        <v>211485840</v>
      </c>
    </row>
    <row r="28" spans="1:8" ht="15.75">
      <c r="A28" s="30">
        <v>19</v>
      </c>
      <c r="B28" s="34" t="s">
        <v>173</v>
      </c>
      <c r="C28" s="214">
        <v>4407090.6900000032</v>
      </c>
      <c r="D28" s="214">
        <v>2592807.7699999986</v>
      </c>
      <c r="E28" s="215">
        <f t="shared" si="2"/>
        <v>6999898.4600000018</v>
      </c>
      <c r="F28" s="214">
        <v>3161545.46</v>
      </c>
      <c r="G28" s="214">
        <v>2400452.8300000024</v>
      </c>
      <c r="H28" s="217">
        <f t="shared" si="1"/>
        <v>5561998.2900000028</v>
      </c>
    </row>
    <row r="29" spans="1:8" ht="15.75">
      <c r="A29" s="30">
        <v>20</v>
      </c>
      <c r="B29" s="34" t="s">
        <v>95</v>
      </c>
      <c r="C29" s="214">
        <v>20171382.580000009</v>
      </c>
      <c r="D29" s="214">
        <v>12446487.550000003</v>
      </c>
      <c r="E29" s="215">
        <f t="shared" si="2"/>
        <v>32617870.13000001</v>
      </c>
      <c r="F29" s="214">
        <v>13875748.120000003</v>
      </c>
      <c r="G29" s="214">
        <v>11472221.060000001</v>
      </c>
      <c r="H29" s="217">
        <f t="shared" si="1"/>
        <v>25347969.180000003</v>
      </c>
    </row>
    <row r="30" spans="1:8" ht="15.75">
      <c r="A30" s="30">
        <v>21</v>
      </c>
      <c r="B30" s="34" t="s">
        <v>174</v>
      </c>
      <c r="C30" s="214">
        <v>0</v>
      </c>
      <c r="D30" s="214">
        <v>57692053.310000002</v>
      </c>
      <c r="E30" s="215">
        <f t="shared" si="2"/>
        <v>57692053.310000002</v>
      </c>
      <c r="F30" s="214">
        <v>0</v>
      </c>
      <c r="G30" s="214">
        <v>57830969.719999999</v>
      </c>
      <c r="H30" s="217">
        <f t="shared" si="1"/>
        <v>57830969.719999999</v>
      </c>
    </row>
    <row r="31" spans="1:8" ht="15.75">
      <c r="A31" s="30">
        <v>22</v>
      </c>
      <c r="B31" s="36" t="s">
        <v>175</v>
      </c>
      <c r="C31" s="215">
        <f>SUM(C22:C30)</f>
        <v>621455057.29000008</v>
      </c>
      <c r="D31" s="215">
        <f>SUM(D22:D30)</f>
        <v>698914483.21002316</v>
      </c>
      <c r="E31" s="215">
        <f>C31+D31</f>
        <v>1320369540.5000234</v>
      </c>
      <c r="F31" s="215">
        <f>SUM(F22:F30)</f>
        <v>485632166.5399999</v>
      </c>
      <c r="G31" s="215">
        <f>SUM(G22:G30)</f>
        <v>710169845.74003482</v>
      </c>
      <c r="H31" s="217">
        <f t="shared" si="1"/>
        <v>1195802012.2800348</v>
      </c>
    </row>
    <row r="32" spans="1:8" ht="15.75">
      <c r="A32" s="30"/>
      <c r="B32" s="31" t="s">
        <v>184</v>
      </c>
      <c r="C32" s="214"/>
      <c r="D32" s="214"/>
      <c r="E32" s="214"/>
      <c r="F32" s="214"/>
      <c r="G32" s="214"/>
      <c r="H32" s="219"/>
    </row>
    <row r="33" spans="1:8" ht="15.75">
      <c r="A33" s="30">
        <v>23</v>
      </c>
      <c r="B33" s="34" t="s">
        <v>176</v>
      </c>
      <c r="C33" s="214">
        <v>121372000</v>
      </c>
      <c r="D33" s="214">
        <v>0</v>
      </c>
      <c r="E33" s="215">
        <f t="shared" si="2"/>
        <v>121372000</v>
      </c>
      <c r="F33" s="214">
        <v>121372000</v>
      </c>
      <c r="G33" s="214">
        <v>0</v>
      </c>
      <c r="H33" s="217">
        <f t="shared" si="1"/>
        <v>121372000</v>
      </c>
    </row>
    <row r="34" spans="1:8" ht="15.75">
      <c r="A34" s="30">
        <v>24</v>
      </c>
      <c r="B34" s="34" t="s">
        <v>177</v>
      </c>
      <c r="C34" s="214">
        <v>0</v>
      </c>
      <c r="D34" s="214">
        <v>0</v>
      </c>
      <c r="E34" s="215">
        <f t="shared" si="2"/>
        <v>0</v>
      </c>
      <c r="F34" s="214">
        <v>0</v>
      </c>
      <c r="G34" s="214">
        <v>0</v>
      </c>
      <c r="H34" s="217">
        <f t="shared" si="1"/>
        <v>0</v>
      </c>
    </row>
    <row r="35" spans="1:8" ht="15.75">
      <c r="A35" s="30">
        <v>25</v>
      </c>
      <c r="B35" s="35" t="s">
        <v>178</v>
      </c>
      <c r="C35" s="214">
        <v>0</v>
      </c>
      <c r="D35" s="214">
        <v>0</v>
      </c>
      <c r="E35" s="215">
        <f t="shared" si="2"/>
        <v>0</v>
      </c>
      <c r="F35" s="214">
        <v>0</v>
      </c>
      <c r="G35" s="214">
        <v>0</v>
      </c>
      <c r="H35" s="217">
        <f t="shared" si="1"/>
        <v>0</v>
      </c>
    </row>
    <row r="36" spans="1:8" ht="15.75">
      <c r="A36" s="30">
        <v>26</v>
      </c>
      <c r="B36" s="34" t="s">
        <v>179</v>
      </c>
      <c r="C36" s="214">
        <v>0</v>
      </c>
      <c r="D36" s="214">
        <v>0</v>
      </c>
      <c r="E36" s="215">
        <f t="shared" si="2"/>
        <v>0</v>
      </c>
      <c r="F36" s="214">
        <v>0</v>
      </c>
      <c r="G36" s="214">
        <v>0</v>
      </c>
      <c r="H36" s="217">
        <f t="shared" si="1"/>
        <v>0</v>
      </c>
    </row>
    <row r="37" spans="1:8" ht="15.75">
      <c r="A37" s="30">
        <v>27</v>
      </c>
      <c r="B37" s="34" t="s">
        <v>180</v>
      </c>
      <c r="C37" s="214">
        <v>0</v>
      </c>
      <c r="D37" s="214">
        <v>0</v>
      </c>
      <c r="E37" s="215">
        <f t="shared" si="2"/>
        <v>0</v>
      </c>
      <c r="F37" s="214">
        <v>0</v>
      </c>
      <c r="G37" s="214">
        <v>0</v>
      </c>
      <c r="H37" s="217">
        <f t="shared" si="1"/>
        <v>0</v>
      </c>
    </row>
    <row r="38" spans="1:8" ht="15.75">
      <c r="A38" s="30">
        <v>28</v>
      </c>
      <c r="B38" s="34" t="s">
        <v>181</v>
      </c>
      <c r="C38" s="214">
        <v>61986819.089999996</v>
      </c>
      <c r="D38" s="214">
        <v>0</v>
      </c>
      <c r="E38" s="215">
        <f t="shared" si="2"/>
        <v>61986819.089999996</v>
      </c>
      <c r="F38" s="214">
        <v>34127093.610000037</v>
      </c>
      <c r="G38" s="214">
        <v>0</v>
      </c>
      <c r="H38" s="217">
        <f t="shared" si="1"/>
        <v>34127093.610000037</v>
      </c>
    </row>
    <row r="39" spans="1:8" ht="15.75">
      <c r="A39" s="30">
        <v>29</v>
      </c>
      <c r="B39" s="34" t="s">
        <v>196</v>
      </c>
      <c r="C39" s="214">
        <v>0</v>
      </c>
      <c r="D39" s="214">
        <v>0</v>
      </c>
      <c r="E39" s="215">
        <f t="shared" si="2"/>
        <v>0</v>
      </c>
      <c r="F39" s="214">
        <v>0</v>
      </c>
      <c r="G39" s="214">
        <v>0</v>
      </c>
      <c r="H39" s="217">
        <f t="shared" si="1"/>
        <v>0</v>
      </c>
    </row>
    <row r="40" spans="1:8" ht="15.75">
      <c r="A40" s="30">
        <v>30</v>
      </c>
      <c r="B40" s="36" t="s">
        <v>182</v>
      </c>
      <c r="C40" s="214">
        <v>183358819.09</v>
      </c>
      <c r="D40" s="214">
        <v>0</v>
      </c>
      <c r="E40" s="215">
        <f t="shared" si="2"/>
        <v>183358819.09</v>
      </c>
      <c r="F40" s="214">
        <v>155499093.61000004</v>
      </c>
      <c r="G40" s="214">
        <v>0</v>
      </c>
      <c r="H40" s="217">
        <f t="shared" si="1"/>
        <v>155499093.61000004</v>
      </c>
    </row>
    <row r="41" spans="1:8" ht="16.5" thickBot="1">
      <c r="A41" s="37">
        <v>31</v>
      </c>
      <c r="B41" s="38" t="s">
        <v>197</v>
      </c>
      <c r="C41" s="220">
        <f>C31+C40</f>
        <v>804813876.38000011</v>
      </c>
      <c r="D41" s="220">
        <f>D31+D40</f>
        <v>698914483.21002316</v>
      </c>
      <c r="E41" s="220">
        <f>C41+D41</f>
        <v>1503728359.5900233</v>
      </c>
      <c r="F41" s="220">
        <f>F31+F40</f>
        <v>641131260.14999998</v>
      </c>
      <c r="G41" s="220">
        <f>G31+G40</f>
        <v>710169845.74003482</v>
      </c>
      <c r="H41" s="221">
        <f>F41+G41</f>
        <v>1351301105.8900347</v>
      </c>
    </row>
    <row r="43" spans="1:8">
      <c r="B43" s="39"/>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64" activePane="bottomRight" state="frozen"/>
      <selection activeCell="C50" sqref="C50"/>
      <selection pane="topRight" activeCell="C50" sqref="C50"/>
      <selection pane="bottomLeft" activeCell="C50" sqref="C50"/>
      <selection pane="bottomRight" activeCell="C50" sqref="C50"/>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"ტერაბანკი"</v>
      </c>
      <c r="C1" s="13"/>
    </row>
    <row r="2" spans="1:8" ht="15.75">
      <c r="A2" s="14" t="s">
        <v>189</v>
      </c>
      <c r="B2" s="403">
        <f>'1. key ratios'!B2</f>
        <v>44926</v>
      </c>
      <c r="C2" s="13"/>
    </row>
    <row r="3" spans="1:8" ht="15.75">
      <c r="A3" s="14"/>
      <c r="B3" s="13"/>
      <c r="C3" s="13"/>
    </row>
    <row r="4" spans="1:8" ht="16.5" thickBot="1">
      <c r="A4" s="15" t="s">
        <v>330</v>
      </c>
      <c r="B4" s="24" t="s">
        <v>222</v>
      </c>
      <c r="C4" s="26"/>
      <c r="D4" s="26"/>
      <c r="E4" s="26"/>
      <c r="F4" s="15"/>
      <c r="G4" s="15"/>
      <c r="H4" s="40" t="s">
        <v>93</v>
      </c>
    </row>
    <row r="5" spans="1:8" ht="15.75">
      <c r="A5" s="112"/>
      <c r="B5" s="113"/>
      <c r="C5" s="627" t="s">
        <v>194</v>
      </c>
      <c r="D5" s="628"/>
      <c r="E5" s="629"/>
      <c r="F5" s="627" t="s">
        <v>195</v>
      </c>
      <c r="G5" s="628"/>
      <c r="H5" s="630"/>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15.75">
      <c r="A8" s="116">
        <v>1</v>
      </c>
      <c r="B8" s="46" t="s">
        <v>97</v>
      </c>
      <c r="C8" s="222">
        <v>1950642.9400000002</v>
      </c>
      <c r="D8" s="222">
        <v>-39114.29</v>
      </c>
      <c r="E8" s="215">
        <f>C8+D8</f>
        <v>1911528.6500000001</v>
      </c>
      <c r="F8" s="222">
        <v>1347619.4</v>
      </c>
      <c r="G8" s="222">
        <v>-548893.2699999999</v>
      </c>
      <c r="H8" s="223">
        <f>F8+G8</f>
        <v>798726.13</v>
      </c>
    </row>
    <row r="9" spans="1:8" ht="15.75">
      <c r="A9" s="116">
        <v>2</v>
      </c>
      <c r="B9" s="46" t="s">
        <v>98</v>
      </c>
      <c r="C9" s="224">
        <f>SUM(C10:C18)</f>
        <v>76010782.210000008</v>
      </c>
      <c r="D9" s="224">
        <f>SUM(D10:D18)</f>
        <v>37326205.519999996</v>
      </c>
      <c r="E9" s="215">
        <f t="shared" ref="E9:E67" si="0">C9+D9</f>
        <v>113336987.73</v>
      </c>
      <c r="F9" s="224">
        <f>SUM(F10:F18)</f>
        <v>52160041.700000018</v>
      </c>
      <c r="G9" s="224">
        <f>SUM(G10:G18)</f>
        <v>40823464.850000009</v>
      </c>
      <c r="H9" s="223">
        <f t="shared" ref="H9:H67" si="1">F9+G9</f>
        <v>92983506.550000027</v>
      </c>
    </row>
    <row r="10" spans="1:8" ht="15.75">
      <c r="A10" s="116">
        <v>2.1</v>
      </c>
      <c r="B10" s="47" t="s">
        <v>99</v>
      </c>
      <c r="C10" s="222">
        <v>0</v>
      </c>
      <c r="D10" s="222">
        <v>0</v>
      </c>
      <c r="E10" s="215">
        <f t="shared" si="0"/>
        <v>0</v>
      </c>
      <c r="F10" s="222">
        <v>0</v>
      </c>
      <c r="G10" s="222">
        <v>0</v>
      </c>
      <c r="H10" s="223">
        <f t="shared" si="1"/>
        <v>0</v>
      </c>
    </row>
    <row r="11" spans="1:8" ht="15.75">
      <c r="A11" s="116">
        <v>2.2000000000000002</v>
      </c>
      <c r="B11" s="47" t="s">
        <v>100</v>
      </c>
      <c r="C11" s="222">
        <v>19167961.619999997</v>
      </c>
      <c r="D11" s="222">
        <v>12290235.810000001</v>
      </c>
      <c r="E11" s="215">
        <f t="shared" si="0"/>
        <v>31458197.43</v>
      </c>
      <c r="F11" s="222">
        <v>12076938.76</v>
      </c>
      <c r="G11" s="222">
        <v>14531626.450000003</v>
      </c>
      <c r="H11" s="223">
        <f t="shared" si="1"/>
        <v>26608565.210000001</v>
      </c>
    </row>
    <row r="12" spans="1:8" ht="15.75">
      <c r="A12" s="116">
        <v>2.2999999999999998</v>
      </c>
      <c r="B12" s="47" t="s">
        <v>101</v>
      </c>
      <c r="C12" s="222">
        <v>0</v>
      </c>
      <c r="D12" s="222">
        <v>1401419.19</v>
      </c>
      <c r="E12" s="215">
        <f t="shared" si="0"/>
        <v>1401419.19</v>
      </c>
      <c r="F12" s="222">
        <v>0</v>
      </c>
      <c r="G12" s="222">
        <v>1067796.4099999999</v>
      </c>
      <c r="H12" s="223">
        <f t="shared" si="1"/>
        <v>1067796.4099999999</v>
      </c>
    </row>
    <row r="13" spans="1:8" ht="15.75">
      <c r="A13" s="116">
        <v>2.4</v>
      </c>
      <c r="B13" s="47" t="s">
        <v>102</v>
      </c>
      <c r="C13" s="222">
        <v>1730338.65</v>
      </c>
      <c r="D13" s="222">
        <v>214758.05</v>
      </c>
      <c r="E13" s="215">
        <f t="shared" si="0"/>
        <v>1945096.7</v>
      </c>
      <c r="F13" s="222">
        <v>851340.30999999994</v>
      </c>
      <c r="G13" s="222">
        <v>151330.16</v>
      </c>
      <c r="H13" s="223">
        <f t="shared" si="1"/>
        <v>1002670.47</v>
      </c>
    </row>
    <row r="14" spans="1:8" ht="15.75">
      <c r="A14" s="116">
        <v>2.5</v>
      </c>
      <c r="B14" s="47" t="s">
        <v>103</v>
      </c>
      <c r="C14" s="222">
        <v>1316497.5099999998</v>
      </c>
      <c r="D14" s="222">
        <v>7605763.9900000002</v>
      </c>
      <c r="E14" s="215">
        <f t="shared" si="0"/>
        <v>8922261.5</v>
      </c>
      <c r="F14" s="222">
        <v>1018771.91</v>
      </c>
      <c r="G14" s="222">
        <v>6392957.6799999997</v>
      </c>
      <c r="H14" s="223">
        <f t="shared" si="1"/>
        <v>7411729.5899999999</v>
      </c>
    </row>
    <row r="15" spans="1:8" ht="15.75">
      <c r="A15" s="116">
        <v>2.6</v>
      </c>
      <c r="B15" s="47" t="s">
        <v>104</v>
      </c>
      <c r="C15" s="222">
        <v>50625.1</v>
      </c>
      <c r="D15" s="222">
        <v>20864.32</v>
      </c>
      <c r="E15" s="215">
        <f t="shared" si="0"/>
        <v>71489.42</v>
      </c>
      <c r="F15" s="222">
        <v>20934.5</v>
      </c>
      <c r="G15" s="222">
        <v>23661.37</v>
      </c>
      <c r="H15" s="223">
        <f t="shared" si="1"/>
        <v>44595.869999999995</v>
      </c>
    </row>
    <row r="16" spans="1:8" ht="15.75">
      <c r="A16" s="116">
        <v>2.7</v>
      </c>
      <c r="B16" s="47" t="s">
        <v>105</v>
      </c>
      <c r="C16" s="222">
        <v>148547.62</v>
      </c>
      <c r="D16" s="222">
        <v>0</v>
      </c>
      <c r="E16" s="215">
        <f t="shared" si="0"/>
        <v>148547.62</v>
      </c>
      <c r="F16" s="222">
        <v>9331.2900000000009</v>
      </c>
      <c r="G16" s="222">
        <v>0</v>
      </c>
      <c r="H16" s="223">
        <f t="shared" si="1"/>
        <v>9331.2900000000009</v>
      </c>
    </row>
    <row r="17" spans="1:8" ht="15.75">
      <c r="A17" s="116">
        <v>2.8</v>
      </c>
      <c r="B17" s="47" t="s">
        <v>106</v>
      </c>
      <c r="C17" s="222">
        <v>47583346.850000009</v>
      </c>
      <c r="D17" s="222">
        <v>14957925.540000001</v>
      </c>
      <c r="E17" s="215">
        <f t="shared" si="0"/>
        <v>62541272.390000008</v>
      </c>
      <c r="F17" s="222">
        <v>32698597.980000012</v>
      </c>
      <c r="G17" s="222">
        <v>17522407.120000001</v>
      </c>
      <c r="H17" s="223">
        <f t="shared" si="1"/>
        <v>50221005.100000009</v>
      </c>
    </row>
    <row r="18" spans="1:8" ht="15.75">
      <c r="A18" s="116">
        <v>2.9</v>
      </c>
      <c r="B18" s="47" t="s">
        <v>107</v>
      </c>
      <c r="C18" s="222">
        <v>6013464.8600000013</v>
      </c>
      <c r="D18" s="222">
        <v>835238.61999999988</v>
      </c>
      <c r="E18" s="215">
        <f t="shared" si="0"/>
        <v>6848703.4800000014</v>
      </c>
      <c r="F18" s="222">
        <v>5484126.9500000011</v>
      </c>
      <c r="G18" s="222">
        <v>1133685.6600000001</v>
      </c>
      <c r="H18" s="223">
        <f t="shared" si="1"/>
        <v>6617812.6100000013</v>
      </c>
    </row>
    <row r="19" spans="1:8" ht="15.75">
      <c r="A19" s="116">
        <v>3</v>
      </c>
      <c r="B19" s="46" t="s">
        <v>108</v>
      </c>
      <c r="C19" s="222">
        <v>1701939.4100000001</v>
      </c>
      <c r="D19" s="222">
        <v>1151873.5</v>
      </c>
      <c r="E19" s="215">
        <f t="shared" si="0"/>
        <v>2853812.91</v>
      </c>
      <c r="F19" s="222">
        <v>1226324.5599999996</v>
      </c>
      <c r="G19" s="222">
        <v>1712543.61</v>
      </c>
      <c r="H19" s="223">
        <f t="shared" si="1"/>
        <v>2938868.17</v>
      </c>
    </row>
    <row r="20" spans="1:8" ht="15.75">
      <c r="A20" s="116">
        <v>4</v>
      </c>
      <c r="B20" s="46" t="s">
        <v>109</v>
      </c>
      <c r="C20" s="222">
        <v>14762262.439999999</v>
      </c>
      <c r="D20" s="222">
        <v>0</v>
      </c>
      <c r="E20" s="215">
        <f t="shared" si="0"/>
        <v>14762262.439999999</v>
      </c>
      <c r="F20" s="222">
        <v>9605438.2800000012</v>
      </c>
      <c r="G20" s="222">
        <v>0</v>
      </c>
      <c r="H20" s="223">
        <f t="shared" si="1"/>
        <v>9605438.2800000012</v>
      </c>
    </row>
    <row r="21" spans="1:8" ht="15.75">
      <c r="A21" s="116">
        <v>5</v>
      </c>
      <c r="B21" s="46" t="s">
        <v>110</v>
      </c>
      <c r="C21" s="222">
        <v>1188884.6900000002</v>
      </c>
      <c r="D21" s="222">
        <v>362432.99</v>
      </c>
      <c r="E21" s="215">
        <f t="shared" si="0"/>
        <v>1551317.6800000002</v>
      </c>
      <c r="F21" s="222">
        <v>866363.75000000012</v>
      </c>
      <c r="G21" s="222">
        <v>484461.46</v>
      </c>
      <c r="H21" s="223">
        <f>F21+G21</f>
        <v>1350825.2100000002</v>
      </c>
    </row>
    <row r="22" spans="1:8" ht="15.75">
      <c r="A22" s="116">
        <v>6</v>
      </c>
      <c r="B22" s="48" t="s">
        <v>111</v>
      </c>
      <c r="C22" s="224">
        <f>C8+C9+C19+C20+C21</f>
        <v>95614511.689999998</v>
      </c>
      <c r="D22" s="224">
        <f>D8+D9+D19+D20+D21</f>
        <v>38801397.719999999</v>
      </c>
      <c r="E22" s="215">
        <f>C22+D22</f>
        <v>134415909.41</v>
      </c>
      <c r="F22" s="224">
        <f>F8+F9+F19+F20+F21</f>
        <v>65205787.69000002</v>
      </c>
      <c r="G22" s="224">
        <f>G8+G9+G19+G20+G21</f>
        <v>42471576.650000006</v>
      </c>
      <c r="H22" s="223">
        <f>F22+G22</f>
        <v>107677364.34000003</v>
      </c>
    </row>
    <row r="23" spans="1:8" ht="15.75">
      <c r="A23" s="116"/>
      <c r="B23" s="44" t="s">
        <v>90</v>
      </c>
      <c r="C23" s="222"/>
      <c r="D23" s="222"/>
      <c r="E23" s="214"/>
      <c r="F23" s="222"/>
      <c r="G23" s="222"/>
      <c r="H23" s="225"/>
    </row>
    <row r="24" spans="1:8" ht="15.75">
      <c r="A24" s="116">
        <v>7</v>
      </c>
      <c r="B24" s="46" t="s">
        <v>112</v>
      </c>
      <c r="C24" s="222">
        <v>13524874.160000002</v>
      </c>
      <c r="D24" s="222">
        <v>1941175.69</v>
      </c>
      <c r="E24" s="215">
        <f t="shared" si="0"/>
        <v>15466049.850000001</v>
      </c>
      <c r="F24" s="222">
        <v>7477466.7199999997</v>
      </c>
      <c r="G24" s="222">
        <v>3077734.98</v>
      </c>
      <c r="H24" s="223">
        <f t="shared" si="1"/>
        <v>10555201.699999999</v>
      </c>
    </row>
    <row r="25" spans="1:8" ht="15.75">
      <c r="A25" s="116">
        <v>8</v>
      </c>
      <c r="B25" s="46" t="s">
        <v>113</v>
      </c>
      <c r="C25" s="222">
        <v>18921616.82</v>
      </c>
      <c r="D25" s="222">
        <v>7566051.3100000005</v>
      </c>
      <c r="E25" s="215">
        <f t="shared" si="0"/>
        <v>26487668.130000003</v>
      </c>
      <c r="F25" s="222">
        <v>14822642.720000001</v>
      </c>
      <c r="G25" s="222">
        <v>9315302.3200000003</v>
      </c>
      <c r="H25" s="223">
        <f t="shared" si="1"/>
        <v>24137945.039999999</v>
      </c>
    </row>
    <row r="26" spans="1:8" ht="15.75">
      <c r="A26" s="116">
        <v>9</v>
      </c>
      <c r="B26" s="46" t="s">
        <v>114</v>
      </c>
      <c r="C26" s="222">
        <v>100387.66</v>
      </c>
      <c r="D26" s="222">
        <v>14441.98</v>
      </c>
      <c r="E26" s="215">
        <f t="shared" si="0"/>
        <v>114829.64</v>
      </c>
      <c r="F26" s="222">
        <v>11593.15</v>
      </c>
      <c r="G26" s="222">
        <v>73475.05</v>
      </c>
      <c r="H26" s="223">
        <f t="shared" si="1"/>
        <v>85068.2</v>
      </c>
    </row>
    <row r="27" spans="1:8" ht="15.75">
      <c r="A27" s="116">
        <v>10</v>
      </c>
      <c r="B27" s="46" t="s">
        <v>115</v>
      </c>
      <c r="C27" s="222">
        <v>0</v>
      </c>
      <c r="D27" s="222">
        <v>0</v>
      </c>
      <c r="E27" s="215">
        <f t="shared" si="0"/>
        <v>0</v>
      </c>
      <c r="F27" s="222">
        <v>0</v>
      </c>
      <c r="G27" s="222">
        <v>0</v>
      </c>
      <c r="H27" s="223">
        <f t="shared" si="1"/>
        <v>0</v>
      </c>
    </row>
    <row r="28" spans="1:8" ht="15.75">
      <c r="A28" s="116">
        <v>11</v>
      </c>
      <c r="B28" s="46" t="s">
        <v>116</v>
      </c>
      <c r="C28" s="222">
        <v>24587860.34</v>
      </c>
      <c r="D28" s="222">
        <v>6711863.2800000012</v>
      </c>
      <c r="E28" s="215">
        <f t="shared" si="0"/>
        <v>31299723.620000001</v>
      </c>
      <c r="F28" s="222">
        <v>15017144.300000001</v>
      </c>
      <c r="G28" s="222">
        <v>6942419.3700000001</v>
      </c>
      <c r="H28" s="223">
        <f t="shared" si="1"/>
        <v>21959563.670000002</v>
      </c>
    </row>
    <row r="29" spans="1:8" ht="15.75">
      <c r="A29" s="116">
        <v>12</v>
      </c>
      <c r="B29" s="46" t="s">
        <v>117</v>
      </c>
      <c r="C29" s="222">
        <v>0</v>
      </c>
      <c r="D29" s="222">
        <v>0</v>
      </c>
      <c r="E29" s="215">
        <f t="shared" si="0"/>
        <v>0</v>
      </c>
      <c r="F29" s="222">
        <v>0</v>
      </c>
      <c r="G29" s="222">
        <v>0</v>
      </c>
      <c r="H29" s="223">
        <f t="shared" si="1"/>
        <v>0</v>
      </c>
    </row>
    <row r="30" spans="1:8" ht="15.75">
      <c r="A30" s="116">
        <v>13</v>
      </c>
      <c r="B30" s="49" t="s">
        <v>118</v>
      </c>
      <c r="C30" s="224">
        <f>SUM(C24:C29)</f>
        <v>57134738.980000004</v>
      </c>
      <c r="D30" s="224">
        <f>SUM(D24:D29)</f>
        <v>16233532.260000002</v>
      </c>
      <c r="E30" s="215">
        <f t="shared" si="0"/>
        <v>73368271.24000001</v>
      </c>
      <c r="F30" s="224">
        <f>SUM(F24:F29)</f>
        <v>37328846.890000001</v>
      </c>
      <c r="G30" s="224">
        <f>SUM(G24:G29)</f>
        <v>19408931.720000003</v>
      </c>
      <c r="H30" s="223">
        <f t="shared" si="1"/>
        <v>56737778.609999999</v>
      </c>
    </row>
    <row r="31" spans="1:8" ht="15.75">
      <c r="A31" s="116">
        <v>14</v>
      </c>
      <c r="B31" s="49" t="s">
        <v>119</v>
      </c>
      <c r="C31" s="224">
        <f>C22-C30</f>
        <v>38479772.709999993</v>
      </c>
      <c r="D31" s="224">
        <f>D22-D30</f>
        <v>22567865.459999997</v>
      </c>
      <c r="E31" s="215">
        <f t="shared" si="0"/>
        <v>61047638.169999987</v>
      </c>
      <c r="F31" s="224">
        <f>F22-F30</f>
        <v>27876940.800000019</v>
      </c>
      <c r="G31" s="224">
        <f>G22-G30</f>
        <v>23062644.930000003</v>
      </c>
      <c r="H31" s="223">
        <f t="shared" si="1"/>
        <v>50939585.730000019</v>
      </c>
    </row>
    <row r="32" spans="1:8">
      <c r="A32" s="116"/>
      <c r="B32" s="44"/>
      <c r="C32" s="226"/>
      <c r="D32" s="226"/>
      <c r="E32" s="226"/>
      <c r="F32" s="226"/>
      <c r="G32" s="226"/>
      <c r="H32" s="227"/>
    </row>
    <row r="33" spans="1:8" ht="15.75">
      <c r="A33" s="116"/>
      <c r="B33" s="44" t="s">
        <v>120</v>
      </c>
      <c r="C33" s="222"/>
      <c r="D33" s="222"/>
      <c r="E33" s="214"/>
      <c r="F33" s="222"/>
      <c r="G33" s="222"/>
      <c r="H33" s="225"/>
    </row>
    <row r="34" spans="1:8" ht="15.75">
      <c r="A34" s="116">
        <v>15</v>
      </c>
      <c r="B34" s="43" t="s">
        <v>91</v>
      </c>
      <c r="C34" s="224">
        <f>C35-C36</f>
        <v>3228106.2299999977</v>
      </c>
      <c r="D34" s="224">
        <f>D35-D36</f>
        <v>1247190.5200000009</v>
      </c>
      <c r="E34" s="215">
        <f t="shared" si="0"/>
        <v>4475296.7499999981</v>
      </c>
      <c r="F34" s="224">
        <f>F35-F36</f>
        <v>2710383.3999999994</v>
      </c>
      <c r="G34" s="224">
        <f>G35-G36</f>
        <v>815034.14999999991</v>
      </c>
      <c r="H34" s="223">
        <f t="shared" si="1"/>
        <v>3525417.5499999993</v>
      </c>
    </row>
    <row r="35" spans="1:8" ht="15.75">
      <c r="A35" s="116">
        <v>15.1</v>
      </c>
      <c r="B35" s="47" t="s">
        <v>121</v>
      </c>
      <c r="C35" s="222">
        <v>5831220.7899999982</v>
      </c>
      <c r="D35" s="222">
        <v>2899777.540000001</v>
      </c>
      <c r="E35" s="215">
        <f t="shared" si="0"/>
        <v>8730998.3299999982</v>
      </c>
      <c r="F35" s="222">
        <v>4999286.6099999994</v>
      </c>
      <c r="G35" s="222">
        <v>2755732.21</v>
      </c>
      <c r="H35" s="223">
        <f t="shared" si="1"/>
        <v>7755018.8199999994</v>
      </c>
    </row>
    <row r="36" spans="1:8" ht="15.75">
      <c r="A36" s="116">
        <v>15.2</v>
      </c>
      <c r="B36" s="47" t="s">
        <v>122</v>
      </c>
      <c r="C36" s="222">
        <v>2603114.5600000005</v>
      </c>
      <c r="D36" s="222">
        <v>1652587.02</v>
      </c>
      <c r="E36" s="215">
        <f t="shared" si="0"/>
        <v>4255701.58</v>
      </c>
      <c r="F36" s="222">
        <v>2288903.21</v>
      </c>
      <c r="G36" s="222">
        <v>1940698.06</v>
      </c>
      <c r="H36" s="223">
        <f t="shared" si="1"/>
        <v>4229601.2699999996</v>
      </c>
    </row>
    <row r="37" spans="1:8" ht="15.75">
      <c r="A37" s="116">
        <v>16</v>
      </c>
      <c r="B37" s="46" t="s">
        <v>123</v>
      </c>
      <c r="C37" s="222">
        <v>0</v>
      </c>
      <c r="D37" s="222">
        <v>0</v>
      </c>
      <c r="E37" s="215">
        <f t="shared" si="0"/>
        <v>0</v>
      </c>
      <c r="F37" s="222">
        <v>0</v>
      </c>
      <c r="G37" s="222">
        <v>0</v>
      </c>
      <c r="H37" s="223">
        <f t="shared" si="1"/>
        <v>0</v>
      </c>
    </row>
    <row r="38" spans="1:8" ht="15.75">
      <c r="A38" s="116">
        <v>17</v>
      </c>
      <c r="B38" s="46" t="s">
        <v>124</v>
      </c>
      <c r="C38" s="222">
        <v>0</v>
      </c>
      <c r="D38" s="222">
        <v>0</v>
      </c>
      <c r="E38" s="215">
        <f t="shared" si="0"/>
        <v>0</v>
      </c>
      <c r="F38" s="222">
        <v>0</v>
      </c>
      <c r="G38" s="222">
        <v>0</v>
      </c>
      <c r="H38" s="223">
        <f t="shared" si="1"/>
        <v>0</v>
      </c>
    </row>
    <row r="39" spans="1:8" ht="15.75">
      <c r="A39" s="116">
        <v>18</v>
      </c>
      <c r="B39" s="46" t="s">
        <v>125</v>
      </c>
      <c r="C39" s="222">
        <v>0</v>
      </c>
      <c r="D39" s="222">
        <v>0</v>
      </c>
      <c r="E39" s="215">
        <f t="shared" si="0"/>
        <v>0</v>
      </c>
      <c r="F39" s="222">
        <v>0</v>
      </c>
      <c r="G39" s="222">
        <v>0</v>
      </c>
      <c r="H39" s="223">
        <f t="shared" si="1"/>
        <v>0</v>
      </c>
    </row>
    <row r="40" spans="1:8" ht="15.75">
      <c r="A40" s="116">
        <v>19</v>
      </c>
      <c r="B40" s="46" t="s">
        <v>126</v>
      </c>
      <c r="C40" s="222">
        <v>10870368.449999999</v>
      </c>
      <c r="D40" s="222">
        <v>0</v>
      </c>
      <c r="E40" s="215">
        <f t="shared" si="0"/>
        <v>10870368.449999999</v>
      </c>
      <c r="F40" s="222">
        <v>8757198.5200000051</v>
      </c>
      <c r="G40" s="222">
        <v>0</v>
      </c>
      <c r="H40" s="223">
        <f t="shared" si="1"/>
        <v>8757198.5200000051</v>
      </c>
    </row>
    <row r="41" spans="1:8" ht="15.75">
      <c r="A41" s="116">
        <v>20</v>
      </c>
      <c r="B41" s="46" t="s">
        <v>127</v>
      </c>
      <c r="C41" s="222">
        <v>-10373149.610000007</v>
      </c>
      <c r="D41" s="222">
        <v>0</v>
      </c>
      <c r="E41" s="215">
        <f t="shared" si="0"/>
        <v>-10373149.610000007</v>
      </c>
      <c r="F41" s="222">
        <v>-7663159.3999999985</v>
      </c>
      <c r="G41" s="222">
        <v>0</v>
      </c>
      <c r="H41" s="223">
        <f t="shared" si="1"/>
        <v>-7663159.3999999985</v>
      </c>
    </row>
    <row r="42" spans="1:8" ht="15.75">
      <c r="A42" s="116">
        <v>21</v>
      </c>
      <c r="B42" s="46" t="s">
        <v>128</v>
      </c>
      <c r="C42" s="222">
        <v>133205.08999999997</v>
      </c>
      <c r="D42" s="222">
        <v>0</v>
      </c>
      <c r="E42" s="215">
        <f t="shared" si="0"/>
        <v>133205.08999999997</v>
      </c>
      <c r="F42" s="222">
        <v>237425.81</v>
      </c>
      <c r="G42" s="222">
        <v>0</v>
      </c>
      <c r="H42" s="223">
        <f t="shared" si="1"/>
        <v>237425.81</v>
      </c>
    </row>
    <row r="43" spans="1:8" ht="15.75">
      <c r="A43" s="116">
        <v>22</v>
      </c>
      <c r="B43" s="46" t="s">
        <v>129</v>
      </c>
      <c r="C43" s="222">
        <v>0</v>
      </c>
      <c r="D43" s="222">
        <v>42562.38</v>
      </c>
      <c r="E43" s="215">
        <f t="shared" si="0"/>
        <v>42562.38</v>
      </c>
      <c r="F43" s="222">
        <v>418.4</v>
      </c>
      <c r="G43" s="222">
        <v>4220.25</v>
      </c>
      <c r="H43" s="223">
        <f t="shared" si="1"/>
        <v>4638.6499999999996</v>
      </c>
    </row>
    <row r="44" spans="1:8" ht="15.75">
      <c r="A44" s="116">
        <v>23</v>
      </c>
      <c r="B44" s="46" t="s">
        <v>130</v>
      </c>
      <c r="C44" s="222">
        <v>44273.77</v>
      </c>
      <c r="D44" s="222">
        <v>147879.99</v>
      </c>
      <c r="E44" s="215">
        <f t="shared" si="0"/>
        <v>192153.75999999998</v>
      </c>
      <c r="F44" s="222">
        <v>29230.680000000004</v>
      </c>
      <c r="G44" s="222">
        <v>71285.94</v>
      </c>
      <c r="H44" s="223">
        <f t="shared" si="1"/>
        <v>100516.62000000001</v>
      </c>
    </row>
    <row r="45" spans="1:8" ht="15.75">
      <c r="A45" s="116">
        <v>24</v>
      </c>
      <c r="B45" s="49" t="s">
        <v>131</v>
      </c>
      <c r="C45" s="224">
        <f>C34+C37+C38+C39+C40+C41+C42+C43+C44</f>
        <v>3902803.929999989</v>
      </c>
      <c r="D45" s="224">
        <f>D34+D37+D38+D39+D40+D41+D42+D43+D44</f>
        <v>1437632.8900000008</v>
      </c>
      <c r="E45" s="215">
        <f t="shared" si="0"/>
        <v>5340436.8199999901</v>
      </c>
      <c r="F45" s="224">
        <f>F34+F37+F38+F39+F40+F41+F42+F43+F44</f>
        <v>4071497.4100000071</v>
      </c>
      <c r="G45" s="224">
        <f>G34+G37+G38+G39+G40+G41+G42+G43+G44</f>
        <v>890540.33999999985</v>
      </c>
      <c r="H45" s="223">
        <f t="shared" si="1"/>
        <v>4962037.7500000075</v>
      </c>
    </row>
    <row r="46" spans="1:8">
      <c r="A46" s="116"/>
      <c r="B46" s="44" t="s">
        <v>132</v>
      </c>
      <c r="C46" s="222"/>
      <c r="D46" s="222"/>
      <c r="E46" s="222"/>
      <c r="F46" s="222"/>
      <c r="G46" s="222"/>
      <c r="H46" s="228"/>
    </row>
    <row r="47" spans="1:8" ht="15.75">
      <c r="A47" s="116">
        <v>25</v>
      </c>
      <c r="B47" s="46" t="s">
        <v>133</v>
      </c>
      <c r="C47" s="222">
        <v>1120208.48</v>
      </c>
      <c r="D47" s="222">
        <v>407622.88000000006</v>
      </c>
      <c r="E47" s="215">
        <f t="shared" si="0"/>
        <v>1527831.36</v>
      </c>
      <c r="F47" s="222">
        <v>879900.87</v>
      </c>
      <c r="G47" s="222">
        <v>488670.96999999991</v>
      </c>
      <c r="H47" s="223">
        <f t="shared" si="1"/>
        <v>1368571.8399999999</v>
      </c>
    </row>
    <row r="48" spans="1:8" ht="15.75">
      <c r="A48" s="116">
        <v>26</v>
      </c>
      <c r="B48" s="46" t="s">
        <v>134</v>
      </c>
      <c r="C48" s="222">
        <v>2525316.6399999997</v>
      </c>
      <c r="D48" s="222">
        <v>141380.27000000002</v>
      </c>
      <c r="E48" s="215">
        <f t="shared" si="0"/>
        <v>2666696.9099999997</v>
      </c>
      <c r="F48" s="222">
        <v>1826237.9</v>
      </c>
      <c r="G48" s="222">
        <v>148676.35999999999</v>
      </c>
      <c r="H48" s="223">
        <f t="shared" si="1"/>
        <v>1974914.2599999998</v>
      </c>
    </row>
    <row r="49" spans="1:9" ht="15.75">
      <c r="A49" s="116">
        <v>27</v>
      </c>
      <c r="B49" s="46" t="s">
        <v>135</v>
      </c>
      <c r="C49" s="222">
        <v>21802580.329999994</v>
      </c>
      <c r="D49" s="222">
        <v>0</v>
      </c>
      <c r="E49" s="215">
        <f t="shared" si="0"/>
        <v>21802580.329999994</v>
      </c>
      <c r="F49" s="222">
        <v>15666648.569999987</v>
      </c>
      <c r="G49" s="222">
        <v>0</v>
      </c>
      <c r="H49" s="223">
        <f t="shared" si="1"/>
        <v>15666648.569999987</v>
      </c>
    </row>
    <row r="50" spans="1:9" ht="15.75">
      <c r="A50" s="116">
        <v>28</v>
      </c>
      <c r="B50" s="46" t="s">
        <v>271</v>
      </c>
      <c r="C50" s="222">
        <v>0</v>
      </c>
      <c r="D50" s="222">
        <v>0</v>
      </c>
      <c r="E50" s="215">
        <f t="shared" si="0"/>
        <v>0</v>
      </c>
      <c r="F50" s="222">
        <v>0</v>
      </c>
      <c r="G50" s="222">
        <v>0</v>
      </c>
      <c r="H50" s="223">
        <f t="shared" si="1"/>
        <v>0</v>
      </c>
    </row>
    <row r="51" spans="1:9" ht="15.75">
      <c r="A51" s="116">
        <v>29</v>
      </c>
      <c r="B51" s="46" t="s">
        <v>136</v>
      </c>
      <c r="C51" s="222">
        <v>5317054.21</v>
      </c>
      <c r="D51" s="222">
        <v>0</v>
      </c>
      <c r="E51" s="215">
        <f t="shared" si="0"/>
        <v>5317054.21</v>
      </c>
      <c r="F51" s="222">
        <v>5223869.9799999995</v>
      </c>
      <c r="G51" s="222">
        <v>0</v>
      </c>
      <c r="H51" s="223">
        <f t="shared" si="1"/>
        <v>5223869.9799999995</v>
      </c>
    </row>
    <row r="52" spans="1:9" ht="15.75">
      <c r="A52" s="116">
        <v>30</v>
      </c>
      <c r="B52" s="46" t="s">
        <v>137</v>
      </c>
      <c r="C52" s="222">
        <v>11097576.069999987</v>
      </c>
      <c r="D52" s="222">
        <v>11795.45</v>
      </c>
      <c r="E52" s="215">
        <f t="shared" si="0"/>
        <v>11109371.519999987</v>
      </c>
      <c r="F52" s="222">
        <v>7800291.499999987</v>
      </c>
      <c r="G52" s="222">
        <v>14922.78</v>
      </c>
      <c r="H52" s="223">
        <f t="shared" si="1"/>
        <v>7815214.2799999872</v>
      </c>
    </row>
    <row r="53" spans="1:9" ht="15.75">
      <c r="A53" s="116">
        <v>31</v>
      </c>
      <c r="B53" s="49" t="s">
        <v>138</v>
      </c>
      <c r="C53" s="224">
        <f>C47+C48+C49+C50+C51+C52</f>
        <v>41862735.729999982</v>
      </c>
      <c r="D53" s="224">
        <f>D47+D48+D49+D50+D51+D52</f>
        <v>560798.60000000009</v>
      </c>
      <c r="E53" s="215">
        <f t="shared" si="0"/>
        <v>42423534.329999983</v>
      </c>
      <c r="F53" s="224">
        <f>F47+F48+F49+F50+F51+F52</f>
        <v>31396948.819999978</v>
      </c>
      <c r="G53" s="224">
        <f>G47+G48+G49+G50+G51+G52</f>
        <v>652270.10999999987</v>
      </c>
      <c r="H53" s="223">
        <f t="shared" si="1"/>
        <v>32049218.929999977</v>
      </c>
    </row>
    <row r="54" spans="1:9" ht="15.75">
      <c r="A54" s="116">
        <v>32</v>
      </c>
      <c r="B54" s="49" t="s">
        <v>139</v>
      </c>
      <c r="C54" s="224">
        <f>C45-C53</f>
        <v>-37959931.79999999</v>
      </c>
      <c r="D54" s="224">
        <f>D45-D53</f>
        <v>876834.29000000074</v>
      </c>
      <c r="E54" s="215">
        <f t="shared" si="0"/>
        <v>-37083097.50999999</v>
      </c>
      <c r="F54" s="224">
        <f>F45-F53</f>
        <v>-27325451.40999997</v>
      </c>
      <c r="G54" s="224">
        <f>G45-G53</f>
        <v>238270.22999999998</v>
      </c>
      <c r="H54" s="223">
        <f t="shared" si="1"/>
        <v>-27087181.17999997</v>
      </c>
    </row>
    <row r="55" spans="1:9">
      <c r="A55" s="116"/>
      <c r="B55" s="44"/>
      <c r="C55" s="226"/>
      <c r="D55" s="226"/>
      <c r="E55" s="226"/>
      <c r="F55" s="226"/>
      <c r="G55" s="226"/>
      <c r="H55" s="227"/>
    </row>
    <row r="56" spans="1:9" ht="15.75">
      <c r="A56" s="116">
        <v>33</v>
      </c>
      <c r="B56" s="49" t="s">
        <v>140</v>
      </c>
      <c r="C56" s="224">
        <f>C31+C54</f>
        <v>519840.91000000387</v>
      </c>
      <c r="D56" s="224">
        <f>D31+D54</f>
        <v>23444699.749999996</v>
      </c>
      <c r="E56" s="215">
        <f t="shared" si="0"/>
        <v>23964540.66</v>
      </c>
      <c r="F56" s="224">
        <f>F31+F54</f>
        <v>551489.39000004902</v>
      </c>
      <c r="G56" s="224">
        <f>G31+G54</f>
        <v>23300915.160000004</v>
      </c>
      <c r="H56" s="223">
        <f t="shared" si="1"/>
        <v>23852404.550000053</v>
      </c>
    </row>
    <row r="57" spans="1:9">
      <c r="A57" s="116"/>
      <c r="B57" s="44"/>
      <c r="C57" s="226"/>
      <c r="D57" s="226"/>
      <c r="E57" s="226"/>
      <c r="F57" s="226"/>
      <c r="G57" s="226"/>
      <c r="H57" s="227"/>
    </row>
    <row r="58" spans="1:9" ht="15.75">
      <c r="A58" s="116">
        <v>34</v>
      </c>
      <c r="B58" s="46" t="s">
        <v>141</v>
      </c>
      <c r="C58" s="222">
        <v>-4284509.0199999996</v>
      </c>
      <c r="D58" s="222" t="s">
        <v>740</v>
      </c>
      <c r="E58" s="526">
        <f>C58</f>
        <v>-4284509.0199999996</v>
      </c>
      <c r="F58" s="222">
        <v>-4425506.0399999991</v>
      </c>
      <c r="G58" s="222" t="s">
        <v>740</v>
      </c>
      <c r="H58" s="527">
        <f>F58</f>
        <v>-4425506.0399999991</v>
      </c>
    </row>
    <row r="59" spans="1:9" s="190" customFormat="1" ht="15.75">
      <c r="A59" s="116">
        <v>35</v>
      </c>
      <c r="B59" s="43" t="s">
        <v>142</v>
      </c>
      <c r="C59" s="222">
        <v>13527.5</v>
      </c>
      <c r="D59" s="222" t="s">
        <v>740</v>
      </c>
      <c r="E59" s="526">
        <f>C59</f>
        <v>13527.5</v>
      </c>
      <c r="F59" s="222">
        <v>-38155.35</v>
      </c>
      <c r="G59" s="222" t="s">
        <v>740</v>
      </c>
      <c r="H59" s="527">
        <f>F59</f>
        <v>-38155.35</v>
      </c>
      <c r="I59" s="189"/>
    </row>
    <row r="60" spans="1:9" ht="15.75">
      <c r="A60" s="116">
        <v>36</v>
      </c>
      <c r="B60" s="46" t="s">
        <v>143</v>
      </c>
      <c r="C60" s="222">
        <v>-4134695.0200000005</v>
      </c>
      <c r="D60" s="222" t="s">
        <v>740</v>
      </c>
      <c r="E60" s="526">
        <f>C60</f>
        <v>-4134695.0200000005</v>
      </c>
      <c r="F60" s="222">
        <v>-3849584.71</v>
      </c>
      <c r="G60" s="222" t="s">
        <v>740</v>
      </c>
      <c r="H60" s="527">
        <f>F60</f>
        <v>-3849584.71</v>
      </c>
    </row>
    <row r="61" spans="1:9" ht="15.75">
      <c r="A61" s="116">
        <v>37</v>
      </c>
      <c r="B61" s="49" t="s">
        <v>144</v>
      </c>
      <c r="C61" s="224">
        <f>C58+C59+C60</f>
        <v>-8405676.5399999991</v>
      </c>
      <c r="D61" s="224">
        <v>0</v>
      </c>
      <c r="E61" s="526">
        <f>C61</f>
        <v>-8405676.5399999991</v>
      </c>
      <c r="F61" s="224">
        <f>F58+F59+F60</f>
        <v>-8313246.0999999987</v>
      </c>
      <c r="G61" s="528">
        <v>0</v>
      </c>
      <c r="H61" s="527">
        <f t="shared" ref="H61" si="2">F61+G61</f>
        <v>-8313246.0999999987</v>
      </c>
    </row>
    <row r="62" spans="1:9">
      <c r="A62" s="116"/>
      <c r="B62" s="50"/>
      <c r="C62" s="222"/>
      <c r="D62" s="222"/>
      <c r="E62" s="222"/>
      <c r="F62" s="222"/>
      <c r="G62" s="222"/>
      <c r="H62" s="228"/>
    </row>
    <row r="63" spans="1:9" ht="15.75">
      <c r="A63" s="116">
        <v>38</v>
      </c>
      <c r="B63" s="51" t="s">
        <v>272</v>
      </c>
      <c r="C63" s="224">
        <f>C56-C61</f>
        <v>8925517.450000003</v>
      </c>
      <c r="D63" s="224">
        <f>D56-D61</f>
        <v>23444699.749999996</v>
      </c>
      <c r="E63" s="215">
        <f t="shared" si="0"/>
        <v>32370217.199999999</v>
      </c>
      <c r="F63" s="224">
        <f>F56-F61</f>
        <v>8864735.4900000468</v>
      </c>
      <c r="G63" s="224">
        <f>G56-G61</f>
        <v>23300915.160000004</v>
      </c>
      <c r="H63" s="223">
        <f t="shared" si="1"/>
        <v>32165650.650000051</v>
      </c>
    </row>
    <row r="64" spans="1:9" ht="15.75">
      <c r="A64" s="114">
        <v>39</v>
      </c>
      <c r="B64" s="46" t="s">
        <v>145</v>
      </c>
      <c r="C64" s="222">
        <v>4510491.71</v>
      </c>
      <c r="D64" s="222">
        <v>0</v>
      </c>
      <c r="E64" s="215">
        <f t="shared" si="0"/>
        <v>4510491.71</v>
      </c>
      <c r="F64" s="222">
        <v>2161195</v>
      </c>
      <c r="G64" s="222">
        <v>0</v>
      </c>
      <c r="H64" s="223">
        <f t="shared" si="1"/>
        <v>2161195</v>
      </c>
    </row>
    <row r="65" spans="1:8" ht="15.75">
      <c r="A65" s="116">
        <v>40</v>
      </c>
      <c r="B65" s="49" t="s">
        <v>146</v>
      </c>
      <c r="C65" s="224">
        <f>C63-C64</f>
        <v>4415025.740000003</v>
      </c>
      <c r="D65" s="224">
        <f>D63-D64</f>
        <v>23444699.749999996</v>
      </c>
      <c r="E65" s="215">
        <f t="shared" si="0"/>
        <v>27859725.489999998</v>
      </c>
      <c r="F65" s="224">
        <f>F63-F64</f>
        <v>6703540.4900000468</v>
      </c>
      <c r="G65" s="224">
        <f>G63-G64</f>
        <v>23300915.160000004</v>
      </c>
      <c r="H65" s="223">
        <f t="shared" si="1"/>
        <v>30004455.650000051</v>
      </c>
    </row>
    <row r="66" spans="1:8" ht="15.75">
      <c r="A66" s="114">
        <v>41</v>
      </c>
      <c r="B66" s="46" t="s">
        <v>147</v>
      </c>
      <c r="C66" s="222">
        <v>0</v>
      </c>
      <c r="D66" s="222">
        <v>0</v>
      </c>
      <c r="E66" s="215">
        <f t="shared" si="0"/>
        <v>0</v>
      </c>
      <c r="F66" s="222">
        <v>0</v>
      </c>
      <c r="G66" s="222">
        <v>0</v>
      </c>
      <c r="H66" s="223">
        <f t="shared" si="1"/>
        <v>0</v>
      </c>
    </row>
    <row r="67" spans="1:8" ht="16.5" thickBot="1">
      <c r="A67" s="118">
        <v>42</v>
      </c>
      <c r="B67" s="119" t="s">
        <v>148</v>
      </c>
      <c r="C67" s="229">
        <f>C65+C66</f>
        <v>4415025.740000003</v>
      </c>
      <c r="D67" s="229">
        <f>D65+D66</f>
        <v>23444699.749999996</v>
      </c>
      <c r="E67" s="220">
        <f t="shared" si="0"/>
        <v>27859725.489999998</v>
      </c>
      <c r="F67" s="229">
        <f>F65+F66</f>
        <v>6703540.4900000468</v>
      </c>
      <c r="G67" s="229">
        <f>G65+G66</f>
        <v>23300915.160000004</v>
      </c>
      <c r="H67" s="230">
        <f t="shared" si="1"/>
        <v>30004455.650000051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41" zoomScaleNormal="100" workbookViewId="0">
      <selection activeCell="B1" sqref="B1"/>
    </sheetView>
  </sheetViews>
  <sheetFormatPr defaultRowHeight="15"/>
  <cols>
    <col min="1" max="1" width="9.5703125" bestFit="1" customWidth="1"/>
    <col min="2" max="2" width="72.28515625" customWidth="1"/>
    <col min="3" max="8" width="12.7109375" customWidth="1"/>
  </cols>
  <sheetData>
    <row r="1" spans="1:8">
      <c r="A1" s="1" t="s">
        <v>188</v>
      </c>
      <c r="B1" t="str">
        <f>Info!C2</f>
        <v>ს.ს. "ტერაბანკი"</v>
      </c>
    </row>
    <row r="2" spans="1:8">
      <c r="A2" s="1" t="s">
        <v>189</v>
      </c>
      <c r="B2" s="403">
        <f>'1. key ratios'!B2</f>
        <v>44926</v>
      </c>
    </row>
    <row r="3" spans="1:8">
      <c r="A3" s="1"/>
    </row>
    <row r="4" spans="1:8" ht="16.5" thickBot="1">
      <c r="A4" s="1" t="s">
        <v>331</v>
      </c>
      <c r="B4" s="1"/>
      <c r="C4" s="199"/>
      <c r="D4" s="199"/>
      <c r="E4" s="199"/>
      <c r="F4" s="199"/>
      <c r="G4" s="199"/>
      <c r="H4" s="200" t="s">
        <v>93</v>
      </c>
    </row>
    <row r="5" spans="1:8" ht="15.75">
      <c r="A5" s="631" t="s">
        <v>26</v>
      </c>
      <c r="B5" s="633" t="s">
        <v>245</v>
      </c>
      <c r="C5" s="635" t="s">
        <v>194</v>
      </c>
      <c r="D5" s="635"/>
      <c r="E5" s="635"/>
      <c r="F5" s="635" t="s">
        <v>195</v>
      </c>
      <c r="G5" s="635"/>
      <c r="H5" s="636"/>
    </row>
    <row r="6" spans="1:8">
      <c r="A6" s="632"/>
      <c r="B6" s="634"/>
      <c r="C6" s="32" t="s">
        <v>27</v>
      </c>
      <c r="D6" s="32" t="s">
        <v>94</v>
      </c>
      <c r="E6" s="32" t="s">
        <v>68</v>
      </c>
      <c r="F6" s="32" t="s">
        <v>27</v>
      </c>
      <c r="G6" s="32" t="s">
        <v>94</v>
      </c>
      <c r="H6" s="33" t="s">
        <v>68</v>
      </c>
    </row>
    <row r="7" spans="1:8" ht="15.75">
      <c r="A7" s="108">
        <v>1</v>
      </c>
      <c r="B7" s="201" t="s">
        <v>367</v>
      </c>
      <c r="C7" s="216">
        <v>60253722.469999909</v>
      </c>
      <c r="D7" s="216">
        <v>24021218.719999991</v>
      </c>
      <c r="E7" s="231">
        <f>C7+D7</f>
        <v>84274941.189999908</v>
      </c>
      <c r="F7" s="216">
        <v>62522194.069999948</v>
      </c>
      <c r="G7" s="216">
        <v>35628972.630000003</v>
      </c>
      <c r="H7" s="217">
        <f t="shared" ref="H7:H53" si="0">F7+G7</f>
        <v>98151166.699999958</v>
      </c>
    </row>
    <row r="8" spans="1:8" ht="15.75">
      <c r="A8" s="108">
        <v>1.1000000000000001</v>
      </c>
      <c r="B8" s="202" t="s">
        <v>276</v>
      </c>
      <c r="C8" s="216">
        <v>37805583.759999998</v>
      </c>
      <c r="D8" s="216">
        <v>7194921.2599999998</v>
      </c>
      <c r="E8" s="231">
        <f t="shared" ref="E8:E53" si="1">C8+D8</f>
        <v>45000505.019999996</v>
      </c>
      <c r="F8" s="216">
        <v>44005476.310000002</v>
      </c>
      <c r="G8" s="216">
        <v>22657150.800000001</v>
      </c>
      <c r="H8" s="217">
        <f t="shared" si="0"/>
        <v>66662627.109999999</v>
      </c>
    </row>
    <row r="9" spans="1:8" ht="15.75">
      <c r="A9" s="108">
        <v>1.2</v>
      </c>
      <c r="B9" s="202" t="s">
        <v>277</v>
      </c>
      <c r="C9" s="216">
        <v>0</v>
      </c>
      <c r="D9" s="216">
        <v>0</v>
      </c>
      <c r="E9" s="231">
        <f t="shared" si="1"/>
        <v>0</v>
      </c>
      <c r="F9" s="216">
        <v>0</v>
      </c>
      <c r="G9" s="216">
        <v>0</v>
      </c>
      <c r="H9" s="217">
        <f t="shared" si="0"/>
        <v>0</v>
      </c>
    </row>
    <row r="10" spans="1:8" ht="15.75">
      <c r="A10" s="108">
        <v>1.3</v>
      </c>
      <c r="B10" s="202" t="s">
        <v>278</v>
      </c>
      <c r="C10" s="216">
        <v>22448138.709999915</v>
      </c>
      <c r="D10" s="216">
        <v>16826297.459999993</v>
      </c>
      <c r="E10" s="231">
        <f t="shared" si="1"/>
        <v>39274436.169999912</v>
      </c>
      <c r="F10" s="216">
        <v>18516717.759999946</v>
      </c>
      <c r="G10" s="216">
        <v>12971821.83</v>
      </c>
      <c r="H10" s="217">
        <f t="shared" si="0"/>
        <v>31488539.589999944</v>
      </c>
    </row>
    <row r="11" spans="1:8" ht="15.75">
      <c r="A11" s="108">
        <v>1.4</v>
      </c>
      <c r="B11" s="202" t="s">
        <v>279</v>
      </c>
      <c r="C11" s="216">
        <v>0</v>
      </c>
      <c r="D11" s="216">
        <v>0</v>
      </c>
      <c r="E11" s="231">
        <f t="shared" si="1"/>
        <v>0</v>
      </c>
      <c r="F11" s="216">
        <v>0</v>
      </c>
      <c r="G11" s="216">
        <v>0</v>
      </c>
      <c r="H11" s="217">
        <f t="shared" si="0"/>
        <v>0</v>
      </c>
    </row>
    <row r="12" spans="1:8" ht="29.25" customHeight="1">
      <c r="A12" s="108">
        <v>2</v>
      </c>
      <c r="B12" s="201" t="s">
        <v>280</v>
      </c>
      <c r="C12" s="216">
        <v>0</v>
      </c>
      <c r="D12" s="216">
        <v>0</v>
      </c>
      <c r="E12" s="231">
        <f t="shared" si="1"/>
        <v>0</v>
      </c>
      <c r="F12" s="216">
        <v>0</v>
      </c>
      <c r="G12" s="216">
        <v>0</v>
      </c>
      <c r="H12" s="217">
        <f t="shared" si="0"/>
        <v>0</v>
      </c>
    </row>
    <row r="13" spans="1:8" ht="25.5">
      <c r="A13" s="108">
        <v>3</v>
      </c>
      <c r="B13" s="201" t="s">
        <v>281</v>
      </c>
      <c r="C13" s="216">
        <v>117239943.2</v>
      </c>
      <c r="D13" s="216">
        <v>0</v>
      </c>
      <c r="E13" s="231">
        <f t="shared" si="1"/>
        <v>117239943.2</v>
      </c>
      <c r="F13" s="216">
        <v>127544000</v>
      </c>
      <c r="G13" s="216">
        <v>0</v>
      </c>
      <c r="H13" s="217">
        <f t="shared" si="0"/>
        <v>127544000</v>
      </c>
    </row>
    <row r="14" spans="1:8" ht="15.75">
      <c r="A14" s="108">
        <v>3.1</v>
      </c>
      <c r="B14" s="202" t="s">
        <v>282</v>
      </c>
      <c r="C14" s="216">
        <v>117239943.2</v>
      </c>
      <c r="D14" s="216">
        <v>0</v>
      </c>
      <c r="E14" s="231">
        <f t="shared" si="1"/>
        <v>117239943.2</v>
      </c>
      <c r="F14" s="216">
        <v>127544000</v>
      </c>
      <c r="G14" s="216">
        <v>0</v>
      </c>
      <c r="H14" s="217">
        <f t="shared" si="0"/>
        <v>127544000</v>
      </c>
    </row>
    <row r="15" spans="1:8" ht="15.75">
      <c r="A15" s="108">
        <v>3.2</v>
      </c>
      <c r="B15" s="202" t="s">
        <v>283</v>
      </c>
      <c r="C15" s="216">
        <v>0</v>
      </c>
      <c r="D15" s="216">
        <v>0</v>
      </c>
      <c r="E15" s="231">
        <f t="shared" si="1"/>
        <v>0</v>
      </c>
      <c r="F15" s="216">
        <v>0</v>
      </c>
      <c r="G15" s="216">
        <v>0</v>
      </c>
      <c r="H15" s="217">
        <f t="shared" si="0"/>
        <v>0</v>
      </c>
    </row>
    <row r="16" spans="1:8" ht="15.75">
      <c r="A16" s="108">
        <v>4</v>
      </c>
      <c r="B16" s="201" t="s">
        <v>284</v>
      </c>
      <c r="C16" s="216">
        <v>262580153.69999981</v>
      </c>
      <c r="D16" s="216">
        <v>364651291.2299999</v>
      </c>
      <c r="E16" s="231">
        <f t="shared" si="1"/>
        <v>627231444.92999971</v>
      </c>
      <c r="F16" s="216">
        <v>272113544.53000009</v>
      </c>
      <c r="G16" s="216">
        <v>405843740.41000015</v>
      </c>
      <c r="H16" s="217">
        <f t="shared" si="0"/>
        <v>677957284.9400003</v>
      </c>
    </row>
    <row r="17" spans="1:8" ht="15.75">
      <c r="A17" s="108">
        <v>4.0999999999999996</v>
      </c>
      <c r="B17" s="202" t="s">
        <v>285</v>
      </c>
      <c r="C17" s="216">
        <v>232384308.1799998</v>
      </c>
      <c r="D17" s="216">
        <v>364651291.2299999</v>
      </c>
      <c r="E17" s="231">
        <f t="shared" si="1"/>
        <v>597035599.40999973</v>
      </c>
      <c r="F17" s="216">
        <v>263458314.07000008</v>
      </c>
      <c r="G17" s="216">
        <v>405665032.13200015</v>
      </c>
      <c r="H17" s="217">
        <f t="shared" si="0"/>
        <v>669123346.20200026</v>
      </c>
    </row>
    <row r="18" spans="1:8" ht="15.75">
      <c r="A18" s="108">
        <v>4.2</v>
      </c>
      <c r="B18" s="202" t="s">
        <v>286</v>
      </c>
      <c r="C18" s="216">
        <v>30195845.52</v>
      </c>
      <c r="D18" s="216">
        <v>0</v>
      </c>
      <c r="E18" s="231">
        <f t="shared" si="1"/>
        <v>30195845.52</v>
      </c>
      <c r="F18" s="216">
        <v>8655230.4600000009</v>
      </c>
      <c r="G18" s="216">
        <v>178708.27800000002</v>
      </c>
      <c r="H18" s="217">
        <f t="shared" si="0"/>
        <v>8833938.7380000018</v>
      </c>
    </row>
    <row r="19" spans="1:8" ht="25.5">
      <c r="A19" s="108">
        <v>5</v>
      </c>
      <c r="B19" s="201" t="s">
        <v>287</v>
      </c>
      <c r="C19" s="216">
        <v>982233629.01000011</v>
      </c>
      <c r="D19" s="216">
        <v>979458560.28000045</v>
      </c>
      <c r="E19" s="231">
        <f t="shared" si="1"/>
        <v>1961692189.2900004</v>
      </c>
      <c r="F19" s="216">
        <v>861251062.86000001</v>
      </c>
      <c r="G19" s="216">
        <v>958989015.80999994</v>
      </c>
      <c r="H19" s="217">
        <f t="shared" si="0"/>
        <v>1820240078.6700001</v>
      </c>
    </row>
    <row r="20" spans="1:8" ht="15.75">
      <c r="A20" s="108">
        <v>5.0999999999999996</v>
      </c>
      <c r="B20" s="202" t="s">
        <v>288</v>
      </c>
      <c r="C20" s="216">
        <v>16231377.260000004</v>
      </c>
      <c r="D20" s="216">
        <v>26852372.569999997</v>
      </c>
      <c r="E20" s="231">
        <f t="shared" si="1"/>
        <v>43083749.829999998</v>
      </c>
      <c r="F20" s="216">
        <v>26006468.259999998</v>
      </c>
      <c r="G20" s="216">
        <v>43548588.25</v>
      </c>
      <c r="H20" s="217">
        <f t="shared" si="0"/>
        <v>69555056.50999999</v>
      </c>
    </row>
    <row r="21" spans="1:8" ht="15.75">
      <c r="A21" s="108">
        <v>5.2</v>
      </c>
      <c r="B21" s="202" t="s">
        <v>289</v>
      </c>
      <c r="C21" s="216">
        <v>30431629.93</v>
      </c>
      <c r="D21" s="216">
        <v>2685232.55</v>
      </c>
      <c r="E21" s="231">
        <f t="shared" si="1"/>
        <v>33116862.48</v>
      </c>
      <c r="F21" s="216">
        <v>9981736.2800000012</v>
      </c>
      <c r="G21" s="216">
        <v>3411073.31</v>
      </c>
      <c r="H21" s="217">
        <f t="shared" si="0"/>
        <v>13392809.590000002</v>
      </c>
    </row>
    <row r="22" spans="1:8" ht="15.75">
      <c r="A22" s="108">
        <v>5.3</v>
      </c>
      <c r="B22" s="202" t="s">
        <v>290</v>
      </c>
      <c r="C22" s="216">
        <v>776861297.38000011</v>
      </c>
      <c r="D22" s="216">
        <v>925755567.65000045</v>
      </c>
      <c r="E22" s="231">
        <f t="shared" si="1"/>
        <v>1702616865.0300007</v>
      </c>
      <c r="F22" s="216">
        <v>723293321.94000006</v>
      </c>
      <c r="G22" s="216">
        <v>891566489.2299999</v>
      </c>
      <c r="H22" s="217">
        <f t="shared" si="0"/>
        <v>1614859811.1700001</v>
      </c>
    </row>
    <row r="23" spans="1:8" ht="15.75">
      <c r="A23" s="108" t="s">
        <v>291</v>
      </c>
      <c r="B23" s="203" t="s">
        <v>292</v>
      </c>
      <c r="C23" s="216">
        <v>411815586.75000006</v>
      </c>
      <c r="D23" s="216">
        <v>354463519.40000051</v>
      </c>
      <c r="E23" s="231">
        <f t="shared" si="1"/>
        <v>766279106.15000057</v>
      </c>
      <c r="F23" s="216">
        <v>390319324.36000001</v>
      </c>
      <c r="G23" s="216">
        <v>341358970.64999998</v>
      </c>
      <c r="H23" s="217">
        <f t="shared" si="0"/>
        <v>731678295.00999999</v>
      </c>
    </row>
    <row r="24" spans="1:8" ht="15.75">
      <c r="A24" s="108" t="s">
        <v>293</v>
      </c>
      <c r="B24" s="203" t="s">
        <v>294</v>
      </c>
      <c r="C24" s="216">
        <v>165325085.31</v>
      </c>
      <c r="D24" s="216">
        <v>345172069.23999995</v>
      </c>
      <c r="E24" s="231">
        <f t="shared" si="1"/>
        <v>510497154.54999995</v>
      </c>
      <c r="F24" s="216">
        <v>182992308.62000009</v>
      </c>
      <c r="G24" s="216">
        <v>317059846.04000008</v>
      </c>
      <c r="H24" s="217">
        <f t="shared" si="0"/>
        <v>500052154.66000021</v>
      </c>
    </row>
    <row r="25" spans="1:8" ht="15.75">
      <c r="A25" s="108" t="s">
        <v>295</v>
      </c>
      <c r="B25" s="204" t="s">
        <v>296</v>
      </c>
      <c r="C25" s="216">
        <v>28165047.100000016</v>
      </c>
      <c r="D25" s="216">
        <v>39800317.870000012</v>
      </c>
      <c r="E25" s="231">
        <f t="shared" si="1"/>
        <v>67965364.970000029</v>
      </c>
      <c r="F25" s="216">
        <v>18178275.790000003</v>
      </c>
      <c r="G25" s="216">
        <v>22981833.819999993</v>
      </c>
      <c r="H25" s="217">
        <f t="shared" si="0"/>
        <v>41160109.609999999</v>
      </c>
    </row>
    <row r="26" spans="1:8" ht="15.75">
      <c r="A26" s="108" t="s">
        <v>297</v>
      </c>
      <c r="B26" s="203" t="s">
        <v>298</v>
      </c>
      <c r="C26" s="216">
        <v>131101938.31000005</v>
      </c>
      <c r="D26" s="216">
        <v>116161651.22000004</v>
      </c>
      <c r="E26" s="231">
        <f t="shared" si="1"/>
        <v>247263589.53000009</v>
      </c>
      <c r="F26" s="216">
        <v>98924538.51000002</v>
      </c>
      <c r="G26" s="216">
        <v>106893684.29999998</v>
      </c>
      <c r="H26" s="217">
        <f t="shared" si="0"/>
        <v>205818222.81</v>
      </c>
    </row>
    <row r="27" spans="1:8" ht="15.75">
      <c r="A27" s="108" t="s">
        <v>299</v>
      </c>
      <c r="B27" s="203" t="s">
        <v>300</v>
      </c>
      <c r="C27" s="216">
        <v>40453639.909999989</v>
      </c>
      <c r="D27" s="216">
        <v>70158009.920000002</v>
      </c>
      <c r="E27" s="231">
        <f t="shared" si="1"/>
        <v>110611649.82999998</v>
      </c>
      <c r="F27" s="216">
        <v>32878874.660000004</v>
      </c>
      <c r="G27" s="216">
        <v>103272154.41999999</v>
      </c>
      <c r="H27" s="217">
        <f t="shared" si="0"/>
        <v>136151029.07999998</v>
      </c>
    </row>
    <row r="28" spans="1:8" ht="15.75">
      <c r="A28" s="108">
        <v>5.4</v>
      </c>
      <c r="B28" s="202" t="s">
        <v>301</v>
      </c>
      <c r="C28" s="216">
        <v>72441939.909999952</v>
      </c>
      <c r="D28" s="216">
        <v>13507234.290000003</v>
      </c>
      <c r="E28" s="231">
        <f t="shared" si="1"/>
        <v>85949174.199999958</v>
      </c>
      <c r="F28" s="216">
        <v>28759514.379999999</v>
      </c>
      <c r="G28" s="216">
        <v>10816610.959999995</v>
      </c>
      <c r="H28" s="217">
        <f t="shared" si="0"/>
        <v>39576125.339999996</v>
      </c>
    </row>
    <row r="29" spans="1:8" ht="15.75">
      <c r="A29" s="108">
        <v>5.5</v>
      </c>
      <c r="B29" s="202" t="s">
        <v>302</v>
      </c>
      <c r="C29" s="216">
        <v>0</v>
      </c>
      <c r="D29" s="216">
        <v>0</v>
      </c>
      <c r="E29" s="231">
        <f t="shared" si="1"/>
        <v>0</v>
      </c>
      <c r="F29" s="216">
        <v>0</v>
      </c>
      <c r="G29" s="216">
        <v>0</v>
      </c>
      <c r="H29" s="217">
        <f t="shared" si="0"/>
        <v>0</v>
      </c>
    </row>
    <row r="30" spans="1:8" ht="15.75">
      <c r="A30" s="108">
        <v>5.6</v>
      </c>
      <c r="B30" s="202" t="s">
        <v>303</v>
      </c>
      <c r="C30" s="216">
        <v>0</v>
      </c>
      <c r="D30" s="216">
        <v>0</v>
      </c>
      <c r="E30" s="231">
        <f t="shared" si="1"/>
        <v>0</v>
      </c>
      <c r="F30" s="216">
        <v>0</v>
      </c>
      <c r="G30" s="216">
        <v>0</v>
      </c>
      <c r="H30" s="217">
        <f t="shared" si="0"/>
        <v>0</v>
      </c>
    </row>
    <row r="31" spans="1:8" ht="15.75">
      <c r="A31" s="108">
        <v>5.7</v>
      </c>
      <c r="B31" s="202" t="s">
        <v>304</v>
      </c>
      <c r="C31" s="216">
        <v>86267384.530000001</v>
      </c>
      <c r="D31" s="216">
        <v>10658153.220000001</v>
      </c>
      <c r="E31" s="231">
        <f t="shared" si="1"/>
        <v>96925537.75</v>
      </c>
      <c r="F31" s="216">
        <v>73210022.000000015</v>
      </c>
      <c r="G31" s="216">
        <v>9646254.0600000005</v>
      </c>
      <c r="H31" s="217">
        <f t="shared" si="0"/>
        <v>82856276.060000017</v>
      </c>
    </row>
    <row r="32" spans="1:8" ht="15.75">
      <c r="A32" s="108">
        <v>6</v>
      </c>
      <c r="B32" s="201" t="s">
        <v>305</v>
      </c>
      <c r="C32" s="216">
        <v>0</v>
      </c>
      <c r="D32" s="216">
        <v>35913650.560000002</v>
      </c>
      <c r="E32" s="231">
        <f t="shared" si="1"/>
        <v>35913650.560000002</v>
      </c>
      <c r="F32" s="216">
        <v>7898633.5</v>
      </c>
      <c r="G32" s="216">
        <v>126973324.8</v>
      </c>
      <c r="H32" s="217">
        <f t="shared" si="0"/>
        <v>134871958.30000001</v>
      </c>
    </row>
    <row r="33" spans="1:8" ht="25.5">
      <c r="A33" s="108">
        <v>6.1</v>
      </c>
      <c r="B33" s="202" t="s">
        <v>368</v>
      </c>
      <c r="C33" s="216">
        <v>0</v>
      </c>
      <c r="D33" s="216">
        <v>35913650.560000002</v>
      </c>
      <c r="E33" s="231">
        <f t="shared" si="1"/>
        <v>35913650.560000002</v>
      </c>
      <c r="F33" s="216">
        <v>0</v>
      </c>
      <c r="G33" s="216">
        <v>67405324.799999997</v>
      </c>
      <c r="H33" s="217">
        <f t="shared" si="0"/>
        <v>67405324.799999997</v>
      </c>
    </row>
    <row r="34" spans="1:8" ht="25.5">
      <c r="A34" s="108">
        <v>6.2</v>
      </c>
      <c r="B34" s="202" t="s">
        <v>306</v>
      </c>
      <c r="C34" s="216">
        <v>0</v>
      </c>
      <c r="D34" s="216">
        <v>0</v>
      </c>
      <c r="E34" s="231">
        <f t="shared" si="1"/>
        <v>0</v>
      </c>
      <c r="F34" s="216">
        <v>7898633.5</v>
      </c>
      <c r="G34" s="216">
        <v>59568000</v>
      </c>
      <c r="H34" s="217">
        <f t="shared" si="0"/>
        <v>67466633.5</v>
      </c>
    </row>
    <row r="35" spans="1:8" ht="25.5">
      <c r="A35" s="108">
        <v>6.3</v>
      </c>
      <c r="B35" s="202" t="s">
        <v>307</v>
      </c>
      <c r="C35" s="216">
        <v>0</v>
      </c>
      <c r="D35" s="216">
        <v>0</v>
      </c>
      <c r="E35" s="231">
        <f t="shared" si="1"/>
        <v>0</v>
      </c>
      <c r="F35" s="216">
        <v>0</v>
      </c>
      <c r="G35" s="216">
        <v>0</v>
      </c>
      <c r="H35" s="217">
        <f t="shared" si="0"/>
        <v>0</v>
      </c>
    </row>
    <row r="36" spans="1:8" ht="15.75">
      <c r="A36" s="108">
        <v>6.4</v>
      </c>
      <c r="B36" s="202" t="s">
        <v>308</v>
      </c>
      <c r="C36" s="216">
        <v>0</v>
      </c>
      <c r="D36" s="216">
        <v>0</v>
      </c>
      <c r="E36" s="231">
        <f t="shared" si="1"/>
        <v>0</v>
      </c>
      <c r="F36" s="216">
        <v>0</v>
      </c>
      <c r="G36" s="216">
        <v>0</v>
      </c>
      <c r="H36" s="217">
        <f t="shared" si="0"/>
        <v>0</v>
      </c>
    </row>
    <row r="37" spans="1:8" ht="15.75">
      <c r="A37" s="108">
        <v>6.5</v>
      </c>
      <c r="B37" s="202" t="s">
        <v>309</v>
      </c>
      <c r="C37" s="216">
        <v>0</v>
      </c>
      <c r="D37" s="216">
        <v>0</v>
      </c>
      <c r="E37" s="231">
        <f t="shared" si="1"/>
        <v>0</v>
      </c>
      <c r="F37" s="216">
        <v>0</v>
      </c>
      <c r="G37" s="216">
        <v>0</v>
      </c>
      <c r="H37" s="217">
        <f t="shared" si="0"/>
        <v>0</v>
      </c>
    </row>
    <row r="38" spans="1:8" ht="25.5">
      <c r="A38" s="108">
        <v>6.6</v>
      </c>
      <c r="B38" s="202" t="s">
        <v>310</v>
      </c>
      <c r="C38" s="216">
        <v>0</v>
      </c>
      <c r="D38" s="216">
        <v>0</v>
      </c>
      <c r="E38" s="231">
        <f t="shared" si="1"/>
        <v>0</v>
      </c>
      <c r="F38" s="216">
        <v>0</v>
      </c>
      <c r="G38" s="216">
        <v>0</v>
      </c>
      <c r="H38" s="217">
        <f t="shared" si="0"/>
        <v>0</v>
      </c>
    </row>
    <row r="39" spans="1:8" ht="25.5">
      <c r="A39" s="108">
        <v>6.7</v>
      </c>
      <c r="B39" s="202" t="s">
        <v>311</v>
      </c>
      <c r="C39" s="216">
        <v>0</v>
      </c>
      <c r="D39" s="216">
        <v>0</v>
      </c>
      <c r="E39" s="231">
        <f t="shared" si="1"/>
        <v>0</v>
      </c>
      <c r="F39" s="216">
        <v>0</v>
      </c>
      <c r="G39" s="216">
        <v>0</v>
      </c>
      <c r="H39" s="217">
        <f t="shared" si="0"/>
        <v>0</v>
      </c>
    </row>
    <row r="40" spans="1:8" ht="15.75">
      <c r="A40" s="108">
        <v>7</v>
      </c>
      <c r="B40" s="201" t="s">
        <v>312</v>
      </c>
      <c r="C40" s="216">
        <v>0</v>
      </c>
      <c r="D40" s="216">
        <v>0</v>
      </c>
      <c r="E40" s="231">
        <f t="shared" si="1"/>
        <v>0</v>
      </c>
      <c r="F40" s="216">
        <v>0</v>
      </c>
      <c r="G40" s="216">
        <v>0</v>
      </c>
      <c r="H40" s="217">
        <f t="shared" si="0"/>
        <v>0</v>
      </c>
    </row>
    <row r="41" spans="1:8" ht="25.5">
      <c r="A41" s="108">
        <v>7.1</v>
      </c>
      <c r="B41" s="202" t="s">
        <v>313</v>
      </c>
      <c r="C41" s="216">
        <v>579725.22</v>
      </c>
      <c r="D41" s="216">
        <v>81165</v>
      </c>
      <c r="E41" s="231">
        <f t="shared" si="1"/>
        <v>660890.22</v>
      </c>
      <c r="F41" s="216">
        <v>495585.25000000023</v>
      </c>
      <c r="G41" s="216">
        <v>83948.5</v>
      </c>
      <c r="H41" s="217">
        <f t="shared" si="0"/>
        <v>579533.75000000023</v>
      </c>
    </row>
    <row r="42" spans="1:8" ht="25.5">
      <c r="A42" s="108">
        <v>7.2</v>
      </c>
      <c r="B42" s="202" t="s">
        <v>314</v>
      </c>
      <c r="C42" s="216">
        <v>1305297.4100000001</v>
      </c>
      <c r="D42" s="216">
        <v>738691.09999999974</v>
      </c>
      <c r="E42" s="231">
        <f t="shared" si="1"/>
        <v>2043988.5099999998</v>
      </c>
      <c r="F42" s="216">
        <v>735997.42999999993</v>
      </c>
      <c r="G42" s="216">
        <v>1017710.1499999997</v>
      </c>
      <c r="H42" s="217">
        <f t="shared" si="0"/>
        <v>1753707.5799999996</v>
      </c>
    </row>
    <row r="43" spans="1:8" ht="25.5">
      <c r="A43" s="108">
        <v>7.3</v>
      </c>
      <c r="B43" s="202" t="s">
        <v>315</v>
      </c>
      <c r="C43" s="216">
        <v>7092339.7100000102</v>
      </c>
      <c r="D43" s="216">
        <v>14535309.600000005</v>
      </c>
      <c r="E43" s="231">
        <f t="shared" si="1"/>
        <v>21627649.310000017</v>
      </c>
      <c r="F43" s="216">
        <v>5311570.1200000141</v>
      </c>
      <c r="G43" s="216">
        <v>18763091.190000009</v>
      </c>
      <c r="H43" s="217">
        <f t="shared" si="0"/>
        <v>24074661.310000025</v>
      </c>
    </row>
    <row r="44" spans="1:8" ht="25.5">
      <c r="A44" s="108">
        <v>7.4</v>
      </c>
      <c r="B44" s="202" t="s">
        <v>316</v>
      </c>
      <c r="C44" s="216">
        <v>8606316.1700000018</v>
      </c>
      <c r="D44" s="216">
        <v>21610376.350000016</v>
      </c>
      <c r="E44" s="231">
        <f t="shared" si="1"/>
        <v>30216692.520000018</v>
      </c>
      <c r="F44" s="216">
        <v>8689184.0700000115</v>
      </c>
      <c r="G44" s="216">
        <v>43292239.579999998</v>
      </c>
      <c r="H44" s="217">
        <f t="shared" si="0"/>
        <v>51981423.650000006</v>
      </c>
    </row>
    <row r="45" spans="1:8" ht="15.75">
      <c r="A45" s="108">
        <v>8</v>
      </c>
      <c r="B45" s="201" t="s">
        <v>317</v>
      </c>
      <c r="C45" s="216">
        <v>0</v>
      </c>
      <c r="D45" s="216">
        <v>0</v>
      </c>
      <c r="E45" s="231">
        <f t="shared" si="1"/>
        <v>0</v>
      </c>
      <c r="F45" s="216">
        <v>0</v>
      </c>
      <c r="G45" s="216">
        <v>0</v>
      </c>
      <c r="H45" s="217">
        <f t="shared" si="0"/>
        <v>0</v>
      </c>
    </row>
    <row r="46" spans="1:8" ht="15.75">
      <c r="A46" s="108">
        <v>8.1</v>
      </c>
      <c r="B46" s="202" t="s">
        <v>318</v>
      </c>
      <c r="C46" s="216">
        <v>0</v>
      </c>
      <c r="D46" s="216">
        <v>0</v>
      </c>
      <c r="E46" s="231">
        <f t="shared" si="1"/>
        <v>0</v>
      </c>
      <c r="F46" s="216">
        <v>0</v>
      </c>
      <c r="G46" s="216">
        <v>0</v>
      </c>
      <c r="H46" s="217">
        <f t="shared" si="0"/>
        <v>0</v>
      </c>
    </row>
    <row r="47" spans="1:8" ht="15.75">
      <c r="A47" s="108">
        <v>8.1999999999999993</v>
      </c>
      <c r="B47" s="202" t="s">
        <v>319</v>
      </c>
      <c r="C47" s="216">
        <v>0</v>
      </c>
      <c r="D47" s="216">
        <v>0</v>
      </c>
      <c r="E47" s="231">
        <f t="shared" si="1"/>
        <v>0</v>
      </c>
      <c r="F47" s="216">
        <v>0</v>
      </c>
      <c r="G47" s="216">
        <v>0</v>
      </c>
      <c r="H47" s="217">
        <f t="shared" si="0"/>
        <v>0</v>
      </c>
    </row>
    <row r="48" spans="1:8" ht="15.75">
      <c r="A48" s="108">
        <v>8.3000000000000007</v>
      </c>
      <c r="B48" s="202" t="s">
        <v>320</v>
      </c>
      <c r="C48" s="216">
        <v>0</v>
      </c>
      <c r="D48" s="216">
        <v>0</v>
      </c>
      <c r="E48" s="231">
        <f t="shared" si="1"/>
        <v>0</v>
      </c>
      <c r="F48" s="216">
        <v>0</v>
      </c>
      <c r="G48" s="216">
        <v>0</v>
      </c>
      <c r="H48" s="217">
        <f t="shared" si="0"/>
        <v>0</v>
      </c>
    </row>
    <row r="49" spans="1:8" ht="15.75">
      <c r="A49" s="108">
        <v>8.4</v>
      </c>
      <c r="B49" s="202" t="s">
        <v>321</v>
      </c>
      <c r="C49" s="216">
        <v>0</v>
      </c>
      <c r="D49" s="216">
        <v>0</v>
      </c>
      <c r="E49" s="231">
        <f t="shared" si="1"/>
        <v>0</v>
      </c>
      <c r="F49" s="216">
        <v>0</v>
      </c>
      <c r="G49" s="216">
        <v>0</v>
      </c>
      <c r="H49" s="217">
        <f t="shared" si="0"/>
        <v>0</v>
      </c>
    </row>
    <row r="50" spans="1:8" ht="15.75">
      <c r="A50" s="108">
        <v>8.5</v>
      </c>
      <c r="B50" s="202" t="s">
        <v>322</v>
      </c>
      <c r="C50" s="216">
        <v>0</v>
      </c>
      <c r="D50" s="216">
        <v>0</v>
      </c>
      <c r="E50" s="231">
        <f t="shared" si="1"/>
        <v>0</v>
      </c>
      <c r="F50" s="216">
        <v>0</v>
      </c>
      <c r="G50" s="216">
        <v>0</v>
      </c>
      <c r="H50" s="217">
        <f t="shared" si="0"/>
        <v>0</v>
      </c>
    </row>
    <row r="51" spans="1:8" ht="15.75">
      <c r="A51" s="108">
        <v>8.6</v>
      </c>
      <c r="B51" s="202" t="s">
        <v>323</v>
      </c>
      <c r="C51" s="216">
        <v>0</v>
      </c>
      <c r="D51" s="216">
        <v>0</v>
      </c>
      <c r="E51" s="231">
        <f t="shared" si="1"/>
        <v>0</v>
      </c>
      <c r="F51" s="216">
        <v>0</v>
      </c>
      <c r="G51" s="216">
        <v>0</v>
      </c>
      <c r="H51" s="217">
        <f t="shared" si="0"/>
        <v>0</v>
      </c>
    </row>
    <row r="52" spans="1:8" ht="15.75">
      <c r="A52" s="108">
        <v>8.6999999999999993</v>
      </c>
      <c r="B52" s="202" t="s">
        <v>324</v>
      </c>
      <c r="C52" s="216">
        <v>0</v>
      </c>
      <c r="D52" s="216">
        <v>0</v>
      </c>
      <c r="E52" s="231">
        <f t="shared" si="1"/>
        <v>0</v>
      </c>
      <c r="F52" s="216">
        <v>0</v>
      </c>
      <c r="G52" s="216">
        <v>0</v>
      </c>
      <c r="H52" s="217">
        <f t="shared" si="0"/>
        <v>0</v>
      </c>
    </row>
    <row r="53" spans="1:8" ht="16.5" thickBot="1">
      <c r="A53" s="205">
        <v>9</v>
      </c>
      <c r="B53" s="206" t="s">
        <v>325</v>
      </c>
      <c r="C53" s="232">
        <v>0</v>
      </c>
      <c r="D53" s="232">
        <v>0</v>
      </c>
      <c r="E53" s="233">
        <f t="shared" si="1"/>
        <v>0</v>
      </c>
      <c r="F53" s="232">
        <v>0</v>
      </c>
      <c r="G53" s="232">
        <v>0</v>
      </c>
      <c r="H53" s="22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1" bestFit="1" customWidth="1"/>
    <col min="2" max="2" width="93.5703125" style="1" customWidth="1"/>
    <col min="3" max="4" width="12.7109375" style="1" customWidth="1"/>
    <col min="5" max="7" width="10.85546875" style="9" bestFit="1" customWidth="1"/>
    <col min="8" max="11" width="9.7109375" style="9" customWidth="1"/>
    <col min="12" max="16384" width="9.140625" style="9"/>
  </cols>
  <sheetData>
    <row r="1" spans="1:7" ht="15">
      <c r="A1" s="14" t="s">
        <v>188</v>
      </c>
      <c r="B1" s="13" t="str">
        <f>Info!C2</f>
        <v>ს.ს. "ტერაბანკი"</v>
      </c>
      <c r="C1" s="13"/>
    </row>
    <row r="2" spans="1:7" ht="15">
      <c r="A2" s="14" t="s">
        <v>189</v>
      </c>
      <c r="B2" s="390">
        <f>'1. key ratios'!B2</f>
        <v>44926</v>
      </c>
      <c r="C2" s="13"/>
    </row>
    <row r="3" spans="1:7" ht="15">
      <c r="A3" s="14"/>
      <c r="B3" s="13"/>
      <c r="C3" s="13"/>
    </row>
    <row r="4" spans="1:7" ht="15" customHeight="1" thickBot="1">
      <c r="A4" s="196" t="s">
        <v>332</v>
      </c>
      <c r="B4" s="197" t="s">
        <v>187</v>
      </c>
      <c r="C4" s="198" t="s">
        <v>93</v>
      </c>
    </row>
    <row r="5" spans="1:7" ht="15" customHeight="1">
      <c r="A5" s="194" t="s">
        <v>26</v>
      </c>
      <c r="B5" s="195"/>
      <c r="C5" s="391" t="str">
        <f>INT((MONTH($B$2))/3)&amp;"Q"&amp;"-"&amp;YEAR($B$2)</f>
        <v>4Q-2022</v>
      </c>
      <c r="D5" s="391" t="str">
        <f>IF(INT(MONTH($B$2))=3, "4"&amp;"Q"&amp;"-"&amp;YEAR($B$2)-1, IF(INT(MONTH($B$2))=6, "1"&amp;"Q"&amp;"-"&amp;YEAR($B$2), IF(INT(MONTH($B$2))=9, "2"&amp;"Q"&amp;"-"&amp;YEAR($B$2),IF(INT(MONTH($B$2))=12, "3"&amp;"Q"&amp;"-"&amp;YEAR($B$2), 0))))</f>
        <v>3Q-2022</v>
      </c>
      <c r="E5" s="391" t="str">
        <f>IF(INT(MONTH($B$2))=3, "3"&amp;"Q"&amp;"-"&amp;YEAR($B$2)-1, IF(INT(MONTH($B$2))=6, "4"&amp;"Q"&amp;"-"&amp;YEAR($B$2)-1, IF(INT(MONTH($B$2))=9, "1"&amp;"Q"&amp;"-"&amp;YEAR($B$2),IF(INT(MONTH($B$2))=12, "2"&amp;"Q"&amp;"-"&amp;YEAR($B$2), 0))))</f>
        <v>2Q-2022</v>
      </c>
      <c r="F5" s="391" t="str">
        <f>IF(INT(MONTH($B$2))=3, "2"&amp;"Q"&amp;"-"&amp;YEAR($B$2)-1, IF(INT(MONTH($B$2))=6, "3"&amp;"Q"&amp;"-"&amp;YEAR($B$2)-1, IF(INT(MONTH($B$2))=9, "4"&amp;"Q"&amp;"-"&amp;YEAR($B$2)-1,IF(INT(MONTH($B$2))=12, "1"&amp;"Q"&amp;"-"&amp;YEAR($B$2), 0))))</f>
        <v>1Q-2022</v>
      </c>
      <c r="G5" s="391" t="str">
        <f>IF(INT(MONTH($B$2))=3, "1"&amp;"Q"&amp;"-"&amp;YEAR($B$2)-1, IF(INT(MONTH($B$2))=6, "2"&amp;"Q"&amp;"-"&amp;YEAR($B$2)-1, IF(INT(MONTH($B$2))=9, "3"&amp;"Q"&amp;"-"&amp;YEAR($B$2)-1,IF(INT(MONTH($B$2))=12, "4"&amp;"Q"&amp;"-"&amp;YEAR($B$2)-1, 0))))</f>
        <v>4Q-2021</v>
      </c>
    </row>
    <row r="6" spans="1:7" ht="15" customHeight="1">
      <c r="A6" s="324">
        <v>1</v>
      </c>
      <c r="B6" s="376" t="s">
        <v>192</v>
      </c>
      <c r="C6" s="325">
        <f>C7+C9+C10</f>
        <v>1112468715.5345783</v>
      </c>
      <c r="D6" s="378">
        <f>D7+D9+D10</f>
        <v>1067769928.1667596</v>
      </c>
      <c r="E6" s="326">
        <f t="shared" ref="E6:G6" si="0">E7+E9+E10</f>
        <v>1049203338.7283688</v>
      </c>
      <c r="F6" s="325">
        <f t="shared" si="0"/>
        <v>1032420386.6617638</v>
      </c>
      <c r="G6" s="379">
        <f t="shared" si="0"/>
        <v>1002728872.2713515</v>
      </c>
    </row>
    <row r="7" spans="1:7" ht="15" customHeight="1">
      <c r="A7" s="324">
        <v>1.1000000000000001</v>
      </c>
      <c r="B7" s="327" t="s">
        <v>475</v>
      </c>
      <c r="C7" s="328">
        <v>1081983284.2280784</v>
      </c>
      <c r="D7" s="380">
        <v>1034930346.6632596</v>
      </c>
      <c r="E7" s="328">
        <v>1008065502.2947187</v>
      </c>
      <c r="F7" s="328">
        <v>995364395.34226382</v>
      </c>
      <c r="G7" s="381">
        <v>970101006.45685148</v>
      </c>
    </row>
    <row r="8" spans="1:7" ht="25.5">
      <c r="A8" s="324" t="s">
        <v>252</v>
      </c>
      <c r="B8" s="329" t="s">
        <v>326</v>
      </c>
      <c r="C8" s="328">
        <v>0</v>
      </c>
      <c r="D8" s="380">
        <v>0</v>
      </c>
      <c r="E8" s="328">
        <v>0</v>
      </c>
      <c r="F8" s="328">
        <v>0</v>
      </c>
      <c r="G8" s="381">
        <v>0</v>
      </c>
    </row>
    <row r="9" spans="1:7" ht="15" customHeight="1">
      <c r="A9" s="324">
        <v>1.2</v>
      </c>
      <c r="B9" s="327" t="s">
        <v>22</v>
      </c>
      <c r="C9" s="328">
        <v>29764331.306499999</v>
      </c>
      <c r="D9" s="380">
        <v>31822747.503500003</v>
      </c>
      <c r="E9" s="328">
        <v>39824476.43925</v>
      </c>
      <c r="F9" s="328">
        <v>35860145.319500007</v>
      </c>
      <c r="G9" s="381">
        <v>31278533.144499991</v>
      </c>
    </row>
    <row r="10" spans="1:7" ht="15" customHeight="1">
      <c r="A10" s="324">
        <v>1.3</v>
      </c>
      <c r="B10" s="377" t="s">
        <v>77</v>
      </c>
      <c r="C10" s="328">
        <v>721100</v>
      </c>
      <c r="D10" s="380">
        <v>1016834</v>
      </c>
      <c r="E10" s="328">
        <v>1313359.9944</v>
      </c>
      <c r="F10" s="328">
        <v>1195846</v>
      </c>
      <c r="G10" s="381">
        <v>1349332.67</v>
      </c>
    </row>
    <row r="11" spans="1:7" ht="15" customHeight="1">
      <c r="A11" s="324">
        <v>2</v>
      </c>
      <c r="B11" s="376" t="s">
        <v>193</v>
      </c>
      <c r="C11" s="328">
        <v>17349589.159999877</v>
      </c>
      <c r="D11" s="380">
        <v>19648855.920000196</v>
      </c>
      <c r="E11" s="328">
        <v>22919644.720000107</v>
      </c>
      <c r="F11" s="328">
        <v>26979981.020000007</v>
      </c>
      <c r="G11" s="381">
        <v>29520683.129999924</v>
      </c>
    </row>
    <row r="12" spans="1:7" ht="15" customHeight="1">
      <c r="A12" s="324">
        <v>3</v>
      </c>
      <c r="B12" s="376" t="s">
        <v>191</v>
      </c>
      <c r="C12" s="328">
        <v>108176446.28749999</v>
      </c>
      <c r="D12" s="380">
        <v>100082740.24375002</v>
      </c>
      <c r="E12" s="328">
        <v>100082740.24375002</v>
      </c>
      <c r="F12" s="328">
        <v>100082740.24375002</v>
      </c>
      <c r="G12" s="381">
        <v>100082740.24375002</v>
      </c>
    </row>
    <row r="13" spans="1:7" ht="15" customHeight="1" thickBot="1">
      <c r="A13" s="121">
        <v>4</v>
      </c>
      <c r="B13" s="384" t="s">
        <v>253</v>
      </c>
      <c r="C13" s="234">
        <f>C6+C11+C12</f>
        <v>1237994750.9820781</v>
      </c>
      <c r="D13" s="382">
        <f>D6+D11+D12</f>
        <v>1187501524.3305099</v>
      </c>
      <c r="E13" s="235">
        <f t="shared" ref="E13:G13" si="1">E6+E11+E12</f>
        <v>1172205723.6921189</v>
      </c>
      <c r="F13" s="234">
        <f t="shared" si="1"/>
        <v>1159483107.9255137</v>
      </c>
      <c r="G13" s="383">
        <f t="shared" si="1"/>
        <v>1132332295.6451013</v>
      </c>
    </row>
    <row r="14" spans="1:7">
      <c r="B14" s="18"/>
    </row>
    <row r="15" spans="1:7" ht="25.5">
      <c r="B15" s="18" t="s">
        <v>476</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35"/>
  <sheetViews>
    <sheetView showGridLines="0" zoomScaleNormal="100" workbookViewId="0">
      <pane xSplit="1" ySplit="4" topLeftCell="B27" activePane="bottomRight" state="frozen"/>
      <selection activeCell="C50" sqref="C50"/>
      <selection pane="topRight" activeCell="C50" sqref="C50"/>
      <selection pane="bottomLeft" activeCell="C50" sqref="C50"/>
      <selection pane="bottomRight" activeCell="C1" sqref="C1"/>
    </sheetView>
  </sheetViews>
  <sheetFormatPr defaultRowHeight="15"/>
  <cols>
    <col min="1" max="1" width="9.5703125" style="1" bestFit="1" customWidth="1"/>
    <col min="2" max="2" width="58.85546875" style="1" customWidth="1"/>
    <col min="3" max="3" width="34.28515625" style="1" customWidth="1"/>
  </cols>
  <sheetData>
    <row r="1" spans="1:3">
      <c r="A1" s="1" t="s">
        <v>188</v>
      </c>
      <c r="B1" s="1" t="str">
        <f>Info!C2</f>
        <v>ს.ს. "ტერაბანკი"</v>
      </c>
    </row>
    <row r="2" spans="1:3">
      <c r="A2" s="1" t="s">
        <v>189</v>
      </c>
      <c r="B2" s="403">
        <f>'1. key ratios'!B2</f>
        <v>44926</v>
      </c>
    </row>
    <row r="4" spans="1:3" ht="25.5" customHeight="1" thickBot="1">
      <c r="A4" s="207" t="s">
        <v>333</v>
      </c>
      <c r="B4" s="53" t="s">
        <v>149</v>
      </c>
      <c r="C4" s="10"/>
    </row>
    <row r="5" spans="1:3" ht="15.75">
      <c r="A5" s="8"/>
      <c r="B5" s="372" t="s">
        <v>150</v>
      </c>
      <c r="C5" s="388" t="s">
        <v>490</v>
      </c>
    </row>
    <row r="6" spans="1:3">
      <c r="A6" s="11">
        <v>1</v>
      </c>
      <c r="B6" s="54" t="s">
        <v>715</v>
      </c>
      <c r="C6" s="385" t="s">
        <v>741</v>
      </c>
    </row>
    <row r="7" spans="1:3">
      <c r="A7" s="11">
        <v>2</v>
      </c>
      <c r="B7" s="54" t="s">
        <v>742</v>
      </c>
      <c r="C7" s="385" t="s">
        <v>743</v>
      </c>
    </row>
    <row r="8" spans="1:3">
      <c r="A8" s="11">
        <v>3</v>
      </c>
      <c r="B8" s="54" t="s">
        <v>744</v>
      </c>
      <c r="C8" s="385" t="s">
        <v>743</v>
      </c>
    </row>
    <row r="9" spans="1:3">
      <c r="A9" s="11">
        <v>4</v>
      </c>
      <c r="B9" s="54" t="s">
        <v>745</v>
      </c>
      <c r="C9" s="385" t="s">
        <v>746</v>
      </c>
    </row>
    <row r="10" spans="1:3">
      <c r="A10" s="11">
        <v>5</v>
      </c>
      <c r="B10" s="54" t="s">
        <v>747</v>
      </c>
      <c r="C10" s="385" t="s">
        <v>746</v>
      </c>
    </row>
    <row r="11" spans="1:3">
      <c r="A11" s="11">
        <v>6</v>
      </c>
      <c r="B11" s="54" t="s">
        <v>748</v>
      </c>
      <c r="C11" s="385" t="s">
        <v>746</v>
      </c>
    </row>
    <row r="12" spans="1:3">
      <c r="A12" s="11"/>
      <c r="B12" s="54"/>
      <c r="C12" s="385"/>
    </row>
    <row r="13" spans="1:3">
      <c r="A13" s="11"/>
      <c r="B13" s="637"/>
      <c r="C13" s="638"/>
    </row>
    <row r="14" spans="1:3" ht="60">
      <c r="A14" s="11"/>
      <c r="B14" s="373" t="s">
        <v>151</v>
      </c>
      <c r="C14" s="389" t="s">
        <v>491</v>
      </c>
    </row>
    <row r="15" spans="1:3" ht="15.75">
      <c r="A15" s="11">
        <v>1</v>
      </c>
      <c r="B15" s="22" t="s">
        <v>749</v>
      </c>
      <c r="C15" s="387" t="s">
        <v>750</v>
      </c>
    </row>
    <row r="16" spans="1:3" ht="15.75">
      <c r="A16" s="11">
        <v>2</v>
      </c>
      <c r="B16" s="22" t="s">
        <v>751</v>
      </c>
      <c r="C16" s="387" t="s">
        <v>752</v>
      </c>
    </row>
    <row r="17" spans="1:3" ht="15.75">
      <c r="A17" s="11">
        <v>3</v>
      </c>
      <c r="B17" s="22" t="s">
        <v>753</v>
      </c>
      <c r="C17" s="387" t="s">
        <v>754</v>
      </c>
    </row>
    <row r="18" spans="1:3" ht="15.75">
      <c r="A18" s="11">
        <v>4</v>
      </c>
      <c r="B18" s="22" t="s">
        <v>755</v>
      </c>
      <c r="C18" s="387" t="s">
        <v>756</v>
      </c>
    </row>
    <row r="19" spans="1:3" ht="15.75">
      <c r="A19" s="11">
        <v>5</v>
      </c>
      <c r="B19" s="22" t="s">
        <v>757</v>
      </c>
      <c r="C19" s="387" t="s">
        <v>758</v>
      </c>
    </row>
    <row r="20" spans="1:3" ht="15.75" customHeight="1">
      <c r="A20" s="11"/>
      <c r="B20" s="22"/>
      <c r="C20" s="23"/>
    </row>
    <row r="21" spans="1:3" ht="30" customHeight="1">
      <c r="A21" s="11"/>
      <c r="B21" s="639" t="s">
        <v>152</v>
      </c>
      <c r="C21" s="640"/>
    </row>
    <row r="22" spans="1:3" ht="15.75">
      <c r="A22" s="11">
        <v>1</v>
      </c>
      <c r="B22" s="54" t="s">
        <v>715</v>
      </c>
      <c r="C22" s="531">
        <v>0.65</v>
      </c>
    </row>
    <row r="23" spans="1:3" ht="15.75">
      <c r="A23" s="529">
        <v>2</v>
      </c>
      <c r="B23" s="530" t="s">
        <v>759</v>
      </c>
      <c r="C23" s="531">
        <v>0.15</v>
      </c>
    </row>
    <row r="24" spans="1:3" ht="15.75">
      <c r="A24" s="529">
        <v>3</v>
      </c>
      <c r="B24" s="530" t="s">
        <v>760</v>
      </c>
      <c r="C24" s="531">
        <v>0.15</v>
      </c>
    </row>
    <row r="25" spans="1:3" ht="15.75">
      <c r="A25" s="529">
        <v>4</v>
      </c>
      <c r="B25" s="530" t="s">
        <v>761</v>
      </c>
      <c r="C25" s="531">
        <v>0.05</v>
      </c>
    </row>
    <row r="26" spans="1:3">
      <c r="A26" s="529"/>
      <c r="B26" s="530"/>
      <c r="C26" s="55"/>
    </row>
    <row r="27" spans="1:3" ht="15.75" customHeight="1">
      <c r="A27" s="11"/>
      <c r="B27" s="54"/>
      <c r="C27" s="55"/>
    </row>
    <row r="28" spans="1:3" ht="29.25" customHeight="1">
      <c r="A28" s="11"/>
      <c r="B28" s="639" t="s">
        <v>273</v>
      </c>
      <c r="C28" s="640"/>
    </row>
    <row r="29" spans="1:3" ht="15.75">
      <c r="A29" s="11">
        <v>1</v>
      </c>
      <c r="B29" s="54" t="s">
        <v>715</v>
      </c>
      <c r="C29" s="531">
        <v>0.65</v>
      </c>
    </row>
    <row r="30" spans="1:3" ht="15.75">
      <c r="A30" s="532">
        <v>2</v>
      </c>
      <c r="B30" s="533" t="s">
        <v>759</v>
      </c>
      <c r="C30" s="535">
        <v>0.15</v>
      </c>
    </row>
    <row r="31" spans="1:3" ht="15.75">
      <c r="A31" s="532">
        <v>3</v>
      </c>
      <c r="B31" s="533" t="s">
        <v>760</v>
      </c>
      <c r="C31" s="535">
        <v>0.15</v>
      </c>
    </row>
    <row r="32" spans="1:3" ht="15.75">
      <c r="A32" s="532">
        <v>4</v>
      </c>
      <c r="B32" s="533" t="s">
        <v>761</v>
      </c>
      <c r="C32" s="535">
        <v>0.05</v>
      </c>
    </row>
    <row r="33" spans="1:3">
      <c r="A33" s="532"/>
      <c r="B33" s="533"/>
      <c r="C33" s="534"/>
    </row>
    <row r="34" spans="1:3">
      <c r="A34" s="532"/>
      <c r="B34" s="533"/>
      <c r="C34" s="534"/>
    </row>
    <row r="35" spans="1:3" ht="16.5" thickBot="1">
      <c r="A35" s="12"/>
      <c r="B35" s="56"/>
      <c r="C35" s="386"/>
    </row>
  </sheetData>
  <mergeCells count="3">
    <mergeCell ref="B13:C13"/>
    <mergeCell ref="B28:C28"/>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5" activePane="bottomRight" state="frozen"/>
      <selection activeCell="H6" sqref="H6"/>
      <selection pane="topRight" activeCell="H6" sqref="H6"/>
      <selection pane="bottomLeft" activeCell="H6" sqref="H6"/>
      <selection pane="bottomRight" activeCell="E20" sqref="E2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"ტერაბანკი"</v>
      </c>
    </row>
    <row r="2" spans="1:5" s="14" customFormat="1" ht="15.75" customHeight="1">
      <c r="A2" s="14" t="s">
        <v>189</v>
      </c>
      <c r="B2" s="403">
        <f>'1. key ratios'!B2</f>
        <v>44926</v>
      </c>
    </row>
    <row r="3" spans="1:5" s="14" customFormat="1" ht="15.75" customHeight="1"/>
    <row r="4" spans="1:5" s="14" customFormat="1" ht="15.75" customHeight="1" thickBot="1">
      <c r="A4" s="208" t="s">
        <v>334</v>
      </c>
      <c r="B4" s="209" t="s">
        <v>263</v>
      </c>
      <c r="C4" s="173"/>
      <c r="D4" s="173"/>
      <c r="E4" s="174" t="s">
        <v>93</v>
      </c>
    </row>
    <row r="5" spans="1:5" s="109" customFormat="1" ht="17.45" customHeight="1">
      <c r="A5" s="295"/>
      <c r="B5" s="296"/>
      <c r="C5" s="172" t="s">
        <v>0</v>
      </c>
      <c r="D5" s="172" t="s">
        <v>1</v>
      </c>
      <c r="E5" s="297" t="s">
        <v>2</v>
      </c>
    </row>
    <row r="6" spans="1:5" ht="14.45" customHeight="1">
      <c r="A6" s="298"/>
      <c r="B6" s="641" t="s">
        <v>231</v>
      </c>
      <c r="C6" s="641" t="s">
        <v>230</v>
      </c>
      <c r="D6" s="642" t="s">
        <v>229</v>
      </c>
      <c r="E6" s="643"/>
    </row>
    <row r="7" spans="1:5" ht="99.6" customHeight="1">
      <c r="A7" s="298"/>
      <c r="B7" s="641"/>
      <c r="C7" s="641"/>
      <c r="D7" s="293" t="s">
        <v>228</v>
      </c>
      <c r="E7" s="294" t="s">
        <v>396</v>
      </c>
    </row>
    <row r="8" spans="1:5">
      <c r="A8" s="299">
        <v>1</v>
      </c>
      <c r="B8" s="300" t="s">
        <v>154</v>
      </c>
      <c r="C8" s="301">
        <v>38955606.119909823</v>
      </c>
      <c r="D8" s="301">
        <v>0</v>
      </c>
      <c r="E8" s="302">
        <v>38955606.119909823</v>
      </c>
    </row>
    <row r="9" spans="1:5">
      <c r="A9" s="299">
        <v>2</v>
      </c>
      <c r="B9" s="300" t="s">
        <v>155</v>
      </c>
      <c r="C9" s="301">
        <v>147382658.47999999</v>
      </c>
      <c r="D9" s="301">
        <v>0</v>
      </c>
      <c r="E9" s="302">
        <v>147382658.47999999</v>
      </c>
    </row>
    <row r="10" spans="1:5">
      <c r="A10" s="299">
        <v>3</v>
      </c>
      <c r="B10" s="300" t="s">
        <v>227</v>
      </c>
      <c r="C10" s="301">
        <v>59183635.189999998</v>
      </c>
      <c r="D10" s="301">
        <v>0</v>
      </c>
      <c r="E10" s="302">
        <v>59183635.189999998</v>
      </c>
    </row>
    <row r="11" spans="1:5">
      <c r="A11" s="299">
        <v>4</v>
      </c>
      <c r="B11" s="300" t="s">
        <v>185</v>
      </c>
      <c r="C11" s="301">
        <v>0</v>
      </c>
      <c r="D11" s="301">
        <v>0</v>
      </c>
      <c r="E11" s="302">
        <v>0</v>
      </c>
    </row>
    <row r="12" spans="1:5">
      <c r="A12" s="299">
        <v>5</v>
      </c>
      <c r="B12" s="300" t="s">
        <v>157</v>
      </c>
      <c r="C12" s="301">
        <v>155888800.59999999</v>
      </c>
      <c r="D12" s="301">
        <v>0</v>
      </c>
      <c r="E12" s="302">
        <v>155888800.59999999</v>
      </c>
    </row>
    <row r="13" spans="1:5">
      <c r="A13" s="299">
        <v>6.1</v>
      </c>
      <c r="B13" s="300" t="s">
        <v>158</v>
      </c>
      <c r="C13" s="303">
        <v>1074139566.0699959</v>
      </c>
      <c r="D13" s="301">
        <v>0</v>
      </c>
      <c r="E13" s="302">
        <v>1074139566.0699959</v>
      </c>
    </row>
    <row r="14" spans="1:5">
      <c r="A14" s="299">
        <v>6.2</v>
      </c>
      <c r="B14" s="304" t="s">
        <v>159</v>
      </c>
      <c r="C14" s="303">
        <v>44905547.519999802</v>
      </c>
      <c r="D14" s="301">
        <v>0</v>
      </c>
      <c r="E14" s="302">
        <v>44905547.519999802</v>
      </c>
    </row>
    <row r="15" spans="1:5">
      <c r="A15" s="299">
        <v>6</v>
      </c>
      <c r="B15" s="300" t="s">
        <v>226</v>
      </c>
      <c r="C15" s="301">
        <v>1029234018.5499961</v>
      </c>
      <c r="D15" s="301">
        <v>0</v>
      </c>
      <c r="E15" s="302">
        <v>1029234018.5499961</v>
      </c>
    </row>
    <row r="16" spans="1:5">
      <c r="A16" s="299">
        <v>7</v>
      </c>
      <c r="B16" s="300" t="s">
        <v>161</v>
      </c>
      <c r="C16" s="301">
        <v>11137249.879999936</v>
      </c>
      <c r="D16" s="301">
        <v>0</v>
      </c>
      <c r="E16" s="302">
        <v>11137249.879999936</v>
      </c>
    </row>
    <row r="17" spans="1:7">
      <c r="A17" s="299">
        <v>8</v>
      </c>
      <c r="B17" s="300" t="s">
        <v>162</v>
      </c>
      <c r="C17" s="301">
        <v>5126924.3300000019</v>
      </c>
      <c r="D17" s="301">
        <v>0</v>
      </c>
      <c r="E17" s="302">
        <v>5126924.3300000019</v>
      </c>
      <c r="F17" s="3"/>
      <c r="G17" s="3"/>
    </row>
    <row r="18" spans="1:7">
      <c r="A18" s="299">
        <v>9</v>
      </c>
      <c r="B18" s="300" t="s">
        <v>163</v>
      </c>
      <c r="C18" s="301">
        <v>0</v>
      </c>
      <c r="D18" s="301">
        <v>0</v>
      </c>
      <c r="E18" s="302">
        <v>0</v>
      </c>
      <c r="G18" s="3"/>
    </row>
    <row r="19" spans="1:7" ht="25.5">
      <c r="A19" s="299">
        <v>10</v>
      </c>
      <c r="B19" s="300" t="s">
        <v>164</v>
      </c>
      <c r="C19" s="301">
        <v>47013183.240000017</v>
      </c>
      <c r="D19" s="301">
        <v>24383047</v>
      </c>
      <c r="E19" s="302">
        <v>22630136.240000017</v>
      </c>
      <c r="G19" s="3"/>
    </row>
    <row r="20" spans="1:7">
      <c r="A20" s="299">
        <v>11</v>
      </c>
      <c r="B20" s="300" t="s">
        <v>165</v>
      </c>
      <c r="C20" s="301">
        <v>9806283.1634</v>
      </c>
      <c r="D20" s="301">
        <v>0</v>
      </c>
      <c r="E20" s="302">
        <v>9806283.1634</v>
      </c>
    </row>
    <row r="21" spans="1:7" ht="39" thickBot="1">
      <c r="A21" s="305"/>
      <c r="B21" s="306" t="s">
        <v>369</v>
      </c>
      <c r="C21" s="262">
        <f>SUM(C8:C12, C15:C20)</f>
        <v>1503728359.5533056</v>
      </c>
      <c r="D21" s="262">
        <f>SUM(D8:D12, D15:D20)</f>
        <v>24383047</v>
      </c>
      <c r="E21" s="307">
        <f>SUM(E8:E12, E15:E20)</f>
        <v>1479345312.5533056</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"ტერაბანკი"</v>
      </c>
    </row>
    <row r="2" spans="1:6" s="14" customFormat="1" ht="15.75" customHeight="1">
      <c r="A2" s="14" t="s">
        <v>189</v>
      </c>
      <c r="B2" s="403">
        <f>'1. key ratios'!B2</f>
        <v>44926</v>
      </c>
      <c r="C2"/>
      <c r="D2"/>
      <c r="E2"/>
      <c r="F2"/>
    </row>
    <row r="3" spans="1:6" s="14" customFormat="1" ht="15.75" customHeight="1">
      <c r="C3"/>
      <c r="D3"/>
      <c r="E3"/>
      <c r="F3"/>
    </row>
    <row r="4" spans="1:6" s="14" customFormat="1" ht="26.25" thickBot="1">
      <c r="A4" s="14" t="s">
        <v>335</v>
      </c>
      <c r="B4" s="180" t="s">
        <v>266</v>
      </c>
      <c r="C4" s="174" t="s">
        <v>93</v>
      </c>
      <c r="D4"/>
      <c r="E4"/>
      <c r="F4"/>
    </row>
    <row r="5" spans="1:6" ht="26.25">
      <c r="A5" s="175">
        <v>1</v>
      </c>
      <c r="B5" s="176" t="s">
        <v>342</v>
      </c>
      <c r="C5" s="236">
        <f>'7. LI1'!E21</f>
        <v>1479345312.5533056</v>
      </c>
    </row>
    <row r="6" spans="1:6">
      <c r="A6" s="108">
        <v>2.1</v>
      </c>
      <c r="B6" s="182" t="s">
        <v>267</v>
      </c>
      <c r="C6" s="237">
        <v>83976423.729999959</v>
      </c>
    </row>
    <row r="7" spans="1:6" s="2" customFormat="1" ht="25.5" outlineLevel="1">
      <c r="A7" s="181">
        <v>2.2000000000000002</v>
      </c>
      <c r="B7" s="177" t="s">
        <v>268</v>
      </c>
      <c r="C7" s="238">
        <v>36055000</v>
      </c>
    </row>
    <row r="8" spans="1:6" s="2" customFormat="1" ht="26.25">
      <c r="A8" s="181">
        <v>3</v>
      </c>
      <c r="B8" s="178" t="s">
        <v>343</v>
      </c>
      <c r="C8" s="239">
        <f>SUM(C5:C7)</f>
        <v>1599376736.2833056</v>
      </c>
    </row>
    <row r="9" spans="1:6">
      <c r="A9" s="108">
        <v>4</v>
      </c>
      <c r="B9" s="185" t="s">
        <v>264</v>
      </c>
      <c r="C9" s="237">
        <v>18735043.540000077</v>
      </c>
    </row>
    <row r="10" spans="1:6" s="2" customFormat="1" ht="25.5" outlineLevel="1">
      <c r="A10" s="181">
        <v>5.0999999999999996</v>
      </c>
      <c r="B10" s="177" t="s">
        <v>274</v>
      </c>
      <c r="C10" s="238">
        <v>-42971205.581000015</v>
      </c>
    </row>
    <row r="11" spans="1:6" s="2" customFormat="1" ht="25.5" outlineLevel="1">
      <c r="A11" s="181">
        <v>5.2</v>
      </c>
      <c r="B11" s="177" t="s">
        <v>275</v>
      </c>
      <c r="C11" s="238">
        <v>-35333900</v>
      </c>
    </row>
    <row r="12" spans="1:6" s="2" customFormat="1">
      <c r="A12" s="181">
        <v>6</v>
      </c>
      <c r="B12" s="183" t="s">
        <v>477</v>
      </c>
      <c r="C12" s="238">
        <v>0</v>
      </c>
    </row>
    <row r="13" spans="1:6" s="2" customFormat="1" ht="15.75" thickBot="1">
      <c r="A13" s="184">
        <v>7</v>
      </c>
      <c r="B13" s="179" t="s">
        <v>265</v>
      </c>
      <c r="C13" s="240">
        <f>SUM(C8:C12)</f>
        <v>1539806674.2423055</v>
      </c>
    </row>
    <row r="15" spans="1:6" ht="26.25">
      <c r="B15" s="18" t="s">
        <v>478</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MjHznmx0CS/8Dr2SV0an7lIsMjDSN2IguhRgQ0y+jYE=</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aD2hjCJd1RF9UKyuXg0nniGqhtzqKhf5JQA6TaHKC9o=</DigestValue>
    </Reference>
  </SignedInfo>
  <SignatureValue>X5Nuwf5C6mmMu5BwzHH65Cv6IUbx6/p9+5Wo9JbfcQO/j7T9aSVVBrYdYOLSn+ah2VHEyRtNiQll
4/6Z0i1owGzuoIc8qjHTFiQmgwMk8QHb7SWpJNcqaWaZwLCZHJBTPJGRRZDri28zMCJNpFY5BJMQ
ComTO8rzRy80wo2i13hJG/86Q7bBQEEQSc1EVt79KTlIq5OIo9Dg62Srq1WzTpYTm2tdwvR7QeRz
W2wE8z875Fzd1W1BbnKZfbk+r3Cm1o1G/oqXeB5NZxJyow5GXfgotVnKWaE1o2UAsNzrFQDDEpnf
O6uSeC00UcAgHbHoaZj1SSL8h7OyKNKg4ksQ9A==</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eWtxAhuhD9SFqukVLfYuqqCiAoQSpOJRxjbi0iTwSr4=</DigestValue>
      </Reference>
      <Reference URI="/xl/drawings/drawing1.xml?ContentType=application/vnd.openxmlformats-officedocument.drawing+xml">
        <DigestMethod Algorithm="http://www.w3.org/2001/04/xmlenc#sha256"/>
        <DigestValue>fOWfOZckJj+yvkeb48RL+4GFzVcLs3Of8wOubwHPg7A=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EmL1dJsXFfEI7TlVUeF0QCZ2K37fflrCstnuVD7xZII=</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vTag//EquIVGz316BBp/20YbSyKKe9UtzaLCD9dOw68=</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AkSFm+ingv/45tWbNkNYBBc8DSh06sjAov/DOE6JzTE=</DigestValue>
      </Reference>
      <Reference URI="/xl/styles.xml?ContentType=application/vnd.openxmlformats-officedocument.spreadsheetml.styles+xml">
        <DigestMethod Algorithm="http://www.w3.org/2001/04/xmlenc#sha256"/>
        <DigestValue>69PuPY2VJxgSn+isfYHs9txGf+QemiZV/cMbYBd71hI=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XH4JdKXJYTqJ5brTrao3q2eQW+yV11TgZZAPNaijoUg=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s9i1B/fSyaDwWWmRqRZ/H/3x+XkGmUPwzYVsESLJX/Y=</DigestValue>
      </Reference>
      <Reference URI="/xl/worksheets/sheet10.xml?ContentType=application/vnd.openxmlformats-officedocument.spreadsheetml.worksheet+xml">
        <DigestMethod Algorithm="http://www.w3.org/2001/04/xmlenc#sha256"/>
        <DigestValue>fGXXZ0h9DEltvZ/oyB/4ehUTt3/MgVn3OKKxqZL6rxA=</DigestValue>
      </Reference>
      <Reference URI="/xl/worksheets/sheet11.xml?ContentType=application/vnd.openxmlformats-officedocument.spreadsheetml.worksheet+xml">
        <DigestMethod Algorithm="http://www.w3.org/2001/04/xmlenc#sha256"/>
        <DigestValue>eprEFO0NhC5UAdo94nBMdfgTi3gEnQdoKtIIdgIA8TE=</DigestValue>
      </Reference>
      <Reference URI="/xl/worksheets/sheet12.xml?ContentType=application/vnd.openxmlformats-officedocument.spreadsheetml.worksheet+xml">
        <DigestMethod Algorithm="http://www.w3.org/2001/04/xmlenc#sha256"/>
        <DigestValue>fXq2jWsqDnHvfZsYfvYeZD+kfQBqNU6pK0+oHyNTJMY=</DigestValue>
      </Reference>
      <Reference URI="/xl/worksheets/sheet13.xml?ContentType=application/vnd.openxmlformats-officedocument.spreadsheetml.worksheet+xml">
        <DigestMethod Algorithm="http://www.w3.org/2001/04/xmlenc#sha256"/>
        <DigestValue>Mt5vPP9D4zX9imtY4nv4yR0Upt72AD+9n6lhu32npRM=</DigestValue>
      </Reference>
      <Reference URI="/xl/worksheets/sheet14.xml?ContentType=application/vnd.openxmlformats-officedocument.spreadsheetml.worksheet+xml">
        <DigestMethod Algorithm="http://www.w3.org/2001/04/xmlenc#sha256"/>
        <DigestValue>1ByDodeMHofkU0oofmOvnGCQhRatz1oEXtUKqFQ14so=</DigestValue>
      </Reference>
      <Reference URI="/xl/worksheets/sheet15.xml?ContentType=application/vnd.openxmlformats-officedocument.spreadsheetml.worksheet+xml">
        <DigestMethod Algorithm="http://www.w3.org/2001/04/xmlenc#sha256"/>
        <DigestValue>+egXBnIfYs4CDCuTXHhUNsbAoP1HjXkyy17d+1f8Zhw=</DigestValue>
      </Reference>
      <Reference URI="/xl/worksheets/sheet16.xml?ContentType=application/vnd.openxmlformats-officedocument.spreadsheetml.worksheet+xml">
        <DigestMethod Algorithm="http://www.w3.org/2001/04/xmlenc#sha256"/>
        <DigestValue>yW3T9d0HrIWCZQqASsr2YrLJVusJDSGGxMT+Ys6OyQw=</DigestValue>
      </Reference>
      <Reference URI="/xl/worksheets/sheet17.xml?ContentType=application/vnd.openxmlformats-officedocument.spreadsheetml.worksheet+xml">
        <DigestMethod Algorithm="http://www.w3.org/2001/04/xmlenc#sha256"/>
        <DigestValue>/P1K+98/zYo8/M32j67DvuhKw8dUcTwVL6VKVk1r/1k=</DigestValue>
      </Reference>
      <Reference URI="/xl/worksheets/sheet18.xml?ContentType=application/vnd.openxmlformats-officedocument.spreadsheetml.worksheet+xml">
        <DigestMethod Algorithm="http://www.w3.org/2001/04/xmlenc#sha256"/>
        <DigestValue>xVFq5nHi5rirKgHxgUk/bbddz+0BQI3x+o3zMLKz/1o=</DigestValue>
      </Reference>
      <Reference URI="/xl/worksheets/sheet19.xml?ContentType=application/vnd.openxmlformats-officedocument.spreadsheetml.worksheet+xml">
        <DigestMethod Algorithm="http://www.w3.org/2001/04/xmlenc#sha256"/>
        <DigestValue>70lF71Y4s/9SVHuZfAopZXgKefBFhi2OjekK7oZyleg=</DigestValue>
      </Reference>
      <Reference URI="/xl/worksheets/sheet2.xml?ContentType=application/vnd.openxmlformats-officedocument.spreadsheetml.worksheet+xml">
        <DigestMethod Algorithm="http://www.w3.org/2001/04/xmlenc#sha256"/>
        <DigestValue>PgPR4lj0Q/lLKGxnBJaIWERqKmcVO+cCFIkrDBhyIS8=</DigestValue>
      </Reference>
      <Reference URI="/xl/worksheets/sheet20.xml?ContentType=application/vnd.openxmlformats-officedocument.spreadsheetml.worksheet+xml">
        <DigestMethod Algorithm="http://www.w3.org/2001/04/xmlenc#sha256"/>
        <DigestValue>bF18QKd1o/z1oio4RCwoVfOO9VUGwBXOomkF4fMewgU=</DigestValue>
      </Reference>
      <Reference URI="/xl/worksheets/sheet21.xml?ContentType=application/vnd.openxmlformats-officedocument.spreadsheetml.worksheet+xml">
        <DigestMethod Algorithm="http://www.w3.org/2001/04/xmlenc#sha256"/>
        <DigestValue>Tbc5Qpsy9YjFwsvdCK0su2h9ZzElFCEBpApdRhjhnQg=</DigestValue>
      </Reference>
      <Reference URI="/xl/worksheets/sheet22.xml?ContentType=application/vnd.openxmlformats-officedocument.spreadsheetml.worksheet+xml">
        <DigestMethod Algorithm="http://www.w3.org/2001/04/xmlenc#sha256"/>
        <DigestValue>SYaqek6TKvxlULq0Uc5uyWN34OQXLRo4IlgASOdu9vI=</DigestValue>
      </Reference>
      <Reference URI="/xl/worksheets/sheet23.xml?ContentType=application/vnd.openxmlformats-officedocument.spreadsheetml.worksheet+xml">
        <DigestMethod Algorithm="http://www.w3.org/2001/04/xmlenc#sha256"/>
        <DigestValue>Sd5m6s4RQR1kf+vI6EFE64mWKDwM64HC+KdInxv1G8c=</DigestValue>
      </Reference>
      <Reference URI="/xl/worksheets/sheet24.xml?ContentType=application/vnd.openxmlformats-officedocument.spreadsheetml.worksheet+xml">
        <DigestMethod Algorithm="http://www.w3.org/2001/04/xmlenc#sha256"/>
        <DigestValue>qCWr7d/0aixc4/6Xzo7xOoweOLEN72PAe708xS4EUZU=</DigestValue>
      </Reference>
      <Reference URI="/xl/worksheets/sheet25.xml?ContentType=application/vnd.openxmlformats-officedocument.spreadsheetml.worksheet+xml">
        <DigestMethod Algorithm="http://www.w3.org/2001/04/xmlenc#sha256"/>
        <DigestValue>vixpySL6gllodIH9B7WYwYjFp8ASS41QRPM4Ym1ZmBQ=</DigestValue>
      </Reference>
      <Reference URI="/xl/worksheets/sheet26.xml?ContentType=application/vnd.openxmlformats-officedocument.spreadsheetml.worksheet+xml">
        <DigestMethod Algorithm="http://www.w3.org/2001/04/xmlenc#sha256"/>
        <DigestValue>XZ6xnMsZZ87JZG5h3jRTWu3yIo+X/S4UN1uYR8ECoac=</DigestValue>
      </Reference>
      <Reference URI="/xl/worksheets/sheet27.xml?ContentType=application/vnd.openxmlformats-officedocument.spreadsheetml.worksheet+xml">
        <DigestMethod Algorithm="http://www.w3.org/2001/04/xmlenc#sha256"/>
        <DigestValue>vjE0lgpeouiyJaEHjIeTaKEcu5Mthii2rUanRgjNQuo=</DigestValue>
      </Reference>
      <Reference URI="/xl/worksheets/sheet28.xml?ContentType=application/vnd.openxmlformats-officedocument.spreadsheetml.worksheet+xml">
        <DigestMethod Algorithm="http://www.w3.org/2001/04/xmlenc#sha256"/>
        <DigestValue>t21mr3fXC4rfEeUUv9Zb7ZuX71Bu8KHhPIxuMuwzx9w=</DigestValue>
      </Reference>
      <Reference URI="/xl/worksheets/sheet29.xml?ContentType=application/vnd.openxmlformats-officedocument.spreadsheetml.worksheet+xml">
        <DigestMethod Algorithm="http://www.w3.org/2001/04/xmlenc#sha256"/>
        <DigestValue>diTXMOc1TAXqLz5QfAOwvQ5DphJm97+MJrcRuOmmXrA=</DigestValue>
      </Reference>
      <Reference URI="/xl/worksheets/sheet3.xml?ContentType=application/vnd.openxmlformats-officedocument.spreadsheetml.worksheet+xml">
        <DigestMethod Algorithm="http://www.w3.org/2001/04/xmlenc#sha256"/>
        <DigestValue>aYbstAu/bkjR+YlUGYFnvqtyucENa0IPWXMG7j7kqiI=</DigestValue>
      </Reference>
      <Reference URI="/xl/worksheets/sheet4.xml?ContentType=application/vnd.openxmlformats-officedocument.spreadsheetml.worksheet+xml">
        <DigestMethod Algorithm="http://www.w3.org/2001/04/xmlenc#sha256"/>
        <DigestValue>T3QNd6F1sQop5SRKVyL2VAYe6rOhRq55ys5MUaQygEw=</DigestValue>
      </Reference>
      <Reference URI="/xl/worksheets/sheet5.xml?ContentType=application/vnd.openxmlformats-officedocument.spreadsheetml.worksheet+xml">
        <DigestMethod Algorithm="http://www.w3.org/2001/04/xmlenc#sha256"/>
        <DigestValue>S1HtbW1Lamq2zegdgNFd0zSNPSq7z0wQ9gs10dKnTi4=</DigestValue>
      </Reference>
      <Reference URI="/xl/worksheets/sheet6.xml?ContentType=application/vnd.openxmlformats-officedocument.spreadsheetml.worksheet+xml">
        <DigestMethod Algorithm="http://www.w3.org/2001/04/xmlenc#sha256"/>
        <DigestValue>abx1pLwAIYkmBiNs6mAALS6WncwEBKPLN55S6BD2PNw=</DigestValue>
      </Reference>
      <Reference URI="/xl/worksheets/sheet7.xml?ContentType=application/vnd.openxmlformats-officedocument.spreadsheetml.worksheet+xml">
        <DigestMethod Algorithm="http://www.w3.org/2001/04/xmlenc#sha256"/>
        <DigestValue>vboFL4k0S5e/aKfeeL1FkilUGK57qIK7aN4nwvDDZOE=</DigestValue>
      </Reference>
      <Reference URI="/xl/worksheets/sheet8.xml?ContentType=application/vnd.openxmlformats-officedocument.spreadsheetml.worksheet+xml">
        <DigestMethod Algorithm="http://www.w3.org/2001/04/xmlenc#sha256"/>
        <DigestValue>Ss6HUfjiFRhPClAiXZ47hltsJpWWlvkCN0h621tzOKI=</DigestValue>
      </Reference>
      <Reference URI="/xl/worksheets/sheet9.xml?ContentType=application/vnd.openxmlformats-officedocument.spreadsheetml.worksheet+xml">
        <DigestMethod Algorithm="http://www.w3.org/2001/04/xmlenc#sha256"/>
        <DigestValue>pAe2hna5dXTiVokla61oDBB42R0aRsrc+QSGmaMleWs=</DigestValue>
      </Reference>
    </Manifest>
    <SignatureProperties>
      <SignatureProperty Id="idSignatureTime" Target="#idPackageSignature">
        <mdssi:SignatureTime xmlns:mdssi="http://schemas.openxmlformats.org/package/2006/digital-signature">
          <mdssi:Format>YYYY-MM-DDThh:mm:ssTZD</mdssi:Format>
          <mdssi:Value>2024-01-24T13:50:50Z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2024-01-24T13:50:50Z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rOdiHR/A14Ndg2rrW2FcIZeDyqgubm/JVlcveuc9s1M=</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MAS97Js6/6UrqaDkHzG/vQtX10szF9ozlpKFBcALgHc=</DigestValue>
    </Reference>
  </SignedInfo>
  <SignatureValue>fwzPhN+BVm5+RUutCJ6AeT22FWdX48KFiP+V2CMKskPLnHdhh+RIn+NL1lO4fszE+YgMLlInHdrM
LkwYUJ5ET94vVeIg08O5+PKW3r0EdIqjcMIB3BJRxZxKhK1arVhOdsV2/26f0U12OKBTnr3kordE
IHeVfM3QFDOd31chQyiyL2PTt5HQ21soI768i1VYNjcyDhqKOX/Qr2/w6VBDSUrJkx+ouZjuybHY
g/q31dyZf63e/RIkHPC81htSCIHggSvbPXBtmX00QQY3CGtJ4zTHejgF8SMwyMB9/G4qkZ5WP4Qe
ri/DBofT4HIx3bEnaVwqpLc5YqeFt2bIvpMuaw==</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eWtxAhuhD9SFqukVLfYuqqCiAoQSpOJRxjbi0iTwSr4=</DigestValue>
      </Reference>
      <Reference URI="/xl/drawings/drawing1.xml?ContentType=application/vnd.openxmlformats-officedocument.drawing+xml">
        <DigestMethod Algorithm="http://www.w3.org/2001/04/xmlenc#sha256"/>
        <DigestValue>fOWfOZckJj+yvkeb48RL+4GFzVcLs3Of8wOubwHPg7A=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EmL1dJsXFfEI7TlVUeF0QCZ2K37fflrCstnuVD7xZII=</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vTag//EquIVGz316BBp/20YbSyKKe9UtzaLCD9dOw68=</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AkSFm+ingv/45tWbNkNYBBc8DSh06sjAov/DOE6JzTE=</DigestValue>
      </Reference>
      <Reference URI="/xl/styles.xml?ContentType=application/vnd.openxmlformats-officedocument.spreadsheetml.styles+xml">
        <DigestMethod Algorithm="http://www.w3.org/2001/04/xmlenc#sha256"/>
        <DigestValue>69PuPY2VJxgSn+isfYHs9txGf+QemiZV/cMbYBd71hI=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XH4JdKXJYTqJ5brTrao3q2eQW+yV11TgZZAPNaijoUg=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s9i1B/fSyaDwWWmRqRZ/H/3x+XkGmUPwzYVsESLJX/Y=</DigestValue>
      </Reference>
      <Reference URI="/xl/worksheets/sheet10.xml?ContentType=application/vnd.openxmlformats-officedocument.spreadsheetml.worksheet+xml">
        <DigestMethod Algorithm="http://www.w3.org/2001/04/xmlenc#sha256"/>
        <DigestValue>fGXXZ0h9DEltvZ/oyB/4ehUTt3/MgVn3OKKxqZL6rxA=</DigestValue>
      </Reference>
      <Reference URI="/xl/worksheets/sheet11.xml?ContentType=application/vnd.openxmlformats-officedocument.spreadsheetml.worksheet+xml">
        <DigestMethod Algorithm="http://www.w3.org/2001/04/xmlenc#sha256"/>
        <DigestValue>eprEFO0NhC5UAdo94nBMdfgTi3gEnQdoKtIIdgIA8TE=</DigestValue>
      </Reference>
      <Reference URI="/xl/worksheets/sheet12.xml?ContentType=application/vnd.openxmlformats-officedocument.spreadsheetml.worksheet+xml">
        <DigestMethod Algorithm="http://www.w3.org/2001/04/xmlenc#sha256"/>
        <DigestValue>fXq2jWsqDnHvfZsYfvYeZD+kfQBqNU6pK0+oHyNTJMY=</DigestValue>
      </Reference>
      <Reference URI="/xl/worksheets/sheet13.xml?ContentType=application/vnd.openxmlformats-officedocument.spreadsheetml.worksheet+xml">
        <DigestMethod Algorithm="http://www.w3.org/2001/04/xmlenc#sha256"/>
        <DigestValue>Mt5vPP9D4zX9imtY4nv4yR0Upt72AD+9n6lhu32npRM=</DigestValue>
      </Reference>
      <Reference URI="/xl/worksheets/sheet14.xml?ContentType=application/vnd.openxmlformats-officedocument.spreadsheetml.worksheet+xml">
        <DigestMethod Algorithm="http://www.w3.org/2001/04/xmlenc#sha256"/>
        <DigestValue>1ByDodeMHofkU0oofmOvnGCQhRatz1oEXtUKqFQ14so=</DigestValue>
      </Reference>
      <Reference URI="/xl/worksheets/sheet15.xml?ContentType=application/vnd.openxmlformats-officedocument.spreadsheetml.worksheet+xml">
        <DigestMethod Algorithm="http://www.w3.org/2001/04/xmlenc#sha256"/>
        <DigestValue>+egXBnIfYs4CDCuTXHhUNsbAoP1HjXkyy17d+1f8Zhw=</DigestValue>
      </Reference>
      <Reference URI="/xl/worksheets/sheet16.xml?ContentType=application/vnd.openxmlformats-officedocument.spreadsheetml.worksheet+xml">
        <DigestMethod Algorithm="http://www.w3.org/2001/04/xmlenc#sha256"/>
        <DigestValue>yW3T9d0HrIWCZQqASsr2YrLJVusJDSGGxMT+Ys6OyQw=</DigestValue>
      </Reference>
      <Reference URI="/xl/worksheets/sheet17.xml?ContentType=application/vnd.openxmlformats-officedocument.spreadsheetml.worksheet+xml">
        <DigestMethod Algorithm="http://www.w3.org/2001/04/xmlenc#sha256"/>
        <DigestValue>/P1K+98/zYo8/M32j67DvuhKw8dUcTwVL6VKVk1r/1k=</DigestValue>
      </Reference>
      <Reference URI="/xl/worksheets/sheet18.xml?ContentType=application/vnd.openxmlformats-officedocument.spreadsheetml.worksheet+xml">
        <DigestMethod Algorithm="http://www.w3.org/2001/04/xmlenc#sha256"/>
        <DigestValue>xVFq5nHi5rirKgHxgUk/bbddz+0BQI3x+o3zMLKz/1o=</DigestValue>
      </Reference>
      <Reference URI="/xl/worksheets/sheet19.xml?ContentType=application/vnd.openxmlformats-officedocument.spreadsheetml.worksheet+xml">
        <DigestMethod Algorithm="http://www.w3.org/2001/04/xmlenc#sha256"/>
        <DigestValue>70lF71Y4s/9SVHuZfAopZXgKefBFhi2OjekK7oZyleg=</DigestValue>
      </Reference>
      <Reference URI="/xl/worksheets/sheet2.xml?ContentType=application/vnd.openxmlformats-officedocument.spreadsheetml.worksheet+xml">
        <DigestMethod Algorithm="http://www.w3.org/2001/04/xmlenc#sha256"/>
        <DigestValue>PgPR4lj0Q/lLKGxnBJaIWERqKmcVO+cCFIkrDBhyIS8=</DigestValue>
      </Reference>
      <Reference URI="/xl/worksheets/sheet20.xml?ContentType=application/vnd.openxmlformats-officedocument.spreadsheetml.worksheet+xml">
        <DigestMethod Algorithm="http://www.w3.org/2001/04/xmlenc#sha256"/>
        <DigestValue>bF18QKd1o/z1oio4RCwoVfOO9VUGwBXOomkF4fMewgU=</DigestValue>
      </Reference>
      <Reference URI="/xl/worksheets/sheet21.xml?ContentType=application/vnd.openxmlformats-officedocument.spreadsheetml.worksheet+xml">
        <DigestMethod Algorithm="http://www.w3.org/2001/04/xmlenc#sha256"/>
        <DigestValue>Tbc5Qpsy9YjFwsvdCK0su2h9ZzElFCEBpApdRhjhnQg=</DigestValue>
      </Reference>
      <Reference URI="/xl/worksheets/sheet22.xml?ContentType=application/vnd.openxmlformats-officedocument.spreadsheetml.worksheet+xml">
        <DigestMethod Algorithm="http://www.w3.org/2001/04/xmlenc#sha256"/>
        <DigestValue>SYaqek6TKvxlULq0Uc5uyWN34OQXLRo4IlgASOdu9vI=</DigestValue>
      </Reference>
      <Reference URI="/xl/worksheets/sheet23.xml?ContentType=application/vnd.openxmlformats-officedocument.spreadsheetml.worksheet+xml">
        <DigestMethod Algorithm="http://www.w3.org/2001/04/xmlenc#sha256"/>
        <DigestValue>Sd5m6s4RQR1kf+vI6EFE64mWKDwM64HC+KdInxv1G8c=</DigestValue>
      </Reference>
      <Reference URI="/xl/worksheets/sheet24.xml?ContentType=application/vnd.openxmlformats-officedocument.spreadsheetml.worksheet+xml">
        <DigestMethod Algorithm="http://www.w3.org/2001/04/xmlenc#sha256"/>
        <DigestValue>qCWr7d/0aixc4/6Xzo7xOoweOLEN72PAe708xS4EUZU=</DigestValue>
      </Reference>
      <Reference URI="/xl/worksheets/sheet25.xml?ContentType=application/vnd.openxmlformats-officedocument.spreadsheetml.worksheet+xml">
        <DigestMethod Algorithm="http://www.w3.org/2001/04/xmlenc#sha256"/>
        <DigestValue>vixpySL6gllodIH9B7WYwYjFp8ASS41QRPM4Ym1ZmBQ=</DigestValue>
      </Reference>
      <Reference URI="/xl/worksheets/sheet26.xml?ContentType=application/vnd.openxmlformats-officedocument.spreadsheetml.worksheet+xml">
        <DigestMethod Algorithm="http://www.w3.org/2001/04/xmlenc#sha256"/>
        <DigestValue>XZ6xnMsZZ87JZG5h3jRTWu3yIo+X/S4UN1uYR8ECoac=</DigestValue>
      </Reference>
      <Reference URI="/xl/worksheets/sheet27.xml?ContentType=application/vnd.openxmlformats-officedocument.spreadsheetml.worksheet+xml">
        <DigestMethod Algorithm="http://www.w3.org/2001/04/xmlenc#sha256"/>
        <DigestValue>vjE0lgpeouiyJaEHjIeTaKEcu5Mthii2rUanRgjNQuo=</DigestValue>
      </Reference>
      <Reference URI="/xl/worksheets/sheet28.xml?ContentType=application/vnd.openxmlformats-officedocument.spreadsheetml.worksheet+xml">
        <DigestMethod Algorithm="http://www.w3.org/2001/04/xmlenc#sha256"/>
        <DigestValue>t21mr3fXC4rfEeUUv9Zb7ZuX71Bu8KHhPIxuMuwzx9w=</DigestValue>
      </Reference>
      <Reference URI="/xl/worksheets/sheet29.xml?ContentType=application/vnd.openxmlformats-officedocument.spreadsheetml.worksheet+xml">
        <DigestMethod Algorithm="http://www.w3.org/2001/04/xmlenc#sha256"/>
        <DigestValue>diTXMOc1TAXqLz5QfAOwvQ5DphJm97+MJrcRuOmmXrA=</DigestValue>
      </Reference>
      <Reference URI="/xl/worksheets/sheet3.xml?ContentType=application/vnd.openxmlformats-officedocument.spreadsheetml.worksheet+xml">
        <DigestMethod Algorithm="http://www.w3.org/2001/04/xmlenc#sha256"/>
        <DigestValue>aYbstAu/bkjR+YlUGYFnvqtyucENa0IPWXMG7j7kqiI=</DigestValue>
      </Reference>
      <Reference URI="/xl/worksheets/sheet4.xml?ContentType=application/vnd.openxmlformats-officedocument.spreadsheetml.worksheet+xml">
        <DigestMethod Algorithm="http://www.w3.org/2001/04/xmlenc#sha256"/>
        <DigestValue>T3QNd6F1sQop5SRKVyL2VAYe6rOhRq55ys5MUaQygEw=</DigestValue>
      </Reference>
      <Reference URI="/xl/worksheets/sheet5.xml?ContentType=application/vnd.openxmlformats-officedocument.spreadsheetml.worksheet+xml">
        <DigestMethod Algorithm="http://www.w3.org/2001/04/xmlenc#sha256"/>
        <DigestValue>S1HtbW1Lamq2zegdgNFd0zSNPSq7z0wQ9gs10dKnTi4=</DigestValue>
      </Reference>
      <Reference URI="/xl/worksheets/sheet6.xml?ContentType=application/vnd.openxmlformats-officedocument.spreadsheetml.worksheet+xml">
        <DigestMethod Algorithm="http://www.w3.org/2001/04/xmlenc#sha256"/>
        <DigestValue>abx1pLwAIYkmBiNs6mAALS6WncwEBKPLN55S6BD2PNw=</DigestValue>
      </Reference>
      <Reference URI="/xl/worksheets/sheet7.xml?ContentType=application/vnd.openxmlformats-officedocument.spreadsheetml.worksheet+xml">
        <DigestMethod Algorithm="http://www.w3.org/2001/04/xmlenc#sha256"/>
        <DigestValue>vboFL4k0S5e/aKfeeL1FkilUGK57qIK7aN4nwvDDZOE=</DigestValue>
      </Reference>
      <Reference URI="/xl/worksheets/sheet8.xml?ContentType=application/vnd.openxmlformats-officedocument.spreadsheetml.worksheet+xml">
        <DigestMethod Algorithm="http://www.w3.org/2001/04/xmlenc#sha256"/>
        <DigestValue>Ss6HUfjiFRhPClAiXZ47hltsJpWWlvkCN0h621tzOKI=</DigestValue>
      </Reference>
      <Reference URI="/xl/worksheets/sheet9.xml?ContentType=application/vnd.openxmlformats-officedocument.spreadsheetml.worksheet+xml">
        <DigestMethod Algorithm="http://www.w3.org/2001/04/xmlenc#sha256"/>
        <DigestValue>pAe2hna5dXTiVokla61oDBB42R0aRsrc+QSGmaMleWs=</DigestValue>
      </Reference>
    </Manifest>
    <SignatureProperties>
      <SignatureProperty Id="idSignatureTime" Target="#idPackageSignature">
        <mdssi:SignatureTime xmlns:mdssi="http://schemas.openxmlformats.org/package/2006/digital-signature">
          <mdssi:Format>YYYY-MM-DDThh:mm:ssTZD</mdssi:Format>
          <mdssi:Value>2024-01-24T13:51:07Z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2024-01-24T13:51:07Z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2024-01-24T13:50:48Z</dcterms:modified>
</cp:coreProperties>
</file>